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14.xml" ContentType="application/vnd.openxmlformats-officedocument.drawingml.chart+xml"/>
  <Override PartName="/xl/drawings/drawing14.xml" ContentType="application/vnd.openxmlformats-officedocument.drawing+xml"/>
  <Override PartName="/xl/charts/chart15.xml" ContentType="application/vnd.openxmlformats-officedocument.drawingml.chart+xml"/>
  <Override PartName="/xl/drawings/drawing15.xml" ContentType="application/vnd.openxmlformats-officedocument.drawingml.chartshapes+xml"/>
  <Override PartName="/xl/charts/chart16.xml" ContentType="application/vnd.openxmlformats-officedocument.drawingml.chart+xml"/>
  <Override PartName="/xl/drawings/drawing1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Z:\Departamento\Gestión de la Información\Publicaciones e Informes\Mensual\Boletín&amp;Consejo\BOLETIN ELECTRONICO\2025\SEP\INF_ELABORADA\"/>
    </mc:Choice>
  </mc:AlternateContent>
  <xr:revisionPtr revIDLastSave="0" documentId="13_ncr:1_{78B12FC1-FDCF-4358-A704-493E4A0EE146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" sheetId="16" r:id="rId1"/>
    <sheet name="SN1" sheetId="8" r:id="rId2"/>
    <sheet name="SN2" sheetId="10" r:id="rId3"/>
    <sheet name="SN3" sheetId="22" r:id="rId4"/>
    <sheet name="SN4" sheetId="2" r:id="rId5"/>
    <sheet name="SN5" sheetId="25" r:id="rId6"/>
    <sheet name="SN5 FUEL GAS" sheetId="13" state="hidden" r:id="rId7"/>
    <sheet name="SN6" sheetId="5" r:id="rId8"/>
    <sheet name="SN7" sheetId="7" r:id="rId9"/>
    <sheet name="SN7 FUEL GAS" sheetId="26" state="hidden" r:id="rId10"/>
    <sheet name="SN8" sheetId="27" r:id="rId11"/>
    <sheet name="SN9" sheetId="28" r:id="rId12"/>
    <sheet name="SN10" sheetId="29" r:id="rId13"/>
    <sheet name="Dat_01" sheetId="18" r:id="rId14"/>
    <sheet name="Mozart Reports" sheetId="19" state="veryHidden" r:id="rId15"/>
  </sheets>
  <definedNames>
    <definedName name="_xlnm.Print_Area" localSheetId="3">#REF!</definedName>
    <definedName name="_xlnm.Print_Area">#REF!</definedName>
    <definedName name="_xlnm.Database" localSheetId="3">#REF!</definedName>
    <definedName name="_xlnm.Database">#REF!</definedName>
    <definedName name="cc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c" localSheetId="12">#REF!</definedName>
    <definedName name="ccc" localSheetId="10">#REF!</definedName>
    <definedName name="ccc" localSheetId="11">#N/A</definedName>
    <definedName name="ccc">#N/A</definedName>
    <definedName name="CCCCV" localSheetId="3">#REF!</definedName>
    <definedName name="CCCCV">#REF!</definedName>
    <definedName name="CUADRO_ANTERIOR" localSheetId="12">#REF!</definedName>
    <definedName name="CUADRO_ANTERIOR" localSheetId="10">#REF!</definedName>
    <definedName name="CUADRO_ANTERIOR" localSheetId="11">#N/A</definedName>
    <definedName name="CUADRO_ANTERIOR">#N/A</definedName>
    <definedName name="cuadro_anterior_jcol">#N/A</definedName>
    <definedName name="CUADRO_PROXIMO" localSheetId="12">#REF!</definedName>
    <definedName name="CUADRO_PROXIMO" localSheetId="10">#REF!</definedName>
    <definedName name="CUADRO_PROXIMO" localSheetId="11">#N/A</definedName>
    <definedName name="CUADRO_PROXIMO">#N/A</definedName>
    <definedName name="cuadro_proximo_jcol">#N/A</definedName>
    <definedName name="DATOS" localSheetId="3">#REF!</definedName>
    <definedName name="DATOS">#REF!</definedName>
    <definedName name="DD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emanda" localSheetId="11">#REF!</definedName>
    <definedName name="Demanda">#REF!</definedName>
    <definedName name="Eol_Dia">OFFSET(#REF!,0,0,COUNT(#REF!),1)</definedName>
    <definedName name="Eol_Fechas">OFFSET(#REF!,0,0,COUNT(#REF!),1)</definedName>
    <definedName name="Eol_Porcentaje">OFFSET(#REF!,0,0,COUNT(#REF!),1)</definedName>
    <definedName name="Fecha" localSheetId="11">#REF!</definedName>
    <definedName name="Fecha">#REF!</definedName>
    <definedName name="FINALIZAR" localSheetId="12">#REF!</definedName>
    <definedName name="FINALIZAR" localSheetId="10">#REF!</definedName>
    <definedName name="FINALIZAR" localSheetId="11">#N/A</definedName>
    <definedName name="FINALIZAR">#N/A</definedName>
    <definedName name="finalizar_jcol">#N/A</definedName>
    <definedName name="fl">#N/A</definedName>
    <definedName name="H_Eol">OFFSET(#REF!,0,0,COUNT(#REF!),1)</definedName>
    <definedName name="H_Gen">OFFSET(#REF!,0,0,COUNT(#REF!),1)</definedName>
    <definedName name="H_Porcentaje">OFFSET(#REF!,0,0,COUNT(#REF!),1)</definedName>
    <definedName name="hola">#N/A</definedName>
    <definedName name="Horas">#REF!</definedName>
    <definedName name="HTML1_1" hidden="1">"[energianosuministrada]Hoja1!$A$13:$J$46"</definedName>
    <definedName name="HTML1_10" hidden="1">""</definedName>
    <definedName name="HTML1_11" hidden="1">1</definedName>
    <definedName name="HTML1_12" hidden="1">"Macintosh HD:CASADO:INTRANET:calidaddeservicio:CS"</definedName>
    <definedName name="HTML1_2" hidden="1">1</definedName>
    <definedName name="HTML1_3" hidden="1">"energianosuministrada"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"11/11/97"</definedName>
    <definedName name="HTML1_9" hidden="1">"SOPORTE DE USUARIOS"</definedName>
    <definedName name="HTMLCount" hidden="1">1</definedName>
    <definedName name="IMPRESION" localSheetId="12">#REF!</definedName>
    <definedName name="IMPRESION" localSheetId="10">#REF!</definedName>
    <definedName name="IMPRESION" localSheetId="11">#N/A</definedName>
    <definedName name="IMPRESION">#N/A</definedName>
    <definedName name="impresion_jcol">#N/A</definedName>
    <definedName name="Índice" localSheetId="12">[0]!INDICE</definedName>
    <definedName name="Índice" localSheetId="11">[0]!INDICE</definedName>
    <definedName name="Índice">[0]!INDICE</definedName>
    <definedName name="indice_jcol" localSheetId="12">[0]!INDICE</definedName>
    <definedName name="indice_jcol" localSheetId="11">[0]!INDICE</definedName>
    <definedName name="indice_jcol">[0]!INDICE</definedName>
    <definedName name="Int_CFraExp">OFFSET(#REF!,0,0,COUNT(#REF!),1)</definedName>
    <definedName name="Int_CFraImp">OFFSET(#REF!,0,0,COUNT(#REF!),1)</definedName>
    <definedName name="Int_CPorExp">OFFSET(#REF!,0,0,COUNT(#REF!),1)</definedName>
    <definedName name="Int_CPorImp">OFFSET(#REF!,0,0,COUNT(#REF!),1)</definedName>
    <definedName name="Int_Meses">OFFSET(#REF!,0,0,COUNT(#REF!),1)</definedName>
    <definedName name="Int_SFra">OFFSET(#REF!,0,0,COUNT(#REF!),1)</definedName>
    <definedName name="Int_SPor">OFFSET(#REF!,0,0,COUNT(#REF!),1)</definedName>
    <definedName name="jkhjklhjkhjkl">#N/A</definedName>
    <definedName name="MSTR.Balance._Día_máx_generación_renovable._Histórico">#REF!</definedName>
    <definedName name="MSTR.Balance._Día_máx_generación_renovable._Mes">#REF!</definedName>
    <definedName name="MSTR.Balance_B.C._Diario_Peninsular">#REF!</definedName>
    <definedName name="MSTR.Balance_B.C._Horario_Eólico">#REF!</definedName>
    <definedName name="MSTR.Balance_B.C._Mensual_Sistema_eléctrico">#REF!</definedName>
    <definedName name="MSTR.BANDA_PARA_CONSEJO_PROCESOS" localSheetId="3">#REF!</definedName>
    <definedName name="MSTR.BANDA_PARA_CONSEJO_PROCESOS">#REF!</definedName>
    <definedName name="MSTR.BANDA_PARA_CONSEJO_PROCESOS1" localSheetId="3">#REF!</definedName>
    <definedName name="MSTR.BANDA_PARA_CONSEJO_PROCESOS1">#REF!</definedName>
    <definedName name="MSTR.BANDA_PARA_CONSEJO_PROCESOS10" localSheetId="3">#REF!</definedName>
    <definedName name="MSTR.BANDA_PARA_CONSEJO_PROCESOS10">#REF!</definedName>
    <definedName name="MSTR.BANDA_PARA_CONSEJO_PROCESOS2" localSheetId="3">#REF!</definedName>
    <definedName name="MSTR.BANDA_PARA_CONSEJO_PROCESOS2">#REF!</definedName>
    <definedName name="MSTR.BANDA_PARA_CONSEJO_PROCESOS3" localSheetId="3">#REF!</definedName>
    <definedName name="MSTR.BANDA_PARA_CONSEJO_PROCESOS3">#REF!</definedName>
    <definedName name="MSTR.BANDA_PARA_CONSEJO_PROCESOS4" localSheetId="3">#REF!</definedName>
    <definedName name="MSTR.BANDA_PARA_CONSEJO_PROCESOS4">#REF!</definedName>
    <definedName name="MSTR.BANDA_PARA_CONSEJO_PROCESOS5" localSheetId="3">#REF!</definedName>
    <definedName name="MSTR.BANDA_PARA_CONSEJO_PROCESOS5">#REF!</definedName>
    <definedName name="MSTR.BANDA_PARA_CONSEJO_PROCESOS6" localSheetId="3">#REF!</definedName>
    <definedName name="MSTR.BANDA_PARA_CONSEJO_PROCESOS6">#REF!</definedName>
    <definedName name="MSTR.BANDA_PARA_CONSEJO_PROCESOS7" localSheetId="3">#REF!</definedName>
    <definedName name="MSTR.BANDA_PARA_CONSEJO_PROCESOS7">#REF!</definedName>
    <definedName name="MSTR.BANDA_PARA_CONSEJO_PROCESOS8" localSheetId="3">#REF!</definedName>
    <definedName name="MSTR.BANDA_PARA_CONSEJO_PROCESOS8">#REF!</definedName>
    <definedName name="MSTR.BANDA_PARA_CONSEJO_PROCESOS9" localSheetId="3">#REF!</definedName>
    <definedName name="MSTR.BANDA_PARA_CONSEJO_PROCESOS9">#REF!</definedName>
    <definedName name="MSTR.Emisiones_CO2">#REF!</definedName>
    <definedName name="MSTR.Emisiones_CO2.1">#REF!</definedName>
    <definedName name="MSTR.Eolica_diaria_Balance">#REF!</definedName>
    <definedName name="MSTR.Liquidación_por_Segmentos" localSheetId="3">#REF!</definedName>
    <definedName name="MSTR.Liquidación_por_Segmentos">#REF!</definedName>
    <definedName name="MSTR.Liquidación_por_Segmentos1" localSheetId="3">#REF!</definedName>
    <definedName name="MSTR.Liquidación_por_Segmentos1">#REF!</definedName>
    <definedName name="MSTR.Liquidación_por_Segmentos10" localSheetId="3">#REF!</definedName>
    <definedName name="MSTR.Liquidación_por_Segmentos10">#REF!</definedName>
    <definedName name="MSTR.Liquidación_por_Segmentos11" localSheetId="3">#REF!</definedName>
    <definedName name="MSTR.Liquidación_por_Segmentos11">#REF!</definedName>
    <definedName name="MSTR.Liquidación_por_Segmentos2" localSheetId="3">#REF!</definedName>
    <definedName name="MSTR.Liquidación_por_Segmentos2">#REF!</definedName>
    <definedName name="MSTR.Liquidación_por_Segmentos3" localSheetId="3">#REF!</definedName>
    <definedName name="MSTR.Liquidación_por_Segmentos3">#REF!</definedName>
    <definedName name="MSTR.Liquidación_por_Segmentos4" localSheetId="3">#REF!</definedName>
    <definedName name="MSTR.Liquidación_por_Segmentos4">#REF!</definedName>
    <definedName name="MSTR.Liquidación_por_Segmentos5" localSheetId="3">#REF!</definedName>
    <definedName name="MSTR.Liquidación_por_Segmentos5">#REF!</definedName>
    <definedName name="MSTR.Liquidación_por_Segmentos6" localSheetId="3">#REF!</definedName>
    <definedName name="MSTR.Liquidación_por_Segmentos6">#REF!</definedName>
    <definedName name="MSTR.Liquidación_por_Segmentos7" localSheetId="3">#REF!</definedName>
    <definedName name="MSTR.Liquidación_por_Segmentos7">#REF!</definedName>
    <definedName name="MSTR.Liquidación_por_Segmentos8" localSheetId="3">#REF!</definedName>
    <definedName name="MSTR.Liquidación_por_Segmentos8">#REF!</definedName>
    <definedName name="MSTR.Liquidación_por_Segmentos9" localSheetId="3">#REF!</definedName>
    <definedName name="MSTR.Liquidación_por_Segmentos9">#REF!</definedName>
    <definedName name="MSTR.Potencia_instalada">#REF!</definedName>
    <definedName name="MSTR.Serie_Balance_B.C._Mensual_Peninsular">#REF!</definedName>
    <definedName name="MSTR.Serie_Balance_Nuevo_Energía_Eléctrica_Mensual.1" localSheetId="3">#REF!</definedName>
    <definedName name="MSTR.Serie_Balance_Nuevo_Energía_Eléctrica_Mensual.1">#REF!</definedName>
    <definedName name="MSTR.Serie_Balance_Nuevo_Energía_Eléctrica_Mes_Baleares" localSheetId="3">#REF!</definedName>
    <definedName name="MSTR.Serie_Balance_Nuevo_Energía_Eléctrica_Mes_Baleares">#REF!</definedName>
    <definedName name="MSTR.Variación_y_componentes_mensual_de_la_demanda" xml:space="preserve">                                   Dat_01!$A$153:$N$156</definedName>
    <definedName name="MSTR.Variación_y_componentes_mensual_de_la_demanda.1" xml:space="preserve">                                   Dat_01!$A$159:$N$162</definedName>
    <definedName name="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n" localSheetId="12">#REF!</definedName>
    <definedName name="nnn" localSheetId="10">#REF!</definedName>
    <definedName name="nnn" localSheetId="11">#N/A</definedName>
    <definedName name="nnn">#N/A</definedName>
    <definedName name="nnnn" localSheetId="12">#REF!</definedName>
    <definedName name="nnnn" localSheetId="10">#REF!</definedName>
    <definedName name="nnnn" localSheetId="11">#N/A</definedName>
    <definedName name="nnnn">#N/A</definedName>
    <definedName name="nu" localSheetId="12">#REF!</definedName>
    <definedName name="nu" localSheetId="10">#REF!</definedName>
    <definedName name="nu" localSheetId="11">#N/A</definedName>
    <definedName name="nu">#N/A</definedName>
    <definedName name="nuevo">#N/A</definedName>
    <definedName name="PRINCIPAL" localSheetId="12">#REF!</definedName>
    <definedName name="PRINCIPAL" localSheetId="10">#REF!</definedName>
    <definedName name="PRINCIPAL" localSheetId="11">#N/A</definedName>
    <definedName name="PRINCIPAL">#N/A</definedName>
    <definedName name="principal_jcol">#N/A</definedName>
    <definedName name="Prod">OFFSET(#REF!,0,0,COUNT(#REF!),1)</definedName>
    <definedName name="Prod_Dia">OFFSET(#REF!,0,0,COUNT(#REF!),1)</definedName>
    <definedName name="Prod_Inter">OFFSET(#REF!,0,0,COUNT(#REF!),1)</definedName>
    <definedName name="Prod_Med">OFFSET(#REF!,0,0,COUNT(#REF!),1)</definedName>
    <definedName name="Rango">#REF!</definedName>
    <definedName name="rosa" localSheetId="12">#REF!</definedName>
    <definedName name="rosa" localSheetId="10">#REF!</definedName>
    <definedName name="rosa" localSheetId="11">#N/A</definedName>
    <definedName name="rosa">#N/A</definedName>
    <definedName name="rosa2" localSheetId="12">#REF!</definedName>
    <definedName name="rosa2" localSheetId="10">#REF!</definedName>
    <definedName name="rosa2" localSheetId="11">#N/A</definedName>
    <definedName name="rosa2">#N/A</definedName>
    <definedName name="sfasfasf" localSheetId="12">[0]!INDICE</definedName>
    <definedName name="sfasfasf" localSheetId="11">[0]!INDICE</definedName>
    <definedName name="sfasfasf">[0]!INDICE</definedName>
    <definedName name="v">#N/A</definedName>
    <definedName name="VV" localSheetId="12">#REF!</definedName>
    <definedName name="VV" localSheetId="10">#REF!</definedName>
    <definedName name="VV" localSheetId="11">#N/A</definedName>
    <definedName name="VV">#N/A</definedName>
    <definedName name="wrn.Completo.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x">#N/A</definedName>
    <definedName name="XX">#N/A</definedName>
    <definedName name="xxx">#N/A</definedName>
    <definedName name="XXXX">#N/A</definedName>
    <definedName name="xxxxx" localSheetId="12">#N/A</definedName>
    <definedName name="xxxxx" localSheetId="10">#N/A</definedName>
    <definedName name="xxxxx" localSheetId="11">#N/A</definedName>
    <definedName name="xxxxx" xml:space="preserve">                                               Dat_01!$A$85:$X$114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0" i="5" l="1"/>
  <c r="C10" i="2"/>
  <c r="B48" i="18" l="1"/>
  <c r="C48" i="18" l="1"/>
  <c r="O165" i="18" l="1"/>
  <c r="O167" i="18" s="1"/>
  <c r="F10" i="29"/>
  <c r="F23" i="29"/>
  <c r="E8" i="29"/>
  <c r="L73" i="18"/>
  <c r="M73" i="18" s="1"/>
  <c r="L74" i="18"/>
  <c r="M74" i="18" s="1"/>
  <c r="G68" i="18"/>
  <c r="K74" i="18" l="1"/>
  <c r="N74" i="18" s="1"/>
  <c r="O74" i="18" s="1"/>
  <c r="K73" i="18"/>
  <c r="N73" i="18" s="1"/>
  <c r="O73" i="18" s="1"/>
  <c r="O120" i="18" l="1"/>
  <c r="O119" i="18"/>
  <c r="E48" i="18"/>
  <c r="O168" i="18" l="1"/>
  <c r="O169" i="18" s="1"/>
  <c r="N165" i="18"/>
  <c r="N167" i="18" s="1"/>
  <c r="O166" i="18"/>
  <c r="D48" i="18"/>
  <c r="F48" i="18" s="1"/>
  <c r="C10" i="27" l="1"/>
  <c r="K15" i="22" l="1"/>
  <c r="K12" i="22"/>
  <c r="G25" i="22" l="1" a="1"/>
  <c r="G25" i="22" s="1"/>
  <c r="G27" i="22" l="1"/>
  <c r="G26" i="22"/>
  <c r="D79" i="18" l="1"/>
  <c r="D78" i="18"/>
  <c r="D69" i="18"/>
  <c r="D68" i="18"/>
  <c r="G24" i="22" l="1"/>
  <c r="F26" i="22"/>
  <c r="F25" i="22"/>
  <c r="M29" i="22"/>
  <c r="L29" i="22"/>
  <c r="K29" i="22"/>
  <c r="J29" i="22"/>
  <c r="I29" i="22"/>
  <c r="H29" i="22"/>
  <c r="G29" i="22"/>
  <c r="G28" i="22"/>
  <c r="F29" i="22"/>
  <c r="F28" i="22"/>
  <c r="F27" i="22" l="1"/>
  <c r="K9" i="10"/>
  <c r="J9" i="10"/>
  <c r="I9" i="10"/>
  <c r="H9" i="10"/>
  <c r="G9" i="10"/>
  <c r="F9" i="10"/>
  <c r="K9" i="8"/>
  <c r="J9" i="8"/>
  <c r="I9" i="8"/>
  <c r="H9" i="8"/>
  <c r="G9" i="8"/>
  <c r="F9" i="8"/>
  <c r="G77" i="18"/>
  <c r="G76" i="18"/>
  <c r="G75" i="18"/>
  <c r="G74" i="18"/>
  <c r="G73" i="18"/>
  <c r="G72" i="18"/>
  <c r="G71" i="18"/>
  <c r="G70" i="18"/>
  <c r="G69" i="18"/>
  <c r="L69" i="18" l="1"/>
  <c r="L68" i="18"/>
  <c r="M12" i="22"/>
  <c r="M15" i="22"/>
  <c r="J12" i="22"/>
  <c r="J15" i="22" s="1"/>
  <c r="F11" i="22"/>
  <c r="G13" i="22"/>
  <c r="G22" i="22"/>
  <c r="G11" i="22"/>
  <c r="I11" i="22"/>
  <c r="I17" i="22" l="1"/>
  <c r="G17" i="22"/>
  <c r="H17" i="22"/>
  <c r="I13" i="22"/>
  <c r="M20" i="22"/>
  <c r="K20" i="22"/>
  <c r="M18" i="22"/>
  <c r="I9" i="22"/>
  <c r="K18" i="22" l="1"/>
  <c r="B56" i="18" l="1"/>
  <c r="D72" i="18" l="1"/>
  <c r="G52" i="18" l="1"/>
  <c r="B52" i="18" l="1"/>
  <c r="D71" i="18" l="1"/>
  <c r="D77" i="18"/>
  <c r="D76" i="18"/>
  <c r="D75" i="18"/>
  <c r="D74" i="18"/>
  <c r="D73" i="18"/>
  <c r="D70" i="18"/>
  <c r="C68" i="18" l="1"/>
  <c r="C78" i="18"/>
  <c r="C76" i="18"/>
  <c r="C70" i="18"/>
  <c r="C69" i="18"/>
  <c r="C75" i="18"/>
  <c r="C71" i="18"/>
  <c r="C73" i="18"/>
  <c r="C77" i="18"/>
  <c r="C74" i="18"/>
  <c r="D80" i="18"/>
  <c r="B68" i="18" s="1"/>
  <c r="K68" i="18" l="1"/>
  <c r="K69" i="18"/>
  <c r="C80" i="18"/>
  <c r="B79" i="18"/>
  <c r="B73" i="18"/>
  <c r="B72" i="18"/>
  <c r="B78" i="18"/>
  <c r="B71" i="18"/>
  <c r="B74" i="18"/>
  <c r="B76" i="18"/>
  <c r="B75" i="18"/>
  <c r="B77" i="18"/>
  <c r="B70" i="18"/>
  <c r="B69" i="18"/>
  <c r="B62" i="18"/>
  <c r="B61" i="18"/>
  <c r="B60" i="18"/>
  <c r="B59" i="18"/>
  <c r="B58" i="18"/>
  <c r="B57" i="18"/>
  <c r="B55" i="18"/>
  <c r="B53" i="18"/>
  <c r="B54" i="18"/>
  <c r="G53" i="18"/>
  <c r="G54" i="18"/>
  <c r="G55" i="18"/>
  <c r="B63" i="18" l="1"/>
  <c r="B80" i="18"/>
  <c r="O133" i="18" l="1"/>
  <c r="O135" i="18"/>
  <c r="O140" i="18"/>
  <c r="O142" i="18"/>
  <c r="O144" i="18"/>
  <c r="O146" i="18"/>
  <c r="O148" i="18"/>
  <c r="O134" i="18"/>
  <c r="O136" i="18"/>
  <c r="O139" i="18"/>
  <c r="O141" i="18"/>
  <c r="O143" i="18"/>
  <c r="O145" i="18"/>
  <c r="O147" i="18"/>
  <c r="O121" i="18"/>
  <c r="O118" i="18" l="1"/>
  <c r="M24" i="22" l="1"/>
  <c r="B29" i="18" l="1"/>
  <c r="K14" i="10" l="1"/>
  <c r="K13" i="10"/>
  <c r="K12" i="10"/>
  <c r="I14" i="10"/>
  <c r="I13" i="10"/>
  <c r="I12" i="10"/>
  <c r="G14" i="10"/>
  <c r="G13" i="10"/>
  <c r="G12" i="10"/>
  <c r="K14" i="8"/>
  <c r="K13" i="8"/>
  <c r="K12" i="8"/>
  <c r="I14" i="8"/>
  <c r="I13" i="8"/>
  <c r="I12" i="8"/>
  <c r="G14" i="8"/>
  <c r="G13" i="8"/>
  <c r="G12" i="8"/>
  <c r="G61" i="18" l="1"/>
  <c r="G60" i="18"/>
  <c r="G59" i="18"/>
  <c r="G58" i="18"/>
  <c r="G57" i="18"/>
  <c r="G56" i="18"/>
  <c r="F17" i="22" l="1"/>
  <c r="K24" i="22" l="1"/>
  <c r="I24" i="22"/>
  <c r="M23" i="22"/>
  <c r="L23" i="22"/>
  <c r="G23" i="22"/>
  <c r="F23" i="22"/>
  <c r="H22" i="22"/>
  <c r="F22" i="22"/>
  <c r="I21" i="22"/>
  <c r="H21" i="22"/>
  <c r="G21" i="22"/>
  <c r="F21" i="22"/>
  <c r="G20" i="22"/>
  <c r="I19" i="22"/>
  <c r="H19" i="22"/>
  <c r="L18" i="22"/>
  <c r="J18" i="22"/>
  <c r="I18" i="22"/>
  <c r="H18" i="22"/>
  <c r="G18" i="22"/>
  <c r="F18" i="22"/>
  <c r="F20" i="22" s="1"/>
  <c r="M17" i="22"/>
  <c r="L17" i="22"/>
  <c r="K17" i="22"/>
  <c r="J17" i="22"/>
  <c r="F16" i="22"/>
  <c r="I15" i="22"/>
  <c r="G15" i="22"/>
  <c r="M14" i="22"/>
  <c r="L14" i="22"/>
  <c r="G14" i="22"/>
  <c r="F14" i="22"/>
  <c r="H13" i="22"/>
  <c r="F13" i="22"/>
  <c r="L12" i="22"/>
  <c r="I12" i="22"/>
  <c r="H12" i="22"/>
  <c r="G12" i="22"/>
  <c r="F12" i="22"/>
  <c r="H11" i="22"/>
  <c r="I10" i="22"/>
  <c r="H10" i="22"/>
  <c r="H9" i="22"/>
  <c r="F15" i="22" l="1"/>
  <c r="H15" i="22"/>
  <c r="J20" i="22"/>
  <c r="J24" i="22" s="1"/>
  <c r="L20" i="22"/>
  <c r="L24" i="22" s="1"/>
  <c r="L15" i="22"/>
  <c r="F24" i="22"/>
  <c r="H20" i="22"/>
  <c r="I20" i="22" l="1"/>
  <c r="H24" i="22"/>
  <c r="O138" i="18" l="1"/>
  <c r="N138" i="18"/>
  <c r="M138" i="18"/>
  <c r="L138" i="18"/>
  <c r="K138" i="18"/>
  <c r="J138" i="18"/>
  <c r="I138" i="18"/>
  <c r="H138" i="18"/>
  <c r="G138" i="18"/>
  <c r="F138" i="18"/>
  <c r="E138" i="18"/>
  <c r="D138" i="18"/>
  <c r="C138" i="18"/>
  <c r="N120" i="18"/>
  <c r="M120" i="18"/>
  <c r="L120" i="18"/>
  <c r="K120" i="18"/>
  <c r="J120" i="18"/>
  <c r="I120" i="18"/>
  <c r="H120" i="18"/>
  <c r="G120" i="18"/>
  <c r="F120" i="18"/>
  <c r="E120" i="18"/>
  <c r="D120" i="18"/>
  <c r="C120" i="18"/>
  <c r="O125" i="18" l="1"/>
  <c r="O122" i="18"/>
  <c r="N119" i="18"/>
  <c r="O123" i="18"/>
  <c r="O124" i="18"/>
  <c r="O126" i="18"/>
  <c r="O127" i="18"/>
  <c r="O128" i="18"/>
  <c r="O129" i="18"/>
  <c r="O130" i="18"/>
  <c r="O131" i="18"/>
  <c r="O132" i="18"/>
  <c r="N168" i="18" l="1"/>
  <c r="N169" i="18" s="1"/>
  <c r="M165" i="18"/>
  <c r="M167" i="18" s="1"/>
  <c r="N166" i="18"/>
  <c r="N133" i="18"/>
  <c r="N135" i="18"/>
  <c r="N140" i="18"/>
  <c r="N142" i="18"/>
  <c r="N144" i="18"/>
  <c r="N146" i="18"/>
  <c r="N148" i="18"/>
  <c r="N134" i="18"/>
  <c r="N139" i="18"/>
  <c r="N141" i="18"/>
  <c r="N143" i="18"/>
  <c r="N145" i="18"/>
  <c r="N147" i="18"/>
  <c r="N136" i="18"/>
  <c r="O150" i="18"/>
  <c r="O137" i="18"/>
  <c r="N122" i="18"/>
  <c r="N125" i="18"/>
  <c r="M119" i="18"/>
  <c r="N121" i="18"/>
  <c r="N123" i="18"/>
  <c r="N124" i="18"/>
  <c r="N126" i="18"/>
  <c r="N127" i="18"/>
  <c r="N128" i="18"/>
  <c r="N129" i="18"/>
  <c r="N130" i="18"/>
  <c r="N132" i="18"/>
  <c r="N131" i="18"/>
  <c r="N118" i="18" l="1"/>
  <c r="L165" i="18"/>
  <c r="L167" i="18" s="1"/>
  <c r="M166" i="18"/>
  <c r="M168" i="18"/>
  <c r="M169" i="18" s="1"/>
  <c r="M133" i="18"/>
  <c r="M135" i="18"/>
  <c r="M140" i="18"/>
  <c r="M142" i="18"/>
  <c r="M144" i="18"/>
  <c r="M146" i="18"/>
  <c r="M148" i="18"/>
  <c r="M134" i="18"/>
  <c r="M136" i="18"/>
  <c r="M139" i="18"/>
  <c r="M141" i="18"/>
  <c r="M143" i="18"/>
  <c r="M145" i="18"/>
  <c r="M147" i="18"/>
  <c r="M122" i="18"/>
  <c r="M125" i="18"/>
  <c r="N137" i="18"/>
  <c r="N150" i="18"/>
  <c r="L119" i="18"/>
  <c r="M121" i="18"/>
  <c r="M123" i="18"/>
  <c r="M124" i="18"/>
  <c r="M126" i="18"/>
  <c r="M127" i="18"/>
  <c r="M128" i="18"/>
  <c r="M129" i="18"/>
  <c r="M130" i="18"/>
  <c r="M131" i="18"/>
  <c r="M132" i="18"/>
  <c r="K165" i="18" l="1"/>
  <c r="K167" i="18" s="1"/>
  <c r="L166" i="18"/>
  <c r="L168" i="18"/>
  <c r="L169" i="18" s="1"/>
  <c r="M118" i="18"/>
  <c r="L140" i="18"/>
  <c r="L147" i="18"/>
  <c r="L141" i="18"/>
  <c r="L142" i="18"/>
  <c r="L144" i="18"/>
  <c r="L146" i="18"/>
  <c r="L134" i="18"/>
  <c r="L136" i="18"/>
  <c r="L143" i="18"/>
  <c r="L139" i="18"/>
  <c r="L133" i="18"/>
  <c r="L135" i="18"/>
  <c r="L148" i="18"/>
  <c r="L145" i="18"/>
  <c r="L125" i="18"/>
  <c r="L122" i="18"/>
  <c r="M137" i="18"/>
  <c r="M150" i="18"/>
  <c r="K119" i="18"/>
  <c r="L121" i="18"/>
  <c r="L124" i="18"/>
  <c r="L128" i="18"/>
  <c r="L123" i="18"/>
  <c r="L127" i="18"/>
  <c r="L131" i="18"/>
  <c r="L126" i="18"/>
  <c r="L130" i="18"/>
  <c r="L129" i="18"/>
  <c r="L132" i="18"/>
  <c r="E3" i="16"/>
  <c r="J165" i="18" l="1"/>
  <c r="J167" i="18" s="1"/>
  <c r="K166" i="18"/>
  <c r="K168" i="18"/>
  <c r="K169" i="18" s="1"/>
  <c r="L118" i="18"/>
  <c r="M3" i="22"/>
  <c r="G8" i="22" s="1"/>
  <c r="I8" i="22" s="1"/>
  <c r="K8" i="22" s="1"/>
  <c r="M8" i="22" s="1"/>
  <c r="E3" i="25"/>
  <c r="E3" i="26"/>
  <c r="K148" i="18"/>
  <c r="K134" i="18"/>
  <c r="K136" i="18"/>
  <c r="K139" i="18"/>
  <c r="K141" i="18"/>
  <c r="K143" i="18"/>
  <c r="K145" i="18"/>
  <c r="K147" i="18"/>
  <c r="K133" i="18"/>
  <c r="K135" i="18"/>
  <c r="K140" i="18"/>
  <c r="K142" i="18"/>
  <c r="K144" i="18"/>
  <c r="K146" i="18"/>
  <c r="K122" i="18"/>
  <c r="K125" i="18"/>
  <c r="L137" i="18"/>
  <c r="E3" i="13"/>
  <c r="J119" i="18"/>
  <c r="K121" i="18"/>
  <c r="K123" i="18"/>
  <c r="K124" i="18"/>
  <c r="K126" i="18"/>
  <c r="K127" i="18"/>
  <c r="K128" i="18"/>
  <c r="K129" i="18"/>
  <c r="K130" i="18"/>
  <c r="K131" i="18"/>
  <c r="K132" i="18"/>
  <c r="L150" i="18"/>
  <c r="K3" i="10"/>
  <c r="F7" i="10" s="1"/>
  <c r="G8" i="10" s="1"/>
  <c r="E3" i="5"/>
  <c r="E3" i="7"/>
  <c r="E3" i="2"/>
  <c r="K3" i="8"/>
  <c r="F7" i="8" s="1"/>
  <c r="G8" i="8" s="1"/>
  <c r="G62" i="18"/>
  <c r="G78" i="18"/>
  <c r="K118" i="18" l="1"/>
  <c r="I165" i="18"/>
  <c r="I167" i="18" s="1"/>
  <c r="J166" i="18"/>
  <c r="J168" i="18"/>
  <c r="J169" i="18" s="1"/>
  <c r="C56" i="18"/>
  <c r="C62" i="18"/>
  <c r="C60" i="18"/>
  <c r="J136" i="18"/>
  <c r="J135" i="18"/>
  <c r="J141" i="18"/>
  <c r="J147" i="18"/>
  <c r="J139" i="18"/>
  <c r="J143" i="18"/>
  <c r="J145" i="18"/>
  <c r="J133" i="18"/>
  <c r="J140" i="18"/>
  <c r="J142" i="18"/>
  <c r="J144" i="18"/>
  <c r="J146" i="18"/>
  <c r="J148" i="18"/>
  <c r="J134" i="18"/>
  <c r="H55" i="18"/>
  <c r="H59" i="18"/>
  <c r="H56" i="18"/>
  <c r="H54" i="18"/>
  <c r="H58" i="18"/>
  <c r="H52" i="18"/>
  <c r="H60" i="18"/>
  <c r="H53" i="18"/>
  <c r="H61" i="18"/>
  <c r="H57" i="18"/>
  <c r="C58" i="18"/>
  <c r="C59" i="18"/>
  <c r="C53" i="18"/>
  <c r="C55" i="18"/>
  <c r="C54" i="18"/>
  <c r="C52" i="18"/>
  <c r="C57" i="18"/>
  <c r="C61" i="18"/>
  <c r="J122" i="18"/>
  <c r="J125" i="18"/>
  <c r="K137" i="18"/>
  <c r="I119" i="18"/>
  <c r="J121" i="18"/>
  <c r="J123" i="18"/>
  <c r="J124" i="18"/>
  <c r="J126" i="18"/>
  <c r="J127" i="18"/>
  <c r="J128" i="18"/>
  <c r="J129" i="18"/>
  <c r="J130" i="18"/>
  <c r="J131" i="18"/>
  <c r="J132" i="18"/>
  <c r="K150" i="18"/>
  <c r="H165" i="18" l="1"/>
  <c r="H167" i="18" s="1"/>
  <c r="I166" i="18"/>
  <c r="I168" i="18"/>
  <c r="I169" i="18" s="1"/>
  <c r="J118" i="18"/>
  <c r="K52" i="18"/>
  <c r="K53" i="18"/>
  <c r="L53" i="18"/>
  <c r="L52" i="18"/>
  <c r="I139" i="18"/>
  <c r="I141" i="18"/>
  <c r="I143" i="18"/>
  <c r="I145" i="18"/>
  <c r="I147" i="18"/>
  <c r="I133" i="18"/>
  <c r="I135" i="18"/>
  <c r="I140" i="18"/>
  <c r="I142" i="18"/>
  <c r="I144" i="18"/>
  <c r="I146" i="18"/>
  <c r="I148" i="18"/>
  <c r="I134" i="18"/>
  <c r="I136" i="18"/>
  <c r="I122" i="18"/>
  <c r="I125" i="18"/>
  <c r="J137" i="18"/>
  <c r="J150" i="18"/>
  <c r="H119" i="18"/>
  <c r="I121" i="18"/>
  <c r="I123" i="18"/>
  <c r="I124" i="18"/>
  <c r="I126" i="18"/>
  <c r="I127" i="18"/>
  <c r="I128" i="18"/>
  <c r="I129" i="18"/>
  <c r="I130" i="18"/>
  <c r="I131" i="18"/>
  <c r="I132" i="18"/>
  <c r="H62" i="18"/>
  <c r="C63" i="18"/>
  <c r="I118" i="18" l="1"/>
  <c r="H166" i="18"/>
  <c r="G165" i="18"/>
  <c r="G167" i="18" s="1"/>
  <c r="H168" i="18"/>
  <c r="H169" i="18" s="1"/>
  <c r="H145" i="18"/>
  <c r="H147" i="18"/>
  <c r="H139" i="18"/>
  <c r="H141" i="18"/>
  <c r="H143" i="18"/>
  <c r="H142" i="18"/>
  <c r="H148" i="18"/>
  <c r="H133" i="18"/>
  <c r="H135" i="18"/>
  <c r="H146" i="18"/>
  <c r="H134" i="18"/>
  <c r="H136" i="18"/>
  <c r="H140" i="18"/>
  <c r="H144" i="18"/>
  <c r="H125" i="18"/>
  <c r="H122" i="18"/>
  <c r="I137" i="18"/>
  <c r="I150" i="18"/>
  <c r="G119" i="18"/>
  <c r="H121" i="18"/>
  <c r="H123" i="18"/>
  <c r="H127" i="18"/>
  <c r="H131" i="18"/>
  <c r="H128" i="18"/>
  <c r="H126" i="18"/>
  <c r="H130" i="18"/>
  <c r="H132" i="18"/>
  <c r="H129" i="18"/>
  <c r="H124" i="18"/>
  <c r="K8" i="10"/>
  <c r="I8" i="10"/>
  <c r="H118" i="18" l="1"/>
  <c r="G166" i="18"/>
  <c r="G168" i="18"/>
  <c r="G169" i="18" s="1"/>
  <c r="F165" i="18"/>
  <c r="F167" i="18" s="1"/>
  <c r="G139" i="18"/>
  <c r="G133" i="18"/>
  <c r="G135" i="18"/>
  <c r="G140" i="18"/>
  <c r="G142" i="18"/>
  <c r="G144" i="18"/>
  <c r="G146" i="18"/>
  <c r="G148" i="18"/>
  <c r="G134" i="18"/>
  <c r="G136" i="18"/>
  <c r="G141" i="18"/>
  <c r="G143" i="18"/>
  <c r="G145" i="18"/>
  <c r="G147" i="18"/>
  <c r="G125" i="18"/>
  <c r="G122" i="18"/>
  <c r="H137" i="18"/>
  <c r="H150" i="18"/>
  <c r="F119" i="18"/>
  <c r="G121" i="18"/>
  <c r="G123" i="18"/>
  <c r="G124" i="18"/>
  <c r="G126" i="18"/>
  <c r="G127" i="18"/>
  <c r="G128" i="18"/>
  <c r="G129" i="18"/>
  <c r="G130" i="18"/>
  <c r="G131" i="18"/>
  <c r="G132" i="18"/>
  <c r="K8" i="8"/>
  <c r="I8" i="8"/>
  <c r="G118" i="18" l="1"/>
  <c r="F168" i="18"/>
  <c r="F169" i="18" s="1"/>
  <c r="F166" i="18"/>
  <c r="E165" i="18"/>
  <c r="E167" i="18" s="1"/>
  <c r="F139" i="18"/>
  <c r="F135" i="18"/>
  <c r="F136" i="18"/>
  <c r="F133" i="18"/>
  <c r="F140" i="18"/>
  <c r="F142" i="18"/>
  <c r="F144" i="18"/>
  <c r="F146" i="18"/>
  <c r="F148" i="18"/>
  <c r="F141" i="18"/>
  <c r="F143" i="18"/>
  <c r="F145" i="18"/>
  <c r="F147" i="18"/>
  <c r="F134" i="18"/>
  <c r="F122" i="18"/>
  <c r="F125" i="18"/>
  <c r="G137" i="18"/>
  <c r="G150" i="18"/>
  <c r="E119" i="18"/>
  <c r="F121" i="18"/>
  <c r="F123" i="18"/>
  <c r="F124" i="18"/>
  <c r="F126" i="18"/>
  <c r="F127" i="18"/>
  <c r="F128" i="18"/>
  <c r="F129" i="18"/>
  <c r="F130" i="18"/>
  <c r="F131" i="18"/>
  <c r="F132" i="18"/>
  <c r="E12" i="16"/>
  <c r="E16" i="16"/>
  <c r="E15" i="16"/>
  <c r="E14" i="16"/>
  <c r="E13" i="16"/>
  <c r="E11" i="16"/>
  <c r="E9" i="16"/>
  <c r="E8" i="16"/>
  <c r="F118" i="18" l="1"/>
  <c r="E168" i="18"/>
  <c r="E169" i="18" s="1"/>
  <c r="D165" i="18"/>
  <c r="D167" i="18" s="1"/>
  <c r="E166" i="18"/>
  <c r="E140" i="18"/>
  <c r="E142" i="18"/>
  <c r="E144" i="18"/>
  <c r="E146" i="18"/>
  <c r="E148" i="18"/>
  <c r="E134" i="18"/>
  <c r="E136" i="18"/>
  <c r="E139" i="18"/>
  <c r="E141" i="18"/>
  <c r="E143" i="18"/>
  <c r="E145" i="18"/>
  <c r="E147" i="18"/>
  <c r="E133" i="18"/>
  <c r="E135" i="18"/>
  <c r="E122" i="18"/>
  <c r="E125" i="18"/>
  <c r="F137" i="18"/>
  <c r="F150" i="18"/>
  <c r="D119" i="18"/>
  <c r="E121" i="18"/>
  <c r="E123" i="18"/>
  <c r="E124" i="18"/>
  <c r="E126" i="18"/>
  <c r="E127" i="18"/>
  <c r="E128" i="18"/>
  <c r="E129" i="18"/>
  <c r="E130" i="18"/>
  <c r="E131" i="18"/>
  <c r="E132" i="18"/>
  <c r="D168" i="18" l="1"/>
  <c r="D169" i="18" s="1"/>
  <c r="D166" i="18"/>
  <c r="C165" i="18"/>
  <c r="C167" i="18" s="1"/>
  <c r="C119" i="18"/>
  <c r="E118" i="18"/>
  <c r="D144" i="18"/>
  <c r="D148" i="18"/>
  <c r="D141" i="18"/>
  <c r="D140" i="18"/>
  <c r="D134" i="18"/>
  <c r="D136" i="18"/>
  <c r="D139" i="18"/>
  <c r="D145" i="18"/>
  <c r="D133" i="18"/>
  <c r="D135" i="18"/>
  <c r="D142" i="18"/>
  <c r="D146" i="18"/>
  <c r="D143" i="18"/>
  <c r="D147" i="18"/>
  <c r="D125" i="18"/>
  <c r="D122" i="18"/>
  <c r="E137" i="18"/>
  <c r="E150" i="18"/>
  <c r="D121" i="18"/>
  <c r="D123" i="18"/>
  <c r="D126" i="18"/>
  <c r="D130" i="18"/>
  <c r="D131" i="18"/>
  <c r="D129" i="18"/>
  <c r="D124" i="18"/>
  <c r="D128" i="18"/>
  <c r="D127" i="18"/>
  <c r="D132" i="18"/>
  <c r="C168" i="18" l="1"/>
  <c r="C169" i="18" s="1"/>
  <c r="C134" i="18"/>
  <c r="C133" i="18"/>
  <c r="C166" i="18"/>
  <c r="D118" i="18"/>
  <c r="C144" i="18"/>
  <c r="C121" i="18"/>
  <c r="C143" i="18"/>
  <c r="C131" i="18"/>
  <c r="C142" i="18"/>
  <c r="C140" i="18"/>
  <c r="C141" i="18"/>
  <c r="C132" i="18"/>
  <c r="C147" i="18"/>
  <c r="C139" i="18"/>
  <c r="C146" i="18"/>
  <c r="C136" i="18"/>
  <c r="C145" i="18"/>
  <c r="C135" i="18"/>
  <c r="C148" i="18"/>
  <c r="C122" i="18"/>
  <c r="C124" i="18"/>
  <c r="D137" i="18"/>
  <c r="C125" i="18"/>
  <c r="D150" i="18"/>
  <c r="C127" i="18"/>
  <c r="C123" i="18"/>
  <c r="C129" i="18"/>
  <c r="C128" i="18"/>
  <c r="C126" i="18"/>
  <c r="C130" i="18"/>
  <c r="C118" i="18" l="1"/>
  <c r="C150" i="18"/>
  <c r="C137" i="1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<sst xmlns="http://schemas.openxmlformats.org/spreadsheetml/2006/main" count="496" uniqueCount="156">
  <si>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Asignación de unidades de producción según combustible principal.</t>
    </r>
  </si>
  <si>
    <t>Demanda (b.c.)</t>
  </si>
  <si>
    <t>Generación</t>
  </si>
  <si>
    <t>-</t>
  </si>
  <si>
    <t>Solar fotovoltaica</t>
  </si>
  <si>
    <t>Eólica</t>
  </si>
  <si>
    <t>Hidroeólica</t>
  </si>
  <si>
    <t xml:space="preserve">Fuel/gas </t>
  </si>
  <si>
    <t>Turbina de vapor</t>
  </si>
  <si>
    <t>Turbina de gas</t>
  </si>
  <si>
    <t>Motores diésel</t>
  </si>
  <si>
    <t>Carbón</t>
  </si>
  <si>
    <t>Hidráulica</t>
  </si>
  <si>
    <t>GWh</t>
  </si>
  <si>
    <t>Melilla</t>
  </si>
  <si>
    <t>Ceuta</t>
  </si>
  <si>
    <t>Islas Canarias</t>
  </si>
  <si>
    <t>Islas Baleares</t>
  </si>
  <si>
    <r>
      <t xml:space="preserve">Balance de energía eléctrica sistemas no peninsulares </t>
    </r>
    <r>
      <rPr>
        <b/>
        <vertAlign val="superscript"/>
        <sz val="8"/>
        <color rgb="FF004563"/>
        <rFont val="Arial"/>
        <family val="2"/>
      </rPr>
      <t>(1)</t>
    </r>
  </si>
  <si>
    <t>Boletín mensual</t>
  </si>
  <si>
    <t>Total</t>
  </si>
  <si>
    <t>Enlace Península-Baleares</t>
  </si>
  <si>
    <t>Otras renovables</t>
  </si>
  <si>
    <t>Cogeneración</t>
  </si>
  <si>
    <t>Generación auxiliar</t>
  </si>
  <si>
    <t>Ciclo combinado</t>
  </si>
  <si>
    <t>%</t>
  </si>
  <si>
    <t>MW</t>
  </si>
  <si>
    <t>Estructura de potencia instalada mensual. Islas Baleares</t>
  </si>
  <si>
    <t>Estructura de potencia instalada mensual. Islas Canarias</t>
  </si>
  <si>
    <t>Acumulado anual</t>
  </si>
  <si>
    <t>Año móvil</t>
  </si>
  <si>
    <t>Variación mensual</t>
  </si>
  <si>
    <r>
      <t xml:space="preserve">Componentes </t>
    </r>
    <r>
      <rPr>
        <vertAlign val="superscript"/>
        <sz val="8"/>
        <color rgb="FF004563"/>
        <rFont val="Arial"/>
        <family val="2"/>
      </rPr>
      <t>(1)</t>
    </r>
  </si>
  <si>
    <t>Laboralidad</t>
  </si>
  <si>
    <r>
      <t xml:space="preserve">Temperatura </t>
    </r>
    <r>
      <rPr>
        <vertAlign val="superscript"/>
        <sz val="8"/>
        <color rgb="FF004563"/>
        <rFont val="Arial"/>
        <family val="2"/>
      </rPr>
      <t>(2)</t>
    </r>
  </si>
  <si>
    <t>Demanda corregida</t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</si>
  <si>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La suma de los componentes es igual al tanto por ciento de variación de la demanda total.</t>
    </r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</si>
  <si>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Una media de las temperaturas máximas diarias por debajo o por encima de los umbrales de invierno y verano respectivamente, produce aumento de la demanda.</t>
    </r>
  </si>
  <si>
    <t>Sistemas no peninsulares</t>
  </si>
  <si>
    <t>Componentes de la variación de la demanda Islas Baleares</t>
  </si>
  <si>
    <t>Componentes de la variación de la demanda Islas Canarias</t>
  </si>
  <si>
    <t xml:space="preserve"> </t>
  </si>
  <si>
    <t xml:space="preserve">• </t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</si>
  <si>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Incluye funcionamiento en ciclo abierto.</t>
    </r>
  </si>
  <si>
    <t>Balance de energía eléctrica sistemas no peninsulares</t>
  </si>
  <si>
    <t>Residuos renovables</t>
  </si>
  <si>
    <t>Residuos no renovables</t>
  </si>
  <si>
    <t>Nota: Todos los porcentajes de variación están refereridos al mismo período del año anterior.</t>
  </si>
  <si>
    <t>Baleares</t>
  </si>
  <si>
    <t>Canarias</t>
  </si>
  <si>
    <t>Mes (MWh)</t>
  </si>
  <si>
    <t>Mes año anterior (MWh)</t>
  </si>
  <si>
    <t>% Incr. Mes</t>
  </si>
  <si>
    <t>Año (MWh)</t>
  </si>
  <si>
    <t>Año anterior (MWh)</t>
  </si>
  <si>
    <t>% Incr. Año</t>
  </si>
  <si>
    <t>Año móvil (MWh)</t>
  </si>
  <si>
    <t>% Incr. Año móvil</t>
  </si>
  <si>
    <t>Mes</t>
  </si>
  <si>
    <t>Sistema Eléctrico</t>
  </si>
  <si>
    <t>Indicadores</t>
  </si>
  <si>
    <t>Balance</t>
  </si>
  <si>
    <t>Último día mes</t>
  </si>
  <si>
    <t>Potencia Instalada UFI (MW)</t>
  </si>
  <si>
    <t>Últimos 13 meses</t>
  </si>
  <si>
    <r>
      <t xml:space="preserve">Fuel/gas </t>
    </r>
    <r>
      <rPr>
        <vertAlign val="superscript"/>
        <sz val="9"/>
        <color rgb="FF004563"/>
        <rFont val="Segoe UI"/>
        <family val="2"/>
      </rPr>
      <t>(1)</t>
    </r>
  </si>
  <si>
    <r>
      <t xml:space="preserve">Evolución de la cobertura de la demanda de las </t>
    </r>
    <r>
      <rPr>
        <b/>
        <sz val="10"/>
        <color theme="1"/>
        <rFont val="Segoe UI"/>
        <family val="2"/>
      </rPr>
      <t>Islas Baleares</t>
    </r>
  </si>
  <si>
    <r>
      <t xml:space="preserve">Evolución de la cobertura de la demanda de las </t>
    </r>
    <r>
      <rPr>
        <b/>
        <sz val="10"/>
        <color theme="1"/>
        <rFont val="Segoe UI"/>
        <family val="2"/>
      </rPr>
      <t>Islas Canarias</t>
    </r>
  </si>
  <si>
    <t>Motores diesel</t>
  </si>
  <si>
    <t>Demanda transporte (b.c.)</t>
  </si>
  <si>
    <t>Generación renovable</t>
  </si>
  <si>
    <t>Generación no renovable</t>
  </si>
  <si>
    <r>
      <t xml:space="preserve">Otras renovables </t>
    </r>
    <r>
      <rPr>
        <vertAlign val="superscript"/>
        <sz val="8"/>
        <color rgb="FF004563"/>
        <rFont val="Arial"/>
        <family val="2"/>
      </rPr>
      <t>(2)</t>
    </r>
  </si>
  <si>
    <r>
      <t xml:space="preserve">Ciclo combinado </t>
    </r>
    <r>
      <rPr>
        <vertAlign val="superscript"/>
        <sz val="8"/>
        <color rgb="FF004563"/>
        <rFont val="Arial"/>
        <family val="2"/>
      </rPr>
      <t>(3)</t>
    </r>
  </si>
  <si>
    <r>
      <rPr>
        <vertAlign val="superscript"/>
        <sz val="8"/>
        <color rgb="FF004563"/>
        <rFont val="Arial"/>
        <family val="2"/>
      </rPr>
      <t>(3)</t>
    </r>
    <r>
      <rPr>
        <sz val="8"/>
        <color rgb="FF004563"/>
        <rFont val="Arial"/>
        <family val="2"/>
      </rPr>
      <t xml:space="preserve"> Incluye funcionamiento en ciclo abierto. En el sistema eléctrico de Canarias utiliza gasoil como combustible principal.</t>
    </r>
  </si>
  <si>
    <r>
      <rPr>
        <vertAlign val="superscript"/>
        <sz val="8"/>
        <color rgb="FF004563"/>
        <rFont val="Arial"/>
        <family val="2"/>
      </rPr>
      <t>(4)</t>
    </r>
    <r>
      <rPr>
        <sz val="8"/>
        <color rgb="FF004563"/>
        <rFont val="Arial"/>
        <family val="2"/>
      </rPr>
      <t xml:space="preserve"> Valor positivo: entrada de energía en el sistema; valor negativo: salida de energía del sistema.</t>
    </r>
  </si>
  <si>
    <r>
      <t xml:space="preserve">Enlace Península-Baleares </t>
    </r>
    <r>
      <rPr>
        <vertAlign val="superscript"/>
        <sz val="8"/>
        <color rgb="FF004563"/>
        <rFont val="Arial"/>
        <family val="2"/>
      </rPr>
      <t>(4)</t>
    </r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</si>
  <si>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motores diésel y turbina de gas</t>
    </r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</si>
  <si>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motores diésel, turbina de gas y vapor.</t>
    </r>
  </si>
  <si>
    <t>Variación Demanda B.C. Mes (%)</t>
  </si>
  <si>
    <t>Efecto Laboralidad Mes (%)</t>
  </si>
  <si>
    <t>Efecto Temperatura Mes (%)</t>
  </si>
  <si>
    <t>Variación Demanda Corregida Mes Móvil (%)</t>
  </si>
  <si>
    <t>Variación Demanda B.C. Año (%)</t>
  </si>
  <si>
    <t>Efecto Laboralidad Año (%)</t>
  </si>
  <si>
    <t>Efecto Temperatura Año (%)</t>
  </si>
  <si>
    <t>Variación Demanda Corregida Año (%)</t>
  </si>
  <si>
    <t>Variación Demanda B.C. Año Móvil (%)</t>
  </si>
  <si>
    <t>Efecto Laboralidad Año Movil (%)</t>
  </si>
  <si>
    <t>Efecto Temperatura Año Movil (%)</t>
  </si>
  <si>
    <t>Variación Demanda Corregida Año Móvil (%)</t>
  </si>
  <si>
    <t>Día</t>
  </si>
  <si>
    <t>MWh</t>
  </si>
  <si>
    <t>Enero 2024</t>
  </si>
  <si>
    <t>Febrero 2024</t>
  </si>
  <si>
    <t>Marzo 2024</t>
  </si>
  <si>
    <t>Abril 2024</t>
  </si>
  <si>
    <t>Mayo 2024</t>
  </si>
  <si>
    <t>Junio 2024</t>
  </si>
  <si>
    <t>Julio 2024</t>
  </si>
  <si>
    <t>Agosto 2024</t>
  </si>
  <si>
    <t>Septiembre 2024</t>
  </si>
  <si>
    <t>Octubre 2024</t>
  </si>
  <si>
    <t>Noviembre 2024</t>
  </si>
  <si>
    <t>Diciembre 2024</t>
  </si>
  <si>
    <t>Enero 2025</t>
  </si>
  <si>
    <t>Entrega batería</t>
  </si>
  <si>
    <t>Carga batería</t>
  </si>
  <si>
    <t>Febrero 2025</t>
  </si>
  <si>
    <t>Saldo almacenamiento</t>
  </si>
  <si>
    <t>Estructura de potencia instalada de generación Islas Baleares</t>
  </si>
  <si>
    <t>Estructura de potencia instalada de generación Islas Canarias</t>
  </si>
  <si>
    <t xml:space="preserve">Evolución de la estructura de generación de las Islas Baleares
</t>
  </si>
  <si>
    <t xml:space="preserve">Evolución de la estructura de generación de las Islas Canarias
</t>
  </si>
  <si>
    <t>Cobertura de la demanda y estructura de generación mensual. Islas Baleares</t>
  </si>
  <si>
    <t>Estructura de generación mensual. Islas Canarias</t>
  </si>
  <si>
    <t>Estructura generación (%)</t>
  </si>
  <si>
    <t>Cobertura demanda (%)</t>
  </si>
  <si>
    <t>Estructura de generación mensual Islas Baleares</t>
  </si>
  <si>
    <t>Estructura de generación mensual Islas Canarias</t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</si>
  <si>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Incluye biogás.</t>
    </r>
  </si>
  <si>
    <t>Marzo 2025</t>
  </si>
  <si>
    <t>No renovables</t>
  </si>
  <si>
    <t>Renovables</t>
  </si>
  <si>
    <t>Baleares (%)</t>
  </si>
  <si>
    <t>Canarias (%)</t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</si>
  <si>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funcionamiento en ciclo abierto.</t>
    </r>
  </si>
  <si>
    <r>
      <t xml:space="preserve">Ciclo combinado </t>
    </r>
    <r>
      <rPr>
        <vertAlign val="superscript"/>
        <sz val="9"/>
        <color rgb="FF004563"/>
        <rFont val="Segoe UI"/>
        <family val="2"/>
      </rPr>
      <t>(1)</t>
    </r>
  </si>
  <si>
    <t>Abril 2025</t>
  </si>
  <si>
    <t>Mayo 2025</t>
  </si>
  <si>
    <t>Producción</t>
  </si>
  <si>
    <t>Estructura de potencia instalada de almacenamiento 
Islas Baleares</t>
  </si>
  <si>
    <t>Baterías</t>
  </si>
  <si>
    <t>Saldo</t>
  </si>
  <si>
    <t>Entregas a la red</t>
  </si>
  <si>
    <t>Tomas de la red</t>
  </si>
  <si>
    <t>Evolución de la energía de almacenamiento 
Islas Baleares</t>
  </si>
  <si>
    <t>Balance de energía de almacenamiento 
Islas Baleares</t>
  </si>
  <si>
    <t>Saldo total Islas Baleares</t>
  </si>
  <si>
    <t>Entrega baterías</t>
  </si>
  <si>
    <t>Estructura de energía de almacenamiento Islas Baleares</t>
  </si>
  <si>
    <t>Evolución de la energía de almacenamiento Islas Baleares (MWh)</t>
  </si>
  <si>
    <t>Junio 2025</t>
  </si>
  <si>
    <t>Julio 2025</t>
  </si>
  <si>
    <t>Carga baterías</t>
  </si>
  <si>
    <t>Agosto 2025</t>
  </si>
  <si>
    <t>Septiembre 2025</t>
  </si>
  <si>
    <t>30/09/2025</t>
  </si>
  <si>
    <t>&lt;mi app="e" ver="22"&gt;&lt;rptloc guid="1cd74fe626db4be0a2fcb96304e1ba6d" rank="0" ds="1"&gt;&lt;ri hasPG="0" name="Mes del informe" id="6B81E4A345D0B50062DA74B86812DB5B" path="Objetos públicos\Informes\Informes macros\Boletín\Mes del informe"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ut="10/09/2025 07:38:29" si="2.00000001520b156f445abb60dccff6981492d6d7e61ee0095c83b110c643f42571b08850ad70d9c506088544cfb07b3221e6bbc9e6bbe9e618f04b4f84db03971fed3d9936d8dadb967d9f7cfc903b4c7b1a81b35f4328f522654879c73e184f6915befb63aa3afc3abc1778565604728d64e5408833cc891bc1e25026a1a2d5474a229a77d35cd75d94b999235c5ee43d7853e379341cac8112741b03816b820f840bb49f832567ff50c5e50c6ac0a101171ad758a169788917cfecbac2a1d1b6a2c92655c448929afbd3702332e133053ab24e73449f4ad829e89a008a54e437613a031c206694d1c0d2ddbf614b6a031656b699923c89bd5bc39a6be7258577f75622aeea0177c15364abac9df273004583f77fb8ea61a83bff82babae789c530.p-3082.0.1_-3082.0.1_0.1.Europe/Madrid.upriv*_1*_pidn2*_20*_session*-lat*_1.00000001330d855c89dc82b848ddd33791ac5929bc6025e067d1cb055d68562881c341ac5ae9fafbd6b585dabe91e152b9fce5df43333f58.000000015fe7857e19010563fe97d1933b3ceda1bc6025e07f6c1cd1889ba4c83ccb803716413e3be9deaa8817c1cb7fdb5940252ce5263c.0.1.1.BDEbi.A2E2948BC74B9CF051A963A6CEDDABFA.0-3082.1.1_-0.1.0_-3082.1.1_5.5.0.*0.0000000110475ee2726266721af1a66a1697896ac911585aa099b0b46b6cedaa2316f70957409608.0.23.11*.4*.1200*.00787J.e.0000000110ea71e6f9352ac41a6c923d59ab3859c911585a350b79aece164092d57ca67a72242e43.0.10*.131*.138*.19.*0.0.0.0" msgID="DAD78F25BE48B3CAB84F23B83B1C6621"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ece="A1" enr="MSTR.Último_día_del_mes" ptn="" qtn="" rows="2" cols="2" /&gt;&lt;esdo ews="" ece="" ptn="" /&gt;&lt;/excel&gt;&lt;pgs&gt;&lt;pg rows="1" cols="0" nrr="111" nrc="0"&gt;&lt;pg /&gt;&lt;bls&gt;&lt;bl sr="1" sc="1" rfetch="1" cfetch="0" posid="1" darows="0" dacols="1"&gt;&lt;excel&gt;&lt;epo ews="Dat_01" ece="A1" enr="MSTR.Último_día_del_mes" ptn="" qtn="" rows="2" cols="2" /&gt;&lt;esdo ews="" ece="" ptn="" /&gt;&lt;/excel&gt;&lt;gridRng&gt;&lt;sect id="TITLE_AREA" rngprop="1:1:1:2" /&gt;&lt;sect id="ROWHEADERS_AREA" rngprop="2:1:1:2" /&gt;&lt;sect id="COLUMNHEADERS_AREA" rngprop="0:0:0:0" /&gt;&lt;sect id="DATA_AREA" rngprop="2:3:1:0" /&gt;&lt;/gridRng&gt;&lt;shapes /&gt;&lt;/bl&gt;&lt;/bls&gt;&lt;/pg&gt;&lt;/pgs&gt;&lt;/rptloc&gt;&lt;/mi&gt;</t>
  </si>
  <si>
    <t>&lt;mi app="e" ver="22"&gt;&lt;rptloc guid="51b9243dd4a64af3bc085fad164b8a9f" rank="0" ds="1"&gt;&lt;ri hasPG="0" name="Balance B.C. Mensual Sistemas Eléctricos no Peninsulares" id="0CD2FE5A4DC94A40A112BF8B59A83511" path="Objetos públicos\Informes\Informes macros\Boletín\Balance B.C. Mensual Sistemas Eléctricos no Peninsulares" cf="0" prompt="1" ve="0" vm="0" flashpth="d:\Usuarios\ARACABIV\AppData\Local\Temp\" fimagepth="d:\Usuarios\ARACABIV\AppData\Local\Temp\" swfn="DashboardViewer.swf" fvars="" dvis=""&gt;&lt;ans /&gt;&lt;ci ps="BI" srv="apbi5a" prj="BDEbi" prjid="A2E2948BC74B9CF051A963A6CEDDABFA" li="SEVPENMA" am="s" /&gt;&lt;lu ut="10/09/2025 07:42:01" si="2.00000001520b156f445abb60dccff6981492d6d7e61ee0095c83b110c643f42571b08850ad70d9c506088544cfb07b3221e6bbc9e6bbe9e618f04b4f84db03971fed3d9936d8dadb967d9f7cfc903b4c7b1a81b35f4328f522654879c73e184f6915befb63aa3afc3abc1778565604728d64e5408833cc891bc1e25026a1a2d5474a229a77d35cd75d94b999235c5ee43d7853e379341cac8112741b03816b820f840bb49f832567ff50c5e50c6ac0a101171ad758a169788917cfecbac2a1d1b6a2c92655c448929afbd3702332e133053ab24e73449f4ad829e89a008a54e437613a031c206694d1c0d2ddbf614b6a031656b699923c89bd5bc39a6be7258577f75622aeea0177c15364abac9df273004583f77fb8ea61a83bff82babae789c530.p-3082.0.1_-3082.0.1_0.1.Europe/Madrid.upriv*_1*_pidn2*_20*_session*-lat*_1.00000001330d855c89dc82b848ddd33791ac5929bc6025e067d1cb055d68562881c341ac5ae9fafbd6b585dabe91e152b9fce5df43333f58.000000015fe7857e19010563fe97d1933b3ceda1bc6025e07f6c1cd1889ba4c83ccb803716413e3be9deaa8817c1cb7fdb5940252ce5263c.0.1.1.BDEbi.A2E2948BC74B9CF051A963A6CEDDABFA.0-3082.1.1_-0.1.0_-3082.1.1_5.5.0.*0.0000000110475ee2726266721af1a66a1697896ac911585aa099b0b46b6cedaa2316f70957409608.0.23.11*.4*.1200*.00787J.e.0000000110ea71e6f9352ac41a6c923d59ab3859c911585a350b79aece164092d57ca67a72242e43.0.10*.131*.138*.19.*0.0.0.0" msgID="E7480C14CA4052F7D5AFB3BF5C88DF19"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ece="A4" enr="MSTR.Balance_B.C._Mensual_Sistemas_Eléctricos_no_Peninsulares" ptn="" qtn="" rows="23" cols="33" /&gt;&lt;esdo ews="" ece="" ptn="" /&gt;&lt;/excel&gt;&lt;pgs&gt;&lt;pg rows="19" cols="32" nrr="2005" nrc="3712"&gt;&lt;pg /&gt;&lt;bls&gt;&lt;bl sr="1" sc="1" rfetch="19" cfetch="32" posid="1" darows="0" dacols="1"&gt;&lt;excel&gt;&lt;epo ews="Dat_01" ece="A4" enr="MSTR.Balance_B.C._Mensual_Sistemas_Eléctricos_no_Peninsulares" ptn="" qtn="" rows="23" cols="33" /&gt;&lt;esdo ews="" ece="" ptn="" /&gt;&lt;/excel&gt;&lt;gridRng&gt;&lt;sect id="TITLE_AREA" rngprop="1:1:4:1" /&gt;&lt;sect id="ROWHEADERS_AREA" rngprop="5:1:19:1" /&gt;&lt;sect id="COLUMNHEADERS_AREA" rngprop="1:2:4:32" /&gt;&lt;sect id="DATA_AREA" rngprop="5:2:19:32" /&gt;&lt;/gridRng&gt;&lt;shapes /&gt;&lt;/bl&gt;&lt;/bls&gt;&lt;/pg&gt;&lt;/pgs&gt;&lt;/rptloc&gt;&lt;/mi&gt;</t>
  </si>
  <si>
    <t>Octubre 2025</t>
  </si>
  <si>
    <t>&lt;mi app="e" ver="22"&gt;&lt;rptloc guid="69137ec50e134071a0874318e64c6117" rank="0" ds="1"&gt;&lt;ri hasPG="0" name="Serie Balance B.C. Mensual Baleares y Canarias" id="DC9C734C4A624A40A9D87789D6F66867" path="Objetos públicos\Informes\Informes macros\Boletín\Serie Balance B.C. Mensual Baleares y Canarias" cf="0" prompt="0" ve="0" vm="0" flashpth="d:\Usuarios\ARACABIV\AppData\Local\Temp\" fimagepth="d:\Usuarios\ARACABIV\AppData\Local\Temp\" swfn="DashboardViewer.swf" fvars="" dvis=""&gt;&lt;ci ps="BI" srv="APBI5A" prj="BDEbi" prjid="A2E2948BC74B9CF051A963A6CEDDABFA" li="SEVPENMA" am="s" /&gt;&lt;lu ut="10/09/2025 08:40:38" si="2.0000000181886377120fa89073ee200c3e8450a19f645d040bb83ed76931881f68e140b1d41b69fc784ca2e1e22966f8391e9e9272c5d97d73963cb634d77c971851cea0020014eb3fb8801f8ec3eba456eb699d13f17e888162745daabe2e04d665d480f9249c6b106ddf21e31a22133683db39548fcfc2e8044cfdff4e9479598616001027a8371c7ab2e67aba2fa27af0b22800151046930509ec38bc757d4cf52738a3e2d091238c85f6a9db18ae2eead468d087a1419625efdb1434f50959a2f138ef434f07627bef037d72c3855e62fd8bb73db9836252a380b9af5e90a0c4ecfb87e2d84d5d984cf956f02e16f0d497fbebed7445fc4cc5e01c5299d4e9d87af56bea7c95b689e6b7ba3076a7f57fe327f131d76816d31eda397070e43017.p-3082.0.1_-3082.0.1_0.1.Europe/Madrid.upriv*_1*_pidn2*_20*_session*-lat*_1.0000000180a7f535ebea48c5f891a8207ccf2115bc6025e0922424c67ab924a7b984980054dba929c4ca6457614f1928615ec3f3a2efd052.00000001a4eede256b32e00d5e0c93843a62126abc6025e009fcd86114673c699209cdde3526f789686ad9ed9381eed0b679a4b12a2ffc5b.0.1.1.BDEbi.A2E2948BC74B9CF051A963A6CEDDABFA.0-3082.1.1_-0.1.0_-3082.1.1_5.5.0.*0.0000000157c33e60441511dbee6fc398834c119cc911585a71f5d0a58aba446f72ada58ce6dcc950.0.23.11*.4*.1200*.00787J.e.000000010eff40ef4ec1d1d75462419bed101fe7c911585a37dffdacc89f3a5367c8e68782a196a1.0.10*.131*.138*.19.*0.0.0.0" msgID="BA5FF24A82498ED9E9BC508F50F8AA91"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ece="A85" enr="MSTR.Serie_Balance_B.C._Mensual_Baleares_y_Canarias" ptn="" qtn="" rows="30" cols="24" /&gt;&lt;esdo ews="" ece="" ptn="" /&gt;&lt;/excel&gt;&lt;pgs&gt;&lt;pg rows="27" cols="22" nrr="2866" nrc="2167"&gt;&lt;pg /&gt;&lt;bls&gt;&lt;bl sr="1" sc="1" rfetch="27" cfetch="22" posid="1" darows="0" dacols="1"&gt;&lt;excel&gt;&lt;epo ews="Dat_01" ece="A85" enr="MSTR.Serie_Balance_B.C._Mensual_Baleares_y_Canarias" ptn="" qtn="" rows="30" cols="24" /&gt;&lt;esdo ews="" ece="" ptn="" /&gt;&lt;/excel&gt;&lt;gridRng&gt;&lt;sect id="TITLE_AREA" rngprop="1:1:3:2" /&gt;&lt;sect id="ROWHEADERS_AREA" rngprop="4:1:27:2" /&gt;&lt;sect id="COLUMNHEADERS_AREA" rngprop="1:3:3:22" /&gt;&lt;sect id="DATA_AREA" rngprop="4:3:27:22" /&gt;&lt;/gridRng&gt;&lt;shapes /&gt;&lt;/bl&gt;&lt;/bls&gt;&lt;/pg&gt;&lt;/pgs&gt;&lt;/rptloc&gt;&lt;/mi&gt;</t>
  </si>
  <si>
    <t>&lt;mi app="e" ver="22"&gt;&lt;rptloc guid="c8a810b5eb324a42b0eb076d726a40d1" rank="0" ds="1"&gt;&lt;ri hasPG="0" name="Variación y componentes mensual de la demanda" id="004850134E7745A2BD365FB53E00C967" path="Objetos públicos\Informes\Demanda B.C.\Variación y componentes mensual de la demanda" cf="0" prompt="1" ve="0" vm="0" flashpth="C:\Users\SEVPENMA\AppData\Local\Temp\" fimagepth="C:\Users\SEVPENMA\AppData\Local\Temp\" swfn="DashboardViewer.swf" fvars="" dvis=""&gt;&lt;ans&gt;&lt;pan pk="195DDDD54E4256F86F7235A6C4D4ABE4@0@10" aid="" /&gt;&lt;pan pk="86BA8826468B4BC44041DF8DC3E31322@0@10" aid="" /&gt;&lt;pan pk="6383F02949E1244BCE94A09C4486F039@0@10" aid="" /&gt;&lt;/ans&gt;&lt;ci ps="BI" srv="APBI5A" prj="BDEbi" prjid="A2E2948BC74B9CF051A963A6CEDDABFA" li="SEVPENMA" am="s" /&gt;&lt;lu ut="10/09/2025 08:41:30" si="2.0000000181886377120fa89073ee200c3e8450a19f645d040bb83ed76931881f68e140b1d41b69fc784ca2e1e22966f8391e9e9272c5d97d73963cb634d77c971851cea0020014eb3fb8801f8ec3eba456eb699d13f17e888162745daabe2e04d665d480f9249c6b106ddf21e31a22133683db39548fcfc2e8044cfdff4e9479598616001027a8371c7ab2e67aba2fa27af0b22800151046930509ec38bc757d4cf52738a3e2d091238c85f6a9db18ae2eead468d087a1419625efdb1434f50959a2f138ef434f07627bef037d72c3855e62fd8bb73db9836252a380b9af5e90a0c4ecfb87e2d84d5d984cf956f02e16f0d497fbebed7445fc4cc5e01c5299d4e9d87af56bea7c95b689e6b7ba3076a7f57fe327f131d76816d31eda397070e43017.p-3082.0.1_-3082.0.1_0.1.Europe/Madrid.upriv*_1*_pidn2*_20*_session*-lat*_1.0000000180a7f535ebea48c5f891a8207ccf2115bc6025e0922424c67ab924a7b984980054dba929c4ca6457614f1928615ec3f3a2efd052.00000001a4eede256b32e00d5e0c93843a62126abc6025e009fcd86114673c699209cdde3526f789686ad9ed9381eed0b679a4b12a2ffc5b.0.1.1.BDEbi.A2E2948BC74B9CF051A963A6CEDDABFA.0-3082.1.1_-0.1.0_-3082.1.1_5.5.0.*0.0000000157c33e60441511dbee6fc398834c119cc911585a71f5d0a58aba446f72ada58ce6dcc950.0.23.11*.4*.1200*.00787J.e.000000010eff40ef4ec1d1d75462419bed101fe7c911585a37dffdacc89f3a5367c8e68782a196a1.0.10*.131*.138*.19.*0.0.0.0" msgID="6E91553FD340C7AE01261C8EF7730BC2" /&gt;&lt;/ri&gt;&lt;do pa="0"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ece="A153" enr="MSTR.Variación_y_componentes_mensual_de_la_demanda" ptn="" qtn="" rows="4" cols="14" /&gt;&lt;esdo ews="" ece="" ptn="" /&gt;&lt;/excel&gt;&lt;pgs&gt;&lt;pg rows="1" cols="12" nrr="14" nrc="168"&gt;&lt;pg /&gt;&lt;bls&gt;&lt;bl sr="1" sc="1" rfetch="1" cfetch="12" posid="1" darows="0" dacols="1"&gt;&lt;excel&gt;&lt;epo ews="Dat_01" ece="A153" enr="MSTR.Variación_y_componentes_mensual_de_la_demanda" ptn="" qtn="" rows="4" cols="14" /&gt;&lt;esdo ews="" ece="" ptn="" /&gt;&lt;/excel&gt;&lt;gridRng&gt;&lt;sect id="TITLE_AREA" rngprop="1:1:3:2" /&gt;&lt;sect id="ROWHEADERS_AREA" rngprop="4:1:1:2" /&gt;&lt;sect id="COLUMNHEADERS_AREA" rngprop="1:3:3:12" /&gt;&lt;sect id="DATA_AREA" rngprop="4:3:1:12" /&gt;&lt;/gridRng&gt;&lt;shapes /&gt;&lt;/bl&gt;&lt;/bls&gt;&lt;/pg&gt;&lt;/pgs&gt;&lt;/rptloc&gt;&lt;/mi&gt;</t>
  </si>
  <si>
    <t>c7eedfa1212c447db2cc32b683de029e</t>
  </si>
  <si>
    <t>&lt;mi app="e" ver="22"&gt;&lt;rptloc guid="d7d772cc3c7b45a998d873c2620c819c" rank="0" ds="1"&gt;&lt;ri hasPG="0" name="Variación y componentes mensual de la demanda" id="004850134E7745A2BD365FB53E00C967" path="Objetos públicos\Informes\Demanda B.C.\Variación y componentes mensual de la demanda" cf="0" prompt="1" ve="0" vm="0" flashpth="C:\Users\SEVPENMA\AppData\Local\Temp\" fimagepth="C:\Users\SEVPENMA\AppData\Local\Temp\" swfn="DashboardViewer.swf" fvars="" dvis=""&gt;&lt;ans&gt;&lt;pan pk="195DDDD54E4256F86F7235A6C4D4ABE4@0@10" aid="" /&gt;&lt;pan pk="86BA8826468B4BC44041DF8DC3E31322@0@10" aid="" /&gt;&lt;pan pk="6383F02949E1244BCE94A09C4486F039@0@10" aid="" /&gt;&lt;/ans&gt;&lt;ci ps="BI" srv="APBI5A" prj="BDEbi" prjid="A2E2948BC74B9CF051A963A6CEDDABFA" li="SEVPENMA" am="s" /&gt;&lt;lu ut="10/09/2025 08:42:03" si="2.0000000181886377120fa89073ee200c3e8450a19f645d040bb83ed76931881f68e140b1d41b69fc784ca2e1e22966f8391e9e9272c5d97d73963cb634d77c971851cea0020014eb3fb8801f8ec3eba456eb699d13f17e888162745daabe2e04d665d480f9249c6b106ddf21e31a22133683db39548fcfc2e8044cfdff4e9479598616001027a8371c7ab2e67aba2fa27af0b22800151046930509ec38bc757d4cf52738a3e2d091238c85f6a9db18ae2eead468d087a1419625efdb1434f50959a2f138ef434f07627bef037d72c3855e62fd8bb73db9836252a380b9af5e90a0c4ecfb87e2d84d5d984cf956f02e16f0d497fbebed7445fc4cc5e01c5299d4e9d87af56bea7c95b689e6b7ba3076a7f57fe327f131d76816d31eda397070e43017.p-3082.0.1_-3082.0.1_0.1.Europe/Madrid.upriv*_1*_pidn2*_20*_session*-lat*_1.0000000180a7f535ebea48c5f891a8207ccf2115bc6025e0922424c67ab924a7b984980054dba929c4ca6457614f1928615ec3f3a2efd052.00000001a4eede256b32e00d5e0c93843a62126abc6025e009fcd86114673c699209cdde3526f789686ad9ed9381eed0b679a4b12a2ffc5b.0.1.1.BDEbi.A2E2948BC74B9CF051A963A6CEDDABFA.0-3082.1.1_-0.1.0_-3082.1.1_5.5.0.*0.0000000157c33e60441511dbee6fc398834c119cc911585a71f5d0a58aba446f72ada58ce6dcc950.0.23.11*.4*.1200*.00787J.e.000000010eff40ef4ec1d1d75462419bed101fe7c911585a37dffdacc89f3a5367c8e68782a196a1.0.10*.131*.138*.19.*0.0.0.0" msgID="49FB3C143244776ECDB75B89DDA4F0CE" /&gt;&lt;/ri&gt;&lt;do pa="0"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ece="A159" enr="MSTR.Variación_y_componentes_mensual_de_la_demanda.1" ptn="" qtn="" rows="4" cols="14" /&gt;&lt;esdo ews="" ece="" ptn="" /&gt;&lt;/excel&gt;&lt;pgs&gt;&lt;pg rows="1" cols="12" nrr="15" nrc="180"&gt;&lt;pg /&gt;&lt;bls&gt;&lt;bl sr="1" sc="1" rfetch="1" cfetch="12" posid="1" darows="0" dacols="1"&gt;&lt;excel&gt;&lt;epo ews="Dat_01" ece="A159" enr="MSTR.Variación_y_componentes_mensual_de_la_demanda.1" ptn="" qtn="" rows="4" cols="14" /&gt;&lt;esdo ews="" ece="" ptn="" /&gt;&lt;/excel&gt;&lt;gridRng&gt;&lt;sect id="TITLE_AREA" rngprop="1:1:3:2" /&gt;&lt;sect id="ROWHEADERS_AREA" rngprop="4:1:1:2" /&gt;&lt;sect id="COLUMNHEADERS_AREA" rngprop="1:3:3:12" /&gt;&lt;sect id="DATA_AREA" rngprop="4:3:1:12" /&gt;&lt;/gridRng&gt;&lt;shapes /&gt;&lt;/bl&gt;&lt;/bls&gt;&lt;/pg&gt;&lt;/pgs&gt;&lt;/rptloc&gt;&lt;/mi&gt;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</si>
</sst>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#,##0.000"/>
    <numFmt numFmtId="165" formatCode="#,##0.0"/>
    <numFmt numFmtId="166" formatCode="0_)"/>
    <numFmt numFmtId="167" formatCode="0.0\ \ \ \ _)"/>
    <numFmt numFmtId="168" formatCode="0.0"/>
    <numFmt numFmtId="169" formatCode="0.0_)"/>
    <numFmt numFmtId="170" formatCode="0.000_)"/>
    <numFmt numFmtId="171" formatCode="#,##0.00000"/>
    <numFmt numFmtId="172" formatCode="0.000"/>
    <numFmt numFmtId="173" formatCode="0.0%"/>
    <numFmt numFmtId="174" formatCode="[$-C0A]mmm\-yy;@"/>
  </numFmts>
  <fonts count="59">
    <font>
      <sz val="11"/>
      <color theme="1"/>
      <name val="Calibri"/>
      <family val="2"/>
      <scheme val="minor"/>
    </font>
    <font>
      <sz val="10"/>
      <name val="Geneva"/>
      <family val="2"/>
    </font>
    <font>
      <sz val="8"/>
      <color indexed="8"/>
      <name val="Arial"/>
      <family val="2"/>
    </font>
    <font>
      <sz val="10"/>
      <name val="Geneva"/>
    </font>
    <font>
      <sz val="8"/>
      <name val="Arial"/>
      <family val="2"/>
    </font>
    <font>
      <sz val="8"/>
      <color rgb="FF004563"/>
      <name val="Arial"/>
      <family val="2"/>
    </font>
    <font>
      <vertAlign val="superscript"/>
      <sz val="8"/>
      <color rgb="FF004563"/>
      <name val="Arial"/>
      <family val="2"/>
    </font>
    <font>
      <b/>
      <sz val="8"/>
      <color rgb="FF004563"/>
      <name val="Arial"/>
      <family val="2"/>
    </font>
    <font>
      <b/>
      <sz val="8"/>
      <color indexed="8"/>
      <name val="Arial"/>
      <family val="2"/>
    </font>
    <font>
      <sz val="8"/>
      <color theme="0" tint="-0.499984740745262"/>
      <name val="Arial"/>
      <family val="2"/>
    </font>
    <font>
      <sz val="8"/>
      <color indexed="56"/>
      <name val="Arial"/>
      <family val="2"/>
    </font>
    <font>
      <b/>
      <sz val="8"/>
      <color indexed="9"/>
      <name val="Arial"/>
      <family val="2"/>
    </font>
    <font>
      <sz val="8"/>
      <color indexed="9"/>
      <name val="Arial"/>
      <family val="2"/>
    </font>
    <font>
      <b/>
      <vertAlign val="superscript"/>
      <sz val="8"/>
      <color rgb="FF004563"/>
      <name val="Arial"/>
      <family val="2"/>
    </font>
    <font>
      <b/>
      <sz val="10"/>
      <color rgb="FF004563"/>
      <name val="Arial"/>
      <family val="2"/>
    </font>
    <font>
      <sz val="10"/>
      <name val="Arial"/>
      <family val="2"/>
    </font>
    <font>
      <sz val="10"/>
      <color indexed="32"/>
      <name val="Avant Garde"/>
    </font>
    <font>
      <sz val="10"/>
      <color indexed="56"/>
      <name val="Geneva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0"/>
      <color indexed="8"/>
      <name val="Geneva"/>
    </font>
    <font>
      <b/>
      <sz val="10"/>
      <color indexed="8"/>
      <name val="Arial"/>
      <family val="2"/>
    </font>
    <font>
      <u/>
      <sz val="10"/>
      <color indexed="12"/>
      <name val="Geneva"/>
    </font>
    <font>
      <b/>
      <sz val="8"/>
      <color theme="0"/>
      <name val="Arial"/>
      <family val="2"/>
    </font>
    <font>
      <b/>
      <sz val="9"/>
      <color rgb="FF004563"/>
      <name val="Arial"/>
      <family val="2"/>
    </font>
    <font>
      <sz val="10"/>
      <color indexed="8"/>
      <name val="Geneva"/>
      <family val="2"/>
    </font>
    <font>
      <sz val="10"/>
      <color indexed="56"/>
      <name val="Geneva"/>
      <family val="2"/>
    </font>
    <font>
      <sz val="14"/>
      <color indexed="21"/>
      <name val="Arial"/>
      <family val="2"/>
    </font>
    <font>
      <u/>
      <sz val="10"/>
      <color indexed="12"/>
      <name val="Geneva"/>
      <family val="2"/>
    </font>
    <font>
      <sz val="10"/>
      <color indexed="21"/>
      <name val="Symbol"/>
      <family val="1"/>
      <charset val="2"/>
    </font>
    <font>
      <sz val="10"/>
      <color theme="1"/>
      <name val="Segoe UI"/>
      <family val="2"/>
    </font>
    <font>
      <b/>
      <sz val="10"/>
      <color theme="1"/>
      <name val="Segoe UI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8"/>
      <color rgb="FF000000"/>
      <name val="Verdana"/>
      <family val="2"/>
    </font>
    <font>
      <sz val="8"/>
      <color rgb="FF4E5E78"/>
      <name val="Verdana"/>
      <family val="2"/>
    </font>
    <font>
      <i/>
      <sz val="8"/>
      <color rgb="FF4E5E78"/>
      <name val="Verdana"/>
      <family val="2"/>
    </font>
    <font>
      <b/>
      <sz val="8"/>
      <color rgb="FF4E5E78"/>
      <name val="Verdana"/>
      <family val="2"/>
    </font>
    <font>
      <sz val="11"/>
      <color rgb="FF000000"/>
      <name val="Calibri"/>
      <family val="2"/>
      <scheme val="minor"/>
    </font>
    <font>
      <sz val="11"/>
      <name val="Arial"/>
      <family val="2"/>
    </font>
    <font>
      <b/>
      <i/>
      <sz val="8"/>
      <color rgb="FF4E5E78"/>
      <name val="Verdana"/>
      <family val="2"/>
    </font>
    <font>
      <b/>
      <i/>
      <sz val="8"/>
      <color rgb="FF000000"/>
      <name val="Verdana"/>
      <family val="2"/>
    </font>
    <font>
      <b/>
      <sz val="9"/>
      <name val="Segoe UI"/>
      <family val="2"/>
    </font>
    <font>
      <b/>
      <sz val="9"/>
      <color rgb="FF004563"/>
      <name val="Segoe UI"/>
      <family val="2"/>
    </font>
    <font>
      <sz val="9"/>
      <color rgb="FF004563"/>
      <name val="Segoe UI"/>
      <family val="2"/>
    </font>
    <font>
      <sz val="9"/>
      <color theme="1"/>
      <name val="Segoe UI"/>
      <family val="2"/>
    </font>
    <font>
      <vertAlign val="superscript"/>
      <sz val="9"/>
      <color rgb="FF004563"/>
      <name val="Segoe UI"/>
      <family val="2"/>
    </font>
    <font>
      <b/>
      <sz val="8"/>
      <color rgb="FF0B428E"/>
      <name val="Arial"/>
      <family val="2"/>
    </font>
    <font>
      <sz val="8"/>
      <color rgb="FF25396E"/>
      <name val="Arial"/>
      <family val="2"/>
    </font>
    <font>
      <sz val="9"/>
      <color rgb="FFFF0000"/>
      <name val="Segoe UI"/>
      <family val="2"/>
    </font>
    <font>
      <sz val="11"/>
      <color theme="1"/>
      <name val="Calibri"/>
      <family val="2"/>
      <scheme val="minor"/>
    </font>
    <font>
      <b/>
      <sz val="8"/>
      <color rgb="FF003366"/>
      <name val="Arial"/>
      <family val="2"/>
    </font>
    <font>
      <sz val="10"/>
      <name val="Avant Garde"/>
    </font>
    <font>
      <sz val="10"/>
      <color indexed="9"/>
      <name val="Geneva"/>
    </font>
    <font>
      <sz val="10"/>
      <color indexed="9"/>
      <name val="Arial"/>
      <family val="2"/>
    </font>
    <font>
      <sz val="10"/>
      <color indexed="32"/>
      <name val="Arial"/>
      <family val="2"/>
    </font>
    <font>
      <sz val="9"/>
      <color indexed="32"/>
      <name val="Arial"/>
      <family val="2"/>
    </font>
    <font>
      <sz val="10"/>
      <color rgb="FFFF0000"/>
      <name val="Geneva"/>
    </font>
    <font>
      <b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  <fill>
      <patternFill patternType="solid">
        <fgColor rgb="FF005463"/>
        <bgColor indexed="64"/>
      </patternFill>
    </fill>
    <fill>
      <patternFill patternType="solid">
        <fgColor rgb="FF004563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CC99"/>
        <bgColor rgb="FFFFFFFF"/>
      </patternFill>
    </fill>
    <fill>
      <patternFill patternType="solid">
        <fgColor rgb="FF8192AD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FDFDF"/>
        <bgColor rgb="FFFFFFFF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/>
      <right/>
      <top style="thin">
        <color rgb="FFA6A6A6"/>
      </top>
      <bottom style="thin">
        <color rgb="FFA6A6A6"/>
      </bottom>
      <diagonal/>
    </border>
    <border>
      <left/>
      <right/>
      <top/>
      <bottom style="thin">
        <color rgb="FFA6A6A6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/>
      <top style="thin">
        <color rgb="FFA6A6A6"/>
      </top>
      <bottom/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thin">
        <color indexed="22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C0C0C0"/>
      </bottom>
      <diagonal/>
    </border>
    <border>
      <left style="thin">
        <color rgb="FFC0C0C0"/>
      </left>
      <right/>
      <top/>
      <bottom style="thin">
        <color rgb="FFC0C0C0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indexed="64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theme="0" tint="-4.9989318521683403E-2"/>
      </bottom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0" tint="-4.9989318521683403E-2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A6A6A6"/>
      </top>
      <bottom/>
      <diagonal/>
    </border>
    <border>
      <left style="thin">
        <color theme="0" tint="-4.9989318521683403E-2"/>
      </left>
      <right style="thin">
        <color indexed="64"/>
      </right>
      <top style="thin">
        <color theme="0" tint="-4.9989318521683403E-2"/>
      </top>
      <bottom style="thin">
        <color indexed="64"/>
      </bottom>
      <diagonal/>
    </border>
    <border>
      <left/>
      <right style="thin">
        <color indexed="64"/>
      </right>
      <top style="thin">
        <color theme="0" tint="-4.9989318521683403E-2"/>
      </top>
      <bottom/>
      <diagonal/>
    </border>
    <border>
      <left/>
      <right style="thin">
        <color indexed="64"/>
      </right>
      <top/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/>
      <diagonal/>
    </border>
    <border>
      <left/>
      <right style="thin">
        <color rgb="FFA6A6A6"/>
      </right>
      <top/>
      <bottom/>
      <diagonal/>
    </border>
    <border>
      <left/>
      <right style="thin">
        <color rgb="FFA6A6A6"/>
      </right>
      <top/>
      <bottom style="thin">
        <color rgb="FFA6A6A6"/>
      </bottom>
      <diagonal/>
    </border>
    <border>
      <left/>
      <right style="thin">
        <color auto="1"/>
      </right>
      <top style="thin">
        <color rgb="FFA6A6A6"/>
      </top>
      <bottom style="thin">
        <color rgb="FFA6A6A6"/>
      </bottom>
      <diagonal/>
    </border>
    <border>
      <left/>
      <right style="thin">
        <color rgb="FFC0C0C0"/>
      </right>
      <top/>
      <bottom/>
      <diagonal/>
    </border>
  </borders>
  <cellStyleXfs count="36">
    <xf numFmtId="0" fontId="0" fillId="0" borderId="0"/>
    <xf numFmtId="0" fontId="1" fillId="0" borderId="0"/>
    <xf numFmtId="0" fontId="3" fillId="0" borderId="0"/>
    <xf numFmtId="0" fontId="1" fillId="0" borderId="0"/>
    <xf numFmtId="166" fontId="3" fillId="0" borderId="0"/>
    <xf numFmtId="0" fontId="15" fillId="0" borderId="0"/>
    <xf numFmtId="0" fontId="15" fillId="0" borderId="0"/>
    <xf numFmtId="166" fontId="3" fillId="0" borderId="0"/>
    <xf numFmtId="0" fontId="15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3" fillId="0" borderId="0"/>
    <xf numFmtId="0" fontId="28" fillId="0" borderId="0" applyNumberFormat="0" applyFill="0" applyBorder="0" applyAlignment="0" applyProtection="0">
      <alignment vertical="top"/>
      <protection locked="0"/>
    </xf>
    <xf numFmtId="165" fontId="32" fillId="6" borderId="10">
      <alignment horizontal="right" vertical="center"/>
    </xf>
    <xf numFmtId="0" fontId="33" fillId="7" borderId="10">
      <alignment vertical="center" wrapText="1"/>
    </xf>
    <xf numFmtId="10" fontId="32" fillId="6" borderId="10">
      <alignment horizontal="right" vertical="center"/>
    </xf>
    <xf numFmtId="165" fontId="34" fillId="5" borderId="10">
      <alignment horizontal="right" vertical="center"/>
    </xf>
    <xf numFmtId="10" fontId="34" fillId="5" borderId="10">
      <alignment horizontal="right" vertical="center"/>
    </xf>
    <xf numFmtId="0" fontId="35" fillId="5" borderId="10">
      <alignment horizontal="left" vertical="center" wrapText="1"/>
    </xf>
    <xf numFmtId="0" fontId="33" fillId="7" borderId="10">
      <alignment horizontal="center" vertical="center" wrapText="1"/>
    </xf>
    <xf numFmtId="0" fontId="36" fillId="5" borderId="10">
      <alignment horizontal="left" vertical="center" wrapText="1"/>
    </xf>
    <xf numFmtId="0" fontId="37" fillId="6" borderId="10">
      <alignment horizontal="left" vertical="center" wrapText="1"/>
    </xf>
    <xf numFmtId="0" fontId="38" fillId="8" borderId="14"/>
    <xf numFmtId="0" fontId="33" fillId="7" borderId="10">
      <alignment horizontal="center" wrapText="1"/>
    </xf>
    <xf numFmtId="0" fontId="33" fillId="7" borderId="14">
      <alignment vertical="center" wrapText="1"/>
    </xf>
    <xf numFmtId="0" fontId="39" fillId="0" borderId="0" applyNumberFormat="0" applyFont="0" applyBorder="0" applyAlignment="0" applyProtection="0">
      <alignment horizontal="centerContinuous"/>
    </xf>
    <xf numFmtId="0" fontId="40" fillId="5" borderId="10">
      <alignment horizontal="left" vertical="center" wrapText="1"/>
    </xf>
    <xf numFmtId="165" fontId="41" fillId="5" borderId="10">
      <alignment horizontal="right" vertical="center"/>
    </xf>
    <xf numFmtId="164" fontId="34" fillId="5" borderId="10">
      <alignment horizontal="right" vertical="center"/>
    </xf>
    <xf numFmtId="164" fontId="32" fillId="6" borderId="10">
      <alignment horizontal="right" vertical="center"/>
    </xf>
    <xf numFmtId="0" fontId="47" fillId="10" borderId="10">
      <alignment vertical="center" wrapText="1"/>
    </xf>
    <xf numFmtId="0" fontId="47" fillId="10" borderId="10">
      <alignment horizontal="center" wrapText="1"/>
    </xf>
    <xf numFmtId="0" fontId="48" fillId="5" borderId="10">
      <alignment horizontal="left" vertical="center" wrapText="1"/>
    </xf>
    <xf numFmtId="10" fontId="19" fillId="5" borderId="10">
      <alignment horizontal="right" vertical="center"/>
    </xf>
    <xf numFmtId="9" fontId="50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68">
    <xf numFmtId="0" fontId="0" fillId="0" borderId="0" xfId="0"/>
    <xf numFmtId="0" fontId="2" fillId="0" borderId="0" xfId="1" applyFont="1"/>
    <xf numFmtId="0" fontId="4" fillId="0" borderId="0" xfId="2" applyFont="1"/>
    <xf numFmtId="0" fontId="3" fillId="0" borderId="0" xfId="2"/>
    <xf numFmtId="0" fontId="3" fillId="0" borderId="0" xfId="2" applyAlignment="1">
      <alignment wrapText="1"/>
    </xf>
    <xf numFmtId="0" fontId="5" fillId="0" borderId="0" xfId="2" applyFont="1" applyAlignment="1">
      <alignment vertical="center" wrapText="1"/>
    </xf>
    <xf numFmtId="3" fontId="2" fillId="0" borderId="0" xfId="1" applyNumberFormat="1" applyFont="1"/>
    <xf numFmtId="164" fontId="4" fillId="0" borderId="0" xfId="1" applyNumberFormat="1" applyFont="1"/>
    <xf numFmtId="165" fontId="7" fillId="2" borderId="1" xfId="3" applyNumberFormat="1" applyFont="1" applyFill="1" applyBorder="1" applyAlignment="1">
      <alignment horizontal="right" indent="1"/>
    </xf>
    <xf numFmtId="3" fontId="7" fillId="2" borderId="1" xfId="1" applyNumberFormat="1" applyFont="1" applyFill="1" applyBorder="1" applyAlignment="1">
      <alignment horizontal="left"/>
    </xf>
    <xf numFmtId="0" fontId="2" fillId="0" borderId="0" xfId="1" applyFont="1" applyAlignment="1">
      <alignment vertical="top"/>
    </xf>
    <xf numFmtId="0" fontId="2" fillId="0" borderId="0" xfId="1" applyFont="1" applyAlignment="1">
      <alignment vertical="center"/>
    </xf>
    <xf numFmtId="165" fontId="5" fillId="2" borderId="0" xfId="3" applyNumberFormat="1" applyFont="1" applyFill="1" applyAlignment="1">
      <alignment horizontal="right" indent="1"/>
    </xf>
    <xf numFmtId="166" fontId="5" fillId="2" borderId="0" xfId="4" applyFont="1" applyFill="1" applyAlignment="1">
      <alignment horizontal="left"/>
    </xf>
    <xf numFmtId="165" fontId="2" fillId="0" borderId="0" xfId="1" applyNumberFormat="1" applyFont="1"/>
    <xf numFmtId="165" fontId="5" fillId="2" borderId="0" xfId="2" applyNumberFormat="1" applyFont="1" applyFill="1" applyAlignment="1">
      <alignment horizontal="left"/>
    </xf>
    <xf numFmtId="3" fontId="4" fillId="0" borderId="0" xfId="1" applyNumberFormat="1" applyFont="1"/>
    <xf numFmtId="0" fontId="8" fillId="0" borderId="0" xfId="1" applyFont="1" applyAlignment="1">
      <alignment vertical="top" wrapText="1"/>
    </xf>
    <xf numFmtId="165" fontId="9" fillId="2" borderId="0" xfId="3" applyNumberFormat="1" applyFont="1" applyFill="1" applyAlignment="1">
      <alignment horizontal="right" indent="1"/>
    </xf>
    <xf numFmtId="0" fontId="9" fillId="2" borderId="0" xfId="2" applyFont="1" applyFill="1" applyAlignment="1">
      <alignment horizontal="left" indent="1"/>
    </xf>
    <xf numFmtId="0" fontId="10" fillId="0" borderId="0" xfId="1" applyFont="1"/>
    <xf numFmtId="0" fontId="4" fillId="0" borderId="0" xfId="1" applyFont="1"/>
    <xf numFmtId="3" fontId="11" fillId="3" borderId="2" xfId="1" applyNumberFormat="1" applyFont="1" applyFill="1" applyBorder="1" applyAlignment="1">
      <alignment horizontal="right" indent="1"/>
    </xf>
    <xf numFmtId="0" fontId="12" fillId="3" borderId="2" xfId="2" applyFont="1" applyFill="1" applyBorder="1" applyAlignment="1">
      <alignment horizontal="center"/>
    </xf>
    <xf numFmtId="0" fontId="12" fillId="3" borderId="0" xfId="2" applyFont="1" applyFill="1" applyAlignment="1">
      <alignment horizontal="center"/>
    </xf>
    <xf numFmtId="166" fontId="14" fillId="0" borderId="0" xfId="4" applyFont="1"/>
    <xf numFmtId="166" fontId="14" fillId="0" borderId="0" xfId="4" applyFont="1" applyAlignment="1">
      <alignment horizontal="right"/>
    </xf>
    <xf numFmtId="0" fontId="14" fillId="0" borderId="0" xfId="5" applyFont="1" applyAlignment="1">
      <alignment horizontal="right"/>
    </xf>
    <xf numFmtId="0" fontId="16" fillId="0" borderId="0" xfId="6" applyFont="1"/>
    <xf numFmtId="0" fontId="15" fillId="0" borderId="0" xfId="6"/>
    <xf numFmtId="166" fontId="10" fillId="0" borderId="0" xfId="4" applyFont="1"/>
    <xf numFmtId="0" fontId="17" fillId="0" borderId="0" xfId="6" applyFont="1"/>
    <xf numFmtId="0" fontId="8" fillId="0" borderId="0" xfId="2" applyFont="1" applyAlignment="1">
      <alignment vertical="center"/>
    </xf>
    <xf numFmtId="0" fontId="7" fillId="0" borderId="0" xfId="6" applyFont="1" applyAlignment="1">
      <alignment vertical="top" wrapText="1"/>
    </xf>
    <xf numFmtId="0" fontId="2" fillId="0" borderId="0" xfId="6" applyFont="1" applyAlignment="1">
      <alignment horizontal="justify" vertical="center" wrapText="1"/>
    </xf>
    <xf numFmtId="0" fontId="2" fillId="0" borderId="0" xfId="6" applyFont="1" applyAlignment="1">
      <alignment vertical="center" wrapText="1"/>
    </xf>
    <xf numFmtId="166" fontId="19" fillId="0" borderId="0" xfId="7" applyFont="1" applyAlignment="1">
      <alignment horizontal="left" readingOrder="1"/>
    </xf>
    <xf numFmtId="0" fontId="17" fillId="0" borderId="0" xfId="6" applyFont="1" applyAlignment="1">
      <alignment horizontal="left" indent="1"/>
    </xf>
    <xf numFmtId="0" fontId="8" fillId="0" borderId="0" xfId="6" applyFont="1" applyAlignment="1">
      <alignment horizontal="left" vertical="center" indent="1"/>
    </xf>
    <xf numFmtId="0" fontId="20" fillId="0" borderId="0" xfId="6" applyFont="1"/>
    <xf numFmtId="0" fontId="2" fillId="0" borderId="0" xfId="6" applyFont="1" applyAlignment="1">
      <alignment horizontal="left" vertical="top"/>
    </xf>
    <xf numFmtId="0" fontId="8" fillId="0" borderId="0" xfId="6" applyFont="1" applyAlignment="1">
      <alignment horizontal="left"/>
    </xf>
    <xf numFmtId="0" fontId="8" fillId="0" borderId="0" xfId="6" applyFont="1"/>
    <xf numFmtId="166" fontId="14" fillId="0" borderId="0" xfId="4" quotePrefix="1" applyFont="1" applyAlignment="1">
      <alignment horizontal="right"/>
    </xf>
    <xf numFmtId="0" fontId="2" fillId="0" borderId="0" xfId="6" applyFont="1"/>
    <xf numFmtId="166" fontId="8" fillId="0" borderId="0" xfId="4" applyFont="1"/>
    <xf numFmtId="0" fontId="21" fillId="0" borderId="0" xfId="5" applyFont="1" applyAlignment="1">
      <alignment horizontal="right"/>
    </xf>
    <xf numFmtId="166" fontId="0" fillId="0" borderId="0" xfId="4" applyFont="1"/>
    <xf numFmtId="0" fontId="5" fillId="0" borderId="0" xfId="8" applyFont="1" applyAlignment="1">
      <alignment wrapText="1"/>
    </xf>
    <xf numFmtId="0" fontId="5" fillId="0" borderId="0" xfId="8" applyFont="1" applyAlignment="1">
      <alignment horizontal="justify" wrapText="1"/>
    </xf>
    <xf numFmtId="0" fontId="2" fillId="0" borderId="0" xfId="4" applyNumberFormat="1" applyFont="1"/>
    <xf numFmtId="0" fontId="2" fillId="0" borderId="0" xfId="8" applyFont="1" applyAlignment="1">
      <alignment vertical="center" wrapText="1"/>
    </xf>
    <xf numFmtId="0" fontId="2" fillId="0" borderId="0" xfId="8" applyFont="1" applyAlignment="1">
      <alignment horizontal="justify" wrapText="1"/>
    </xf>
    <xf numFmtId="3" fontId="0" fillId="0" borderId="0" xfId="4" applyNumberFormat="1" applyFont="1"/>
    <xf numFmtId="166" fontId="3" fillId="0" borderId="0" xfId="4"/>
    <xf numFmtId="166" fontId="17" fillId="0" borderId="0" xfId="4" applyFont="1" applyAlignment="1">
      <alignment horizontal="left" indent="1"/>
    </xf>
    <xf numFmtId="166" fontId="8" fillId="0" borderId="0" xfId="4" applyFont="1" applyAlignment="1">
      <alignment horizontal="left" vertical="center" indent="1"/>
    </xf>
    <xf numFmtId="166" fontId="20" fillId="0" borderId="0" xfId="4" applyFont="1"/>
    <xf numFmtId="166" fontId="17" fillId="0" borderId="0" xfId="4" applyFont="1"/>
    <xf numFmtId="166" fontId="8" fillId="0" borderId="0" xfId="4" applyFont="1" applyAlignment="1">
      <alignment horizontal="left"/>
    </xf>
    <xf numFmtId="166" fontId="17" fillId="0" borderId="0" xfId="4" applyFont="1" applyAlignment="1">
      <alignment horizontal="right"/>
    </xf>
    <xf numFmtId="0" fontId="8" fillId="0" borderId="0" xfId="9" applyFont="1" applyFill="1" applyBorder="1" applyAlignment="1" applyProtection="1"/>
    <xf numFmtId="166" fontId="21" fillId="0" borderId="0" xfId="4" applyFont="1"/>
    <xf numFmtId="0" fontId="21" fillId="0" borderId="0" xfId="5" applyFont="1"/>
    <xf numFmtId="0" fontId="8" fillId="0" borderId="0" xfId="6" applyFont="1" applyAlignment="1">
      <alignment vertical="top" wrapText="1"/>
    </xf>
    <xf numFmtId="166" fontId="21" fillId="0" borderId="0" xfId="4" applyFont="1" applyAlignment="1">
      <alignment horizontal="right"/>
    </xf>
    <xf numFmtId="0" fontId="23" fillId="4" borderId="0" xfId="10" applyFont="1" applyFill="1" applyAlignment="1">
      <alignment horizontal="left"/>
    </xf>
    <xf numFmtId="166" fontId="23" fillId="4" borderId="5" xfId="4" applyFont="1" applyFill="1" applyBorder="1"/>
    <xf numFmtId="167" fontId="23" fillId="4" borderId="5" xfId="4" applyNumberFormat="1" applyFont="1" applyFill="1" applyBorder="1" applyAlignment="1">
      <alignment horizontal="right"/>
    </xf>
    <xf numFmtId="2" fontId="23" fillId="4" borderId="5" xfId="4" applyNumberFormat="1" applyFont="1" applyFill="1" applyBorder="1" applyAlignment="1">
      <alignment horizontal="right" indent="1"/>
    </xf>
    <xf numFmtId="0" fontId="7" fillId="0" borderId="0" xfId="10" applyFont="1" applyAlignment="1">
      <alignment vertical="top" wrapText="1"/>
    </xf>
    <xf numFmtId="166" fontId="24" fillId="2" borderId="0" xfId="4" applyFont="1" applyFill="1" applyAlignment="1">
      <alignment horizontal="left"/>
    </xf>
    <xf numFmtId="3" fontId="7" fillId="2" borderId="0" xfId="4" applyNumberFormat="1" applyFont="1" applyFill="1" applyAlignment="1">
      <alignment horizontal="right"/>
    </xf>
    <xf numFmtId="167" fontId="5" fillId="2" borderId="0" xfId="4" applyNumberFormat="1" applyFont="1" applyFill="1" applyAlignment="1">
      <alignment horizontal="right"/>
    </xf>
    <xf numFmtId="166" fontId="5" fillId="2" borderId="0" xfId="4" applyFont="1" applyFill="1" applyAlignment="1">
      <alignment horizontal="left" indent="1"/>
    </xf>
    <xf numFmtId="166" fontId="5" fillId="2" borderId="5" xfId="4" applyFont="1" applyFill="1" applyBorder="1" applyAlignment="1">
      <alignment horizontal="left" indent="1"/>
    </xf>
    <xf numFmtId="167" fontId="5" fillId="2" borderId="5" xfId="4" applyNumberFormat="1" applyFont="1" applyFill="1" applyBorder="1" applyAlignment="1">
      <alignment horizontal="right"/>
    </xf>
    <xf numFmtId="165" fontId="2" fillId="0" borderId="0" xfId="3" applyNumberFormat="1" applyFont="1" applyAlignment="1">
      <alignment horizontal="right" indent="1"/>
    </xf>
    <xf numFmtId="166" fontId="2" fillId="0" borderId="0" xfId="4" applyFont="1" applyAlignment="1">
      <alignment horizontal="left"/>
    </xf>
    <xf numFmtId="1" fontId="18" fillId="0" borderId="0" xfId="4" applyNumberFormat="1" applyFont="1" applyAlignment="1">
      <alignment horizontal="right" indent="1"/>
    </xf>
    <xf numFmtId="0" fontId="2" fillId="0" borderId="0" xfId="4" applyNumberFormat="1" applyFont="1" applyAlignment="1">
      <alignment horizontal="left"/>
    </xf>
    <xf numFmtId="0" fontId="3" fillId="0" borderId="0" xfId="11"/>
    <xf numFmtId="0" fontId="1" fillId="0" borderId="0" xfId="11" applyFont="1"/>
    <xf numFmtId="0" fontId="25" fillId="0" borderId="0" xfId="11" applyFont="1"/>
    <xf numFmtId="0" fontId="26" fillId="0" borderId="0" xfId="11" applyFont="1"/>
    <xf numFmtId="0" fontId="8" fillId="0" borderId="0" xfId="11" applyFont="1"/>
    <xf numFmtId="0" fontId="8" fillId="0" borderId="0" xfId="11" applyFont="1" applyAlignment="1">
      <alignment horizontal="right" vertical="center"/>
    </xf>
    <xf numFmtId="0" fontId="26" fillId="2" borderId="0" xfId="11" applyFont="1" applyFill="1" applyAlignment="1">
      <alignment horizontal="left" indent="1"/>
    </xf>
    <xf numFmtId="0" fontId="27" fillId="2" borderId="0" xfId="11" applyFont="1" applyFill="1" applyAlignment="1">
      <alignment horizontal="right" vertical="center"/>
    </xf>
    <xf numFmtId="0" fontId="7" fillId="2" borderId="0" xfId="12" applyFont="1" applyFill="1" applyBorder="1" applyAlignment="1" applyProtection="1">
      <alignment horizontal="left"/>
    </xf>
    <xf numFmtId="0" fontId="29" fillId="0" borderId="0" xfId="11" applyFont="1" applyAlignment="1">
      <alignment horizontal="right"/>
    </xf>
    <xf numFmtId="168" fontId="5" fillId="2" borderId="0" xfId="4" applyNumberFormat="1" applyFont="1" applyFill="1" applyAlignment="1">
      <alignment horizontal="right"/>
    </xf>
    <xf numFmtId="168" fontId="5" fillId="2" borderId="5" xfId="4" applyNumberFormat="1" applyFont="1" applyFill="1" applyBorder="1" applyAlignment="1">
      <alignment horizontal="right"/>
    </xf>
    <xf numFmtId="0" fontId="11" fillId="3" borderId="2" xfId="1" quotePrefix="1" applyFont="1" applyFill="1" applyBorder="1" applyAlignment="1">
      <alignment horizontal="right" indent="1"/>
    </xf>
    <xf numFmtId="0" fontId="23" fillId="4" borderId="5" xfId="4" quotePrefix="1" applyNumberFormat="1" applyFont="1" applyFill="1" applyBorder="1" applyAlignment="1">
      <alignment horizontal="right" indent="1"/>
    </xf>
    <xf numFmtId="0" fontId="23" fillId="4" borderId="5" xfId="4" applyNumberFormat="1" applyFont="1" applyFill="1" applyBorder="1" applyAlignment="1">
      <alignment horizontal="right" indent="1"/>
    </xf>
    <xf numFmtId="11" fontId="0" fillId="0" borderId="0" xfId="0" applyNumberFormat="1"/>
    <xf numFmtId="166" fontId="43" fillId="0" borderId="0" xfId="4" applyFont="1"/>
    <xf numFmtId="0" fontId="44" fillId="0" borderId="0" xfId="6" applyFont="1"/>
    <xf numFmtId="0" fontId="45" fillId="0" borderId="0" xfId="0" applyFont="1"/>
    <xf numFmtId="166" fontId="44" fillId="2" borderId="3" xfId="4" applyFont="1" applyFill="1" applyBorder="1" applyAlignment="1">
      <alignment horizontal="left"/>
    </xf>
    <xf numFmtId="1" fontId="43" fillId="2" borderId="3" xfId="4" applyNumberFormat="1" applyFont="1" applyFill="1" applyBorder="1" applyAlignment="1">
      <alignment horizontal="right" indent="1"/>
    </xf>
    <xf numFmtId="0" fontId="44" fillId="2" borderId="0" xfId="4" applyNumberFormat="1" applyFont="1" applyFill="1" applyAlignment="1">
      <alignment horizontal="left"/>
    </xf>
    <xf numFmtId="3" fontId="44" fillId="2" borderId="0" xfId="3" applyNumberFormat="1" applyFont="1" applyFill="1" applyAlignment="1">
      <alignment horizontal="right" indent="1"/>
    </xf>
    <xf numFmtId="165" fontId="44" fillId="2" borderId="0" xfId="3" applyNumberFormat="1" applyFont="1" applyFill="1" applyAlignment="1">
      <alignment horizontal="right" indent="1"/>
    </xf>
    <xf numFmtId="166" fontId="43" fillId="2" borderId="3" xfId="4" applyFont="1" applyFill="1" applyBorder="1" applyAlignment="1">
      <alignment horizontal="left"/>
    </xf>
    <xf numFmtId="3" fontId="43" fillId="2" borderId="3" xfId="3" applyNumberFormat="1" applyFont="1" applyFill="1" applyBorder="1" applyAlignment="1">
      <alignment horizontal="right" indent="1"/>
    </xf>
    <xf numFmtId="165" fontId="43" fillId="2" borderId="3" xfId="3" applyNumberFormat="1" applyFont="1" applyFill="1" applyBorder="1" applyAlignment="1">
      <alignment horizontal="right" indent="1"/>
    </xf>
    <xf numFmtId="0" fontId="42" fillId="9" borderId="21" xfId="0" applyFont="1" applyFill="1" applyBorder="1" applyAlignment="1">
      <alignment horizontal="center"/>
    </xf>
    <xf numFmtId="0" fontId="42" fillId="9" borderId="22" xfId="0" applyFont="1" applyFill="1" applyBorder="1" applyAlignment="1">
      <alignment horizontal="center"/>
    </xf>
    <xf numFmtId="166" fontId="44" fillId="2" borderId="0" xfId="4" applyFont="1" applyFill="1" applyAlignment="1">
      <alignment horizontal="left"/>
    </xf>
    <xf numFmtId="0" fontId="43" fillId="2" borderId="2" xfId="4" applyNumberFormat="1" applyFont="1" applyFill="1" applyBorder="1" applyAlignment="1">
      <alignment horizontal="left"/>
    </xf>
    <xf numFmtId="3" fontId="43" fillId="2" borderId="1" xfId="3" applyNumberFormat="1" applyFont="1" applyFill="1" applyBorder="1"/>
    <xf numFmtId="165" fontId="43" fillId="2" borderId="1" xfId="3" applyNumberFormat="1" applyFont="1" applyFill="1" applyBorder="1" applyAlignment="1">
      <alignment horizontal="right" indent="1"/>
    </xf>
    <xf numFmtId="3" fontId="43" fillId="0" borderId="4" xfId="3" applyNumberFormat="1" applyFont="1" applyBorder="1"/>
    <xf numFmtId="3" fontId="43" fillId="0" borderId="4" xfId="3" applyNumberFormat="1" applyFont="1" applyBorder="1" applyAlignment="1">
      <alignment horizontal="right" indent="1"/>
    </xf>
    <xf numFmtId="0" fontId="42" fillId="9" borderId="19" xfId="0" applyFont="1" applyFill="1" applyBorder="1" applyAlignment="1">
      <alignment horizontal="center"/>
    </xf>
    <xf numFmtId="0" fontId="44" fillId="2" borderId="11" xfId="4" applyNumberFormat="1" applyFont="1" applyFill="1" applyBorder="1" applyAlignment="1">
      <alignment horizontal="left"/>
    </xf>
    <xf numFmtId="165" fontId="44" fillId="2" borderId="11" xfId="3" applyNumberFormat="1" applyFont="1" applyFill="1" applyBorder="1" applyAlignment="1">
      <alignment horizontal="right" indent="1"/>
    </xf>
    <xf numFmtId="165" fontId="44" fillId="2" borderId="26" xfId="3" applyNumberFormat="1" applyFont="1" applyFill="1" applyBorder="1" applyAlignment="1">
      <alignment horizontal="right" indent="1"/>
    </xf>
    <xf numFmtId="165" fontId="44" fillId="0" borderId="8" xfId="2" applyNumberFormat="1" applyFont="1" applyBorder="1" applyAlignment="1">
      <alignment horizontal="left"/>
    </xf>
    <xf numFmtId="165" fontId="44" fillId="0" borderId="8" xfId="3" applyNumberFormat="1" applyFont="1" applyBorder="1" applyAlignment="1">
      <alignment horizontal="right" indent="1"/>
    </xf>
    <xf numFmtId="166" fontId="42" fillId="9" borderId="29" xfId="4" applyFont="1" applyFill="1" applyBorder="1" applyAlignment="1">
      <alignment horizontal="center" vertical="center"/>
    </xf>
    <xf numFmtId="3" fontId="43" fillId="0" borderId="30" xfId="3" applyNumberFormat="1" applyFont="1" applyBorder="1" applyAlignment="1">
      <alignment horizontal="right" indent="1"/>
    </xf>
    <xf numFmtId="3" fontId="44" fillId="0" borderId="8" xfId="3" applyNumberFormat="1" applyFont="1" applyBorder="1" applyAlignment="1">
      <alignment horizontal="right" indent="1"/>
    </xf>
    <xf numFmtId="3" fontId="44" fillId="0" borderId="28" xfId="3" applyNumberFormat="1" applyFont="1" applyBorder="1" applyAlignment="1">
      <alignment horizontal="right" indent="1"/>
    </xf>
    <xf numFmtId="0" fontId="33" fillId="7" borderId="14" xfId="24" applyAlignment="1">
      <alignment vertical="center"/>
    </xf>
    <xf numFmtId="0" fontId="35" fillId="5" borderId="10" xfId="18" quotePrefix="1" applyAlignment="1">
      <alignment horizontal="left" vertical="center"/>
    </xf>
    <xf numFmtId="0" fontId="33" fillId="7" borderId="10" xfId="14" applyAlignment="1">
      <alignment vertical="center"/>
    </xf>
    <xf numFmtId="0" fontId="33" fillId="7" borderId="10" xfId="19" applyAlignment="1">
      <alignment horizontal="center" vertical="center"/>
    </xf>
    <xf numFmtId="0" fontId="33" fillId="7" borderId="10" xfId="23" applyAlignment="1">
      <alignment horizontal="center"/>
    </xf>
    <xf numFmtId="0" fontId="37" fillId="6" borderId="10" xfId="21" quotePrefix="1" applyAlignment="1">
      <alignment horizontal="left" vertical="center"/>
    </xf>
    <xf numFmtId="3" fontId="5" fillId="2" borderId="0" xfId="3" applyNumberFormat="1" applyFont="1" applyFill="1" applyAlignment="1">
      <alignment horizontal="right" indent="1"/>
    </xf>
    <xf numFmtId="3" fontId="9" fillId="2" borderId="0" xfId="3" applyNumberFormat="1" applyFont="1" applyFill="1" applyAlignment="1">
      <alignment horizontal="right" indent="1"/>
    </xf>
    <xf numFmtId="3" fontId="7" fillId="2" borderId="2" xfId="3" applyNumberFormat="1" applyFont="1" applyFill="1" applyBorder="1" applyAlignment="1">
      <alignment horizontal="right" indent="1"/>
    </xf>
    <xf numFmtId="3" fontId="7" fillId="2" borderId="1" xfId="3" applyNumberFormat="1" applyFont="1" applyFill="1" applyBorder="1" applyAlignment="1">
      <alignment horizontal="right" indent="1"/>
    </xf>
    <xf numFmtId="0" fontId="42" fillId="9" borderId="31" xfId="0" applyFont="1" applyFill="1" applyBorder="1" applyAlignment="1">
      <alignment horizontal="center"/>
    </xf>
    <xf numFmtId="165" fontId="44" fillId="2" borderId="32" xfId="3" applyNumberFormat="1" applyFont="1" applyFill="1" applyBorder="1" applyAlignment="1">
      <alignment horizontal="right" indent="1"/>
    </xf>
    <xf numFmtId="165" fontId="4" fillId="0" borderId="0" xfId="1" applyNumberFormat="1" applyFont="1"/>
    <xf numFmtId="4" fontId="4" fillId="0" borderId="0" xfId="1" applyNumberFormat="1" applyFont="1"/>
    <xf numFmtId="165" fontId="7" fillId="2" borderId="0" xfId="4" applyNumberFormat="1" applyFont="1" applyFill="1" applyAlignment="1">
      <alignment horizontal="right"/>
    </xf>
    <xf numFmtId="165" fontId="3" fillId="0" borderId="0" xfId="4" applyNumberFormat="1"/>
    <xf numFmtId="165" fontId="2" fillId="0" borderId="0" xfId="6" applyNumberFormat="1" applyFont="1"/>
    <xf numFmtId="165" fontId="17" fillId="0" borderId="0" xfId="6" applyNumberFormat="1" applyFont="1"/>
    <xf numFmtId="165" fontId="7" fillId="2" borderId="2" xfId="4" applyNumberFormat="1" applyFont="1" applyFill="1" applyBorder="1"/>
    <xf numFmtId="3" fontId="7" fillId="0" borderId="0" xfId="3" applyNumberFormat="1" applyFont="1" applyAlignment="1">
      <alignment horizontal="right" indent="1"/>
    </xf>
    <xf numFmtId="165" fontId="7" fillId="0" borderId="0" xfId="3" applyNumberFormat="1" applyFont="1" applyAlignment="1">
      <alignment horizontal="right" indent="1"/>
    </xf>
    <xf numFmtId="3" fontId="7" fillId="2" borderId="2" xfId="4" applyNumberFormat="1" applyFont="1" applyFill="1" applyBorder="1" applyAlignment="1">
      <alignment horizontal="right" indent="1"/>
    </xf>
    <xf numFmtId="165" fontId="7" fillId="2" borderId="2" xfId="4" applyNumberFormat="1" applyFont="1" applyFill="1" applyBorder="1" applyAlignment="1">
      <alignment horizontal="right" indent="1"/>
    </xf>
    <xf numFmtId="0" fontId="47" fillId="10" borderId="10" xfId="30" applyAlignment="1">
      <alignment vertical="center"/>
    </xf>
    <xf numFmtId="0" fontId="47" fillId="10" borderId="10" xfId="31" applyAlignment="1">
      <alignment horizontal="center"/>
    </xf>
    <xf numFmtId="0" fontId="48" fillId="5" borderId="10" xfId="32" quotePrefix="1" applyAlignment="1">
      <alignment horizontal="left" vertical="center"/>
    </xf>
    <xf numFmtId="169" fontId="3" fillId="0" borderId="0" xfId="4" applyNumberFormat="1"/>
    <xf numFmtId="0" fontId="33" fillId="7" borderId="10" xfId="19" quotePrefix="1" applyAlignment="1">
      <alignment horizontal="center" vertical="center"/>
    </xf>
    <xf numFmtId="170" fontId="10" fillId="0" borderId="0" xfId="4" applyNumberFormat="1" applyFont="1"/>
    <xf numFmtId="0" fontId="49" fillId="0" borderId="0" xfId="0" applyFont="1"/>
    <xf numFmtId="171" fontId="45" fillId="0" borderId="0" xfId="0" applyNumberFormat="1" applyFont="1"/>
    <xf numFmtId="172" fontId="34" fillId="5" borderId="10" xfId="16" applyNumberFormat="1">
      <alignment horizontal="right" vertical="center"/>
    </xf>
    <xf numFmtId="172" fontId="32" fillId="6" borderId="10" xfId="13" applyNumberFormat="1">
      <alignment horizontal="right" vertical="center"/>
    </xf>
    <xf numFmtId="165" fontId="43" fillId="2" borderId="2" xfId="3" applyNumberFormat="1" applyFont="1" applyFill="1" applyBorder="1" applyAlignment="1">
      <alignment horizontal="right" indent="1"/>
    </xf>
    <xf numFmtId="165" fontId="43" fillId="2" borderId="33" xfId="3" applyNumberFormat="1" applyFont="1" applyFill="1" applyBorder="1" applyAlignment="1">
      <alignment horizontal="right" indent="1"/>
    </xf>
    <xf numFmtId="165" fontId="44" fillId="2" borderId="2" xfId="3" applyNumberFormat="1" applyFont="1" applyFill="1" applyBorder="1" applyAlignment="1">
      <alignment horizontal="right" indent="1"/>
    </xf>
    <xf numFmtId="165" fontId="44" fillId="2" borderId="35" xfId="3" applyNumberFormat="1" applyFont="1" applyFill="1" applyBorder="1" applyAlignment="1">
      <alignment horizontal="right" indent="1"/>
    </xf>
    <xf numFmtId="165" fontId="44" fillId="2" borderId="36" xfId="3" applyNumberFormat="1" applyFont="1" applyFill="1" applyBorder="1" applyAlignment="1">
      <alignment horizontal="right" indent="1"/>
    </xf>
    <xf numFmtId="165" fontId="44" fillId="2" borderId="37" xfId="3" applyNumberFormat="1" applyFont="1" applyFill="1" applyBorder="1" applyAlignment="1">
      <alignment horizontal="right" indent="1"/>
    </xf>
    <xf numFmtId="165" fontId="43" fillId="2" borderId="34" xfId="3" applyNumberFormat="1" applyFont="1" applyFill="1" applyBorder="1" applyAlignment="1">
      <alignment horizontal="right" indent="1"/>
    </xf>
    <xf numFmtId="165" fontId="43" fillId="2" borderId="38" xfId="3" applyNumberFormat="1" applyFont="1" applyFill="1" applyBorder="1" applyAlignment="1">
      <alignment horizontal="right" indent="1"/>
    </xf>
    <xf numFmtId="165" fontId="5" fillId="2" borderId="2" xfId="2" applyNumberFormat="1" applyFont="1" applyFill="1" applyBorder="1" applyAlignment="1">
      <alignment horizontal="left"/>
    </xf>
    <xf numFmtId="3" fontId="5" fillId="2" borderId="2" xfId="3" applyNumberFormat="1" applyFont="1" applyFill="1" applyBorder="1" applyAlignment="1">
      <alignment horizontal="right" indent="1"/>
    </xf>
    <xf numFmtId="165" fontId="5" fillId="2" borderId="2" xfId="3" applyNumberFormat="1" applyFont="1" applyFill="1" applyBorder="1" applyAlignment="1">
      <alignment horizontal="right" indent="1"/>
    </xf>
    <xf numFmtId="165" fontId="5" fillId="2" borderId="0" xfId="4" applyNumberFormat="1" applyFont="1" applyFill="1" applyAlignment="1">
      <alignment horizontal="left"/>
    </xf>
    <xf numFmtId="3" fontId="5" fillId="2" borderId="4" xfId="3" applyNumberFormat="1" applyFont="1" applyFill="1" applyBorder="1" applyAlignment="1">
      <alignment horizontal="right" indent="1"/>
    </xf>
    <xf numFmtId="173" fontId="45" fillId="0" borderId="0" xfId="34" applyNumberFormat="1" applyFont="1"/>
    <xf numFmtId="166" fontId="7" fillId="0" borderId="0" xfId="4" applyFont="1" applyAlignment="1">
      <alignment vertical="top" wrapText="1"/>
    </xf>
    <xf numFmtId="0" fontId="5" fillId="0" borderId="0" xfId="0" applyFont="1" applyAlignment="1">
      <alignment horizontal="left"/>
    </xf>
    <xf numFmtId="0" fontId="5" fillId="0" borderId="3" xfId="0" applyFont="1" applyBorder="1" applyAlignment="1">
      <alignment horizontal="left"/>
    </xf>
    <xf numFmtId="1" fontId="7" fillId="0" borderId="3" xfId="4" applyNumberFormat="1" applyFont="1" applyBorder="1" applyAlignment="1">
      <alignment horizontal="right" indent="1"/>
    </xf>
    <xf numFmtId="165" fontId="5" fillId="0" borderId="0" xfId="3" applyNumberFormat="1" applyFont="1" applyAlignment="1">
      <alignment horizontal="right" indent="1"/>
    </xf>
    <xf numFmtId="0" fontId="5" fillId="0" borderId="8" xfId="0" applyFont="1" applyBorder="1" applyAlignment="1">
      <alignment horizontal="left"/>
    </xf>
    <xf numFmtId="165" fontId="5" fillId="0" borderId="8" xfId="3" applyNumberFormat="1" applyFont="1" applyBorder="1" applyAlignment="1">
      <alignment horizontal="right" indent="1"/>
    </xf>
    <xf numFmtId="9" fontId="5" fillId="0" borderId="0" xfId="2" applyNumberFormat="1" applyFont="1" applyAlignment="1">
      <alignment vertical="center" wrapText="1"/>
    </xf>
    <xf numFmtId="0" fontId="33" fillId="7" borderId="10" xfId="23" quotePrefix="1" applyAlignment="1">
      <alignment horizontal="center"/>
    </xf>
    <xf numFmtId="0" fontId="47" fillId="10" borderId="10" xfId="31" quotePrefix="1" applyAlignment="1">
      <alignment horizontal="center"/>
    </xf>
    <xf numFmtId="0" fontId="7" fillId="0" borderId="0" xfId="6" applyFont="1" applyAlignment="1">
      <alignment horizontal="left" vertical="top" wrapText="1"/>
    </xf>
    <xf numFmtId="166" fontId="7" fillId="0" borderId="0" xfId="4" applyFont="1"/>
    <xf numFmtId="0" fontId="26" fillId="0" borderId="0" xfId="2" applyFont="1"/>
    <xf numFmtId="0" fontId="25" fillId="0" borderId="0" xfId="2" applyFont="1"/>
    <xf numFmtId="0" fontId="4" fillId="0" borderId="0" xfId="10" applyFont="1"/>
    <xf numFmtId="0" fontId="8" fillId="0" borderId="0" xfId="2" applyFont="1"/>
    <xf numFmtId="0" fontId="8" fillId="0" borderId="0" xfId="2" applyFont="1" applyAlignment="1">
      <alignment horizontal="left" vertical="center" indent="1"/>
    </xf>
    <xf numFmtId="0" fontId="26" fillId="0" borderId="0" xfId="2" applyFont="1" applyAlignment="1">
      <alignment horizontal="left" indent="1"/>
    </xf>
    <xf numFmtId="0" fontId="51" fillId="0" borderId="0" xfId="10" applyFont="1"/>
    <xf numFmtId="0" fontId="10" fillId="0" borderId="0" xfId="10" applyFont="1"/>
    <xf numFmtId="0" fontId="8" fillId="0" borderId="0" xfId="2" applyFont="1" applyAlignment="1">
      <alignment horizontal="left"/>
    </xf>
    <xf numFmtId="0" fontId="5" fillId="0" borderId="0" xfId="10" applyFont="1"/>
    <xf numFmtId="174" fontId="5" fillId="11" borderId="0" xfId="2" applyNumberFormat="1" applyFont="1" applyFill="1"/>
    <xf numFmtId="0" fontId="8" fillId="0" borderId="0" xfId="2" applyFont="1" applyAlignment="1">
      <alignment vertical="top" wrapText="1"/>
    </xf>
    <xf numFmtId="0" fontId="4" fillId="0" borderId="0" xfId="2" applyFont="1" applyAlignment="1">
      <alignment wrapText="1"/>
    </xf>
    <xf numFmtId="0" fontId="52" fillId="0" borderId="0" xfId="2" applyFont="1"/>
    <xf numFmtId="1" fontId="52" fillId="0" borderId="0" xfId="2" applyNumberFormat="1" applyFont="1"/>
    <xf numFmtId="0" fontId="4" fillId="0" borderId="39" xfId="10" applyFont="1" applyBorder="1"/>
    <xf numFmtId="164" fontId="45" fillId="0" borderId="0" xfId="0" applyNumberFormat="1" applyFont="1"/>
    <xf numFmtId="4" fontId="0" fillId="0" borderId="0" xfId="0" applyNumberFormat="1"/>
    <xf numFmtId="0" fontId="45" fillId="0" borderId="0" xfId="0" applyFont="1" applyAlignment="1">
      <alignment horizontal="center"/>
    </xf>
    <xf numFmtId="166" fontId="53" fillId="0" borderId="0" xfId="4" applyFont="1"/>
    <xf numFmtId="165" fontId="54" fillId="0" borderId="0" xfId="4" applyNumberFormat="1" applyFont="1"/>
    <xf numFmtId="165" fontId="55" fillId="0" borderId="0" xfId="4" applyNumberFormat="1" applyFont="1"/>
    <xf numFmtId="166" fontId="8" fillId="0" borderId="0" xfId="4" applyFont="1" applyAlignment="1">
      <alignment vertical="top" wrapText="1"/>
    </xf>
    <xf numFmtId="164" fontId="15" fillId="0" borderId="0" xfId="4" applyNumberFormat="1" applyFont="1"/>
    <xf numFmtId="165" fontId="56" fillId="0" borderId="0" xfId="4" applyNumberFormat="1" applyFont="1"/>
    <xf numFmtId="173" fontId="56" fillId="0" borderId="0" xfId="35" applyNumberFormat="1" applyFont="1" applyFill="1" applyBorder="1" applyProtection="1"/>
    <xf numFmtId="165" fontId="5" fillId="0" borderId="0" xfId="4" applyNumberFormat="1" applyFont="1"/>
    <xf numFmtId="3" fontId="5" fillId="0" borderId="0" xfId="4" applyNumberFormat="1" applyFont="1"/>
    <xf numFmtId="3" fontId="55" fillId="0" borderId="0" xfId="4" applyNumberFormat="1" applyFont="1"/>
    <xf numFmtId="165" fontId="44" fillId="2" borderId="0" xfId="3" applyNumberFormat="1" applyFont="1" applyFill="1" applyAlignment="1">
      <alignment horizontal="left" indent="1"/>
    </xf>
    <xf numFmtId="0" fontId="7" fillId="0" borderId="0" xfId="0" applyFont="1"/>
    <xf numFmtId="0" fontId="57" fillId="0" borderId="0" xfId="0" applyFont="1"/>
    <xf numFmtId="4" fontId="44" fillId="2" borderId="0" xfId="3" applyNumberFormat="1" applyFont="1" applyFill="1" applyAlignment="1">
      <alignment horizontal="right" indent="1"/>
    </xf>
    <xf numFmtId="10" fontId="57" fillId="0" borderId="0" xfId="35" applyNumberFormat="1" applyFont="1"/>
    <xf numFmtId="10" fontId="44" fillId="2" borderId="0" xfId="34" applyNumberFormat="1" applyFont="1" applyFill="1" applyAlignment="1">
      <alignment horizontal="right" indent="1"/>
    </xf>
    <xf numFmtId="164" fontId="44" fillId="2" borderId="0" xfId="3" applyNumberFormat="1" applyFont="1" applyFill="1" applyAlignment="1">
      <alignment horizontal="right" indent="1"/>
    </xf>
    <xf numFmtId="164" fontId="43" fillId="2" borderId="2" xfId="3" applyNumberFormat="1" applyFont="1" applyFill="1" applyBorder="1" applyAlignment="1">
      <alignment horizontal="right" indent="1"/>
    </xf>
    <xf numFmtId="0" fontId="58" fillId="0" borderId="0" xfId="0" applyFont="1"/>
    <xf numFmtId="4" fontId="45" fillId="0" borderId="0" xfId="0" applyNumberFormat="1" applyFont="1"/>
    <xf numFmtId="10" fontId="45" fillId="0" borderId="0" xfId="0" applyNumberFormat="1" applyFont="1"/>
    <xf numFmtId="164" fontId="34" fillId="5" borderId="10" xfId="28">
      <alignment horizontal="right" vertical="center"/>
    </xf>
    <xf numFmtId="10" fontId="34" fillId="5" borderId="10" xfId="17">
      <alignment horizontal="right" vertical="center"/>
    </xf>
    <xf numFmtId="164" fontId="32" fillId="6" borderId="10" xfId="29">
      <alignment horizontal="right" vertical="center"/>
    </xf>
    <xf numFmtId="10" fontId="32" fillId="6" borderId="10" xfId="15">
      <alignment horizontal="right" vertical="center"/>
    </xf>
    <xf numFmtId="165" fontId="34" fillId="5" borderId="10" xfId="16">
      <alignment horizontal="right" vertical="center"/>
    </xf>
    <xf numFmtId="165" fontId="32" fillId="6" borderId="10" xfId="13">
      <alignment horizontal="right" vertical="center"/>
    </xf>
    <xf numFmtId="10" fontId="19" fillId="5" borderId="10" xfId="33">
      <alignment horizontal="right" vertical="center"/>
    </xf>
    <xf numFmtId="166" fontId="5" fillId="0" borderId="0" xfId="4" applyFont="1" applyAlignment="1">
      <alignment horizontal="justify" wrapText="1"/>
    </xf>
    <xf numFmtId="0" fontId="7" fillId="0" borderId="0" xfId="10" applyFont="1" applyAlignment="1">
      <alignment horizontal="left" vertical="top" wrapText="1"/>
    </xf>
    <xf numFmtId="2" fontId="23" fillId="4" borderId="0" xfId="4" quotePrefix="1" applyNumberFormat="1" applyFont="1" applyFill="1" applyAlignment="1">
      <alignment horizontal="right" indent="1"/>
    </xf>
    <xf numFmtId="2" fontId="23" fillId="4" borderId="0" xfId="4" applyNumberFormat="1" applyFont="1" applyFill="1" applyAlignment="1">
      <alignment horizontal="right" indent="1"/>
    </xf>
    <xf numFmtId="166" fontId="5" fillId="0" borderId="6" xfId="4" applyFont="1" applyBorder="1" applyAlignment="1">
      <alignment horizontal="left"/>
    </xf>
    <xf numFmtId="0" fontId="7" fillId="0" borderId="0" xfId="1" applyFont="1" applyAlignment="1">
      <alignment horizontal="left" vertical="top" wrapText="1"/>
    </xf>
    <xf numFmtId="3" fontId="11" fillId="3" borderId="2" xfId="2" applyNumberFormat="1" applyFont="1" applyFill="1" applyBorder="1" applyAlignment="1">
      <alignment horizontal="center" wrapText="1"/>
    </xf>
    <xf numFmtId="0" fontId="3" fillId="3" borderId="2" xfId="2" applyFill="1" applyBorder="1" applyAlignment="1">
      <alignment horizontal="center" wrapText="1"/>
    </xf>
    <xf numFmtId="0" fontId="5" fillId="0" borderId="0" xfId="2" applyFont="1" applyAlignment="1">
      <alignment horizontal="justify" vertical="center" wrapText="1"/>
    </xf>
    <xf numFmtId="0" fontId="5" fillId="0" borderId="0" xfId="2" applyFont="1" applyAlignment="1">
      <alignment horizontal="left"/>
    </xf>
    <xf numFmtId="0" fontId="5" fillId="0" borderId="7" xfId="4" applyNumberFormat="1" applyFont="1" applyBorder="1" applyAlignment="1">
      <alignment horizontal="justify"/>
    </xf>
    <xf numFmtId="0" fontId="7" fillId="0" borderId="0" xfId="6" applyFont="1" applyAlignment="1">
      <alignment horizontal="left" vertical="top" wrapText="1"/>
    </xf>
    <xf numFmtId="166" fontId="7" fillId="0" borderId="0" xfId="4" applyFont="1" applyAlignment="1">
      <alignment horizontal="left" vertical="top" wrapText="1"/>
    </xf>
    <xf numFmtId="165" fontId="5" fillId="2" borderId="0" xfId="4" applyNumberFormat="1" applyFont="1" applyFill="1" applyAlignment="1">
      <alignment horizontal="left" vertical="center"/>
    </xf>
    <xf numFmtId="165" fontId="7" fillId="2" borderId="0" xfId="4" applyNumberFormat="1" applyFont="1" applyFill="1" applyAlignment="1">
      <alignment horizontal="right" vertical="center"/>
    </xf>
    <xf numFmtId="165" fontId="5" fillId="2" borderId="0" xfId="4" applyNumberFormat="1" applyFont="1" applyFill="1" applyAlignment="1">
      <alignment horizontal="center"/>
    </xf>
    <xf numFmtId="165" fontId="7" fillId="2" borderId="0" xfId="4" applyNumberFormat="1" applyFont="1" applyFill="1" applyAlignment="1">
      <alignment horizontal="center"/>
    </xf>
    <xf numFmtId="0" fontId="42" fillId="9" borderId="20" xfId="0" applyFont="1" applyFill="1" applyBorder="1" applyAlignment="1">
      <alignment horizontal="center" vertical="center" wrapText="1"/>
    </xf>
    <xf numFmtId="0" fontId="42" fillId="9" borderId="23" xfId="0" applyFont="1" applyFill="1" applyBorder="1" applyAlignment="1">
      <alignment horizontal="center" vertical="center" wrapText="1"/>
    </xf>
    <xf numFmtId="0" fontId="33" fillId="7" borderId="10" xfId="23" quotePrefix="1" applyAlignment="1">
      <alignment horizontal="center"/>
    </xf>
    <xf numFmtId="0" fontId="0" fillId="0" borderId="9" xfId="0" applyBorder="1" applyAlignment="1">
      <alignment horizontal="center"/>
    </xf>
    <xf numFmtId="0" fontId="33" fillId="7" borderId="13" xfId="23" quotePrefix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5" xfId="0" applyBorder="1" applyAlignment="1">
      <alignment horizontal="center"/>
    </xf>
    <xf numFmtId="0" fontId="47" fillId="10" borderId="10" xfId="31" quotePrefix="1" applyAlignment="1">
      <alignment horizontal="center"/>
    </xf>
    <xf numFmtId="0" fontId="30" fillId="0" borderId="24" xfId="0" applyFont="1" applyBorder="1" applyAlignment="1">
      <alignment vertical="center" wrapText="1"/>
    </xf>
    <xf numFmtId="0" fontId="30" fillId="0" borderId="25" xfId="0" applyFont="1" applyBorder="1" applyAlignment="1">
      <alignment vertical="center" wrapText="1"/>
    </xf>
    <xf numFmtId="0" fontId="30" fillId="0" borderId="27" xfId="0" applyFont="1" applyBorder="1" applyAlignment="1">
      <alignment vertical="center" wrapText="1"/>
    </xf>
    <xf numFmtId="0" fontId="35" fillId="5" borderId="17" xfId="18" quotePrefix="1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33" fillId="7" borderId="13" xfId="19" quotePrefix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5" fillId="5" borderId="16" xfId="18" quotePrefix="1" applyBorder="1" applyAlignment="1">
      <alignment horizontal="left" vertical="center"/>
    </xf>
    <xf numFmtId="0" fontId="33" fillId="7" borderId="10" xfId="19" quotePrefix="1" applyAlignment="1">
      <alignment horizontal="center" vertical="center"/>
    </xf>
    <xf numFmtId="0" fontId="0" fillId="0" borderId="9" xfId="0" applyBorder="1" applyAlignment="1">
      <alignment horizontal="center" vertical="center"/>
    </xf>
  </cellXfs>
  <cellStyles count="36">
    <cellStyle name="consejo" xfId="25" xr:uid="{00000000-0005-0000-0000-000000000000}"/>
    <cellStyle name="Hipervínculo 2" xfId="12" xr:uid="{00000000-0005-0000-0000-000001000000}"/>
    <cellStyle name="Hipervínculo 3" xfId="9" xr:uid="{00000000-0005-0000-0000-000002000000}"/>
    <cellStyle name="MSTRStyle.Todos.c1_3d3d080f-6df6-44a9-b5f1-04b3c7a77bcb" xfId="22" xr:uid="{00000000-0005-0000-0000-000003000000}"/>
    <cellStyle name="MSTRStyle.Todos.c10_f4ec6803-3c9c-42db-8e64-4a966d1fcf79" xfId="31" xr:uid="{752F4119-93EB-483F-86BA-ABFFFA183B3C}"/>
    <cellStyle name="MSTRStyle.Todos.c13_ad47ecc7-7d15-4cb6-8d9a-93aa07ca2c9c" xfId="19" xr:uid="{00000000-0005-0000-0000-000004000000}"/>
    <cellStyle name="MSTRStyle.Todos.c16_3321957e-8d69-4b7d-b341-a61e10f4c85f" xfId="28" xr:uid="{00000000-0005-0000-0000-000005000000}"/>
    <cellStyle name="MSTRStyle.Todos.c16_992610b3-1d75-4a3b-aec2-5e10b699bccc" xfId="16" xr:uid="{00000000-0005-0000-0000-000006000000}"/>
    <cellStyle name="MSTRStyle.Todos.c18_2edb5857-a1bf-42f0-9a50-c8f838c8cf47" xfId="17" xr:uid="{00000000-0005-0000-0000-000007000000}"/>
    <cellStyle name="MSTRStyle.Todos.c19_064608f2-5935-4cf9-a2ea-5b767d2f9646" xfId="20" xr:uid="{00000000-0005-0000-0000-000008000000}"/>
    <cellStyle name="MSTRStyle.Todos.c2_e2ab52e8-4747-4d05-9824-941fa4c21d4d" xfId="14" xr:uid="{00000000-0005-0000-0000-000009000000}"/>
    <cellStyle name="MSTRStyle.Todos.c2_f50bc28b-be07-4640-987b-277588810208" xfId="30" xr:uid="{E1C143AA-C94F-45FC-8B52-0276A429C036}"/>
    <cellStyle name="MSTRStyle.Todos.c20_8265551a-eda9-4950-be81-f3edd1f706c5" xfId="26" xr:uid="{00000000-0005-0000-0000-00000A000000}"/>
    <cellStyle name="MSTRStyle.Todos.c21_3101a5c9-3ba0-4c6d-a6f9-97deae704e2f" xfId="27" xr:uid="{00000000-0005-0000-0000-00000B000000}"/>
    <cellStyle name="MSTRStyle.Todos.c21_6668c9a3-2aa2-48fb-8c2d-7bab965807c5" xfId="29" xr:uid="{00000000-0005-0000-0000-00000C000000}"/>
    <cellStyle name="MSTRStyle.Todos.c22_b4931035-0805-433b-baf6-e882aeb4ab92" xfId="21" xr:uid="{00000000-0005-0000-0000-00000D000000}"/>
    <cellStyle name="MSTRStyle.Todos.c23_da26eb4b-ec0b-4c23-ba57-a8c5e38b6641" xfId="13" xr:uid="{00000000-0005-0000-0000-00000E000000}"/>
    <cellStyle name="MSTRStyle.Todos.c24_277c111b-2fd6-40e0-9a71-ae0aed61da69" xfId="33" xr:uid="{E4E13A25-84FA-4D92-9574-DDAFD38278EB}"/>
    <cellStyle name="MSTRStyle.Todos.c24_ac422d6a-d102-4f53-b7ea-bd7f18181498" xfId="15" xr:uid="{00000000-0005-0000-0000-00000F000000}"/>
    <cellStyle name="MSTRStyle.Todos.c3_22694d2a-25c9-4a77-b7ec-578f9598a798" xfId="32" xr:uid="{6C3AFD25-FC45-4009-897D-69BFBDDBABA5}"/>
    <cellStyle name="MSTRStyle.Todos.c3_ee34052e-6a5a-4931-979c-9f16bd5045b9" xfId="18" xr:uid="{00000000-0005-0000-0000-000010000000}"/>
    <cellStyle name="MSTRStyle.Todos.c7_81c12adb-1e68-4af7-a308-cda2119f5b62" xfId="24" xr:uid="{00000000-0005-0000-0000-000011000000}"/>
    <cellStyle name="MSTRStyle.Todos.c9_caa3568f-cc2a-4a40-813f-c12ba6feac0e" xfId="23" xr:uid="{00000000-0005-0000-0000-000012000000}"/>
    <cellStyle name="Normal" xfId="0" builtinId="0"/>
    <cellStyle name="Normal 2" xfId="4" xr:uid="{00000000-0005-0000-0000-000014000000}"/>
    <cellStyle name="Normal 2 2" xfId="11" xr:uid="{00000000-0005-0000-0000-000015000000}"/>
    <cellStyle name="Normal 3 2" xfId="2" xr:uid="{00000000-0005-0000-0000-000016000000}"/>
    <cellStyle name="Normal 4 2" xfId="7" xr:uid="{00000000-0005-0000-0000-000017000000}"/>
    <cellStyle name="Normal 7" xfId="10" xr:uid="{00000000-0005-0000-0000-000018000000}"/>
    <cellStyle name="Normal_5 Regimen Especial" xfId="6" xr:uid="{00000000-0005-0000-0000-000019000000}"/>
    <cellStyle name="Normal_7 Red de Transporte - Salvo perdidas" xfId="8" xr:uid="{00000000-0005-0000-0000-00001A000000}"/>
    <cellStyle name="Normal_A1 Comparacion Internacional" xfId="5" xr:uid="{00000000-0005-0000-0000-00001B000000}"/>
    <cellStyle name="Normal_cuadro 1.1 2" xfId="3" xr:uid="{00000000-0005-0000-0000-00001C000000}"/>
    <cellStyle name="Normal_TTTTTTTT" xfId="1" xr:uid="{00000000-0005-0000-0000-00001D000000}"/>
    <cellStyle name="Porcentaje" xfId="34" builtinId="5"/>
    <cellStyle name="Porcentaje 2" xfId="35" xr:uid="{CBE1E08D-9691-4D77-A64C-2EF9DBC1D71E}"/>
  </cellStyles>
  <dxfs count="0"/>
  <tableStyles count="0" defaultTableStyle="TableStyleMedium2" defaultPivotStyle="PivotStyleLight16"/>
  <colors>
    <mruColors>
      <color rgb="FF08B2AD"/>
      <color rgb="FF03738B"/>
      <color rgb="FF007CF9"/>
      <color rgb="FFAF8E00"/>
      <color rgb="FF00CCFF"/>
      <color rgb="FF8DA69F"/>
      <color rgb="FFCFA2CA"/>
      <color rgb="FFCCFF99"/>
      <color rgb="FFD9D9D9"/>
      <color rgb="FFED7D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1-BCC1-4B12-8B9E-8E3CBE32E214}"/>
              </c:ext>
            </c:extLst>
          </c:dPt>
          <c:dPt>
            <c:idx val="1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3-BCC1-4B12-8B9E-8E3CBE32E214}"/>
              </c:ext>
            </c:extLst>
          </c:dPt>
          <c:dPt>
            <c:idx val="2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5-BCC1-4B12-8B9E-8E3CBE32E214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BCC1-4B12-8B9E-8E3CBE32E214}"/>
              </c:ext>
            </c:extLst>
          </c:dPt>
          <c:dPt>
            <c:idx val="5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BCC1-4B12-8B9E-8E3CBE32E214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BCC1-4B12-8B9E-8E3CBE32E214}"/>
              </c:ext>
            </c:extLst>
          </c:dPt>
          <c:dPt>
            <c:idx val="7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D-BCC1-4B12-8B9E-8E3CBE32E214}"/>
              </c:ext>
            </c:extLst>
          </c:dPt>
          <c:dPt>
            <c:idx val="9"/>
            <c:bubble3D val="0"/>
            <c:spPr>
              <a:solidFill>
                <a:srgbClr val="E48500"/>
              </a:solidFill>
            </c:spPr>
            <c:extLst>
              <c:ext xmlns:c16="http://schemas.microsoft.com/office/drawing/2014/chart" uri="{C3380CC4-5D6E-409C-BE32-E72D297353CC}">
                <c16:uniqueId val="{00000011-BCC1-4B12-8B9E-8E3CBE32E214}"/>
              </c:ext>
            </c:extLst>
          </c:dPt>
          <c:dPt>
            <c:idx val="10"/>
            <c:bubble3D val="0"/>
            <c:spPr>
              <a:solidFill>
                <a:srgbClr val="A99BBD"/>
              </a:solidFill>
            </c:spPr>
            <c:extLst>
              <c:ext xmlns:c16="http://schemas.microsoft.com/office/drawing/2014/chart" uri="{C3380CC4-5D6E-409C-BE32-E72D297353CC}">
                <c16:uniqueId val="{00000013-BCC1-4B12-8B9E-8E3CBE32E214}"/>
              </c:ext>
            </c:extLst>
          </c:dPt>
          <c:dLbls>
            <c:dLbl>
              <c:idx val="0"/>
              <c:layout>
                <c:manualLayout>
                  <c:x val="7.8367346938775395E-2"/>
                  <c:y val="-0.1411764705882352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CC1-4B12-8B9E-8E3CBE32E214}"/>
                </c:ext>
              </c:extLst>
            </c:dLbl>
            <c:dLbl>
              <c:idx val="1"/>
              <c:layout>
                <c:manualLayout>
                  <c:x val="0.15346938775510205"/>
                  <c:y val="-8.888888888888889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CC1-4B12-8B9E-8E3CBE32E214}"/>
                </c:ext>
              </c:extLst>
            </c:dLbl>
            <c:dLbl>
              <c:idx val="2"/>
              <c:layout>
                <c:manualLayout>
                  <c:x val="0.16326530612244897"/>
                  <c:y val="6.27450980392156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CC1-4B12-8B9E-8E3CBE32E214}"/>
                </c:ext>
              </c:extLst>
            </c:dLbl>
            <c:dLbl>
              <c:idx val="3"/>
              <c:layout>
                <c:manualLayout>
                  <c:x val="-0.11102040816326533"/>
                  <c:y val="0.1254901960784312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CC1-4B12-8B9E-8E3CBE32E21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CC1-4B12-8B9E-8E3CBE32E214}"/>
                </c:ext>
              </c:extLst>
            </c:dLbl>
            <c:dLbl>
              <c:idx val="5"/>
              <c:layout>
                <c:manualLayout>
                  <c:x val="-0.1436734693877551"/>
                  <c:y val="0.3032679738562090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CC1-4B12-8B9E-8E3CBE32E214}"/>
                </c:ext>
              </c:extLst>
            </c:dLbl>
            <c:dLbl>
              <c:idx val="6"/>
              <c:layout>
                <c:manualLayout>
                  <c:x val="-0.1763265306122449"/>
                  <c:y val="0.1882352941176470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CC1-4B12-8B9E-8E3CBE32E214}"/>
                </c:ext>
              </c:extLst>
            </c:dLbl>
            <c:dLbl>
              <c:idx val="7"/>
              <c:layout>
                <c:manualLayout>
                  <c:x val="-0.18938775510204081"/>
                  <c:y val="5.751633986928104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CC1-4B12-8B9E-8E3CBE32E214}"/>
                </c:ext>
              </c:extLst>
            </c:dLbl>
            <c:dLbl>
              <c:idx val="8"/>
              <c:layout>
                <c:manualLayout>
                  <c:x val="-0.19591836734693877"/>
                  <c:y val="-6.797385620915032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CC1-4B12-8B9E-8E3CBE32E214}"/>
                </c:ext>
              </c:extLst>
            </c:dLbl>
            <c:dLbl>
              <c:idx val="9"/>
              <c:layout>
                <c:manualLayout>
                  <c:x val="-0.21224489795918366"/>
                  <c:y val="-0.1098039215686274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CC1-4B12-8B9E-8E3CBE32E214}"/>
                </c:ext>
              </c:extLst>
            </c:dLbl>
            <c:dLbl>
              <c:idx val="10"/>
              <c:layout>
                <c:manualLayout>
                  <c:x val="-0.15020408163265311"/>
                  <c:y val="-0.125490196078431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CC1-4B12-8B9E-8E3CBE32E21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Dat_01!$A$52:$A$62</c:f>
              <c:strCache>
                <c:ptCount val="11"/>
                <c:pt idx="0">
                  <c:v>Carbón</c:v>
                </c:pt>
                <c:pt idx="1">
                  <c:v>Motores diésel</c:v>
                </c:pt>
                <c:pt idx="2">
                  <c:v>Turbina de gas</c:v>
                </c:pt>
                <c:pt idx="3">
                  <c:v>Ciclo combinado</c:v>
                </c:pt>
                <c:pt idx="4">
                  <c:v>Generación auxiliar</c:v>
                </c:pt>
                <c:pt idx="5">
                  <c:v>Cogeneración</c:v>
                </c:pt>
                <c:pt idx="6">
                  <c:v>Residuos no renovables</c:v>
                </c:pt>
                <c:pt idx="7">
                  <c:v>Residuos renovables</c:v>
                </c:pt>
                <c:pt idx="8">
                  <c:v>Eólica</c:v>
                </c:pt>
                <c:pt idx="9">
                  <c:v>Solar fotovoltaica</c:v>
                </c:pt>
                <c:pt idx="10">
                  <c:v>Otras renovables</c:v>
                </c:pt>
              </c:strCache>
            </c:strRef>
          </c:cat>
          <c:val>
            <c:numRef>
              <c:f>Dat_01!$C$52:$C$62</c:f>
              <c:numCache>
                <c:formatCode>#,##0.0</c:formatCode>
                <c:ptCount val="11"/>
                <c:pt idx="0">
                  <c:v>10.676904525546085</c:v>
                </c:pt>
                <c:pt idx="1">
                  <c:v>6.1706488012484426</c:v>
                </c:pt>
                <c:pt idx="2">
                  <c:v>26.696687891197531</c:v>
                </c:pt>
                <c:pt idx="3">
                  <c:v>36.426304867627998</c:v>
                </c:pt>
                <c:pt idx="4">
                  <c:v>0</c:v>
                </c:pt>
                <c:pt idx="5">
                  <c:v>0.46580873267960798</c:v>
                </c:pt>
                <c:pt idx="6">
                  <c:v>1.6555399222861675</c:v>
                </c:pt>
                <c:pt idx="7">
                  <c:v>1.6555399222861675</c:v>
                </c:pt>
                <c:pt idx="8">
                  <c:v>0.15747548859714014</c:v>
                </c:pt>
                <c:pt idx="9">
                  <c:v>15.921036827824206</c:v>
                </c:pt>
                <c:pt idx="10">
                  <c:v>0.17405302070666337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BCC1-4B12-8B9E-8E3CBE32E21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EFEF-4A25-8F99-4A2FF524F7C5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EFEF-4A25-8F99-4A2FF524F7C5}"/>
              </c:ext>
            </c:extLst>
          </c:dPt>
          <c:dLbls>
            <c:dLbl>
              <c:idx val="0"/>
              <c:layout>
                <c:manualLayout>
                  <c:x val="-0.15204692365144692"/>
                  <c:y val="-0.1699346405228758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3158855420965531"/>
                      <c:h val="0.425948227059852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EFEF-4A25-8F99-4A2FF524F7C5}"/>
                </c:ext>
              </c:extLst>
            </c:dLbl>
            <c:dLbl>
              <c:idx val="1"/>
              <c:layout>
                <c:manualLayout>
                  <c:x val="0.16374284085540439"/>
                  <c:y val="0.1176470588235294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19883427622072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EFEF-4A25-8F99-4A2FF524F7C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Dat_01!$J$68:$J$69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Dat_01!$L$68:$L$69</c:f>
              <c:numCache>
                <c:formatCode>#,##0.0</c:formatCode>
                <c:ptCount val="2"/>
                <c:pt idx="0">
                  <c:v>73.446784714578683</c:v>
                </c:pt>
                <c:pt idx="1">
                  <c:v>26.553215285421317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EF-4A25-8F99-4A2FF524F7C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014807737082345E-2"/>
          <c:y val="0.21569609457639952"/>
          <c:w val="0.84251457249075767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Dat_01!$B$139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Dat_01!$C$139:$O$139</c:f>
              <c:numCache>
                <c:formatCode>#,##0.0</c:formatCode>
                <c:ptCount val="13"/>
                <c:pt idx="0">
                  <c:v>0.27621200000000001</c:v>
                </c:pt>
                <c:pt idx="1">
                  <c:v>0.29845300000000002</c:v>
                </c:pt>
                <c:pt idx="2">
                  <c:v>0.28431800000000002</c:v>
                </c:pt>
                <c:pt idx="3">
                  <c:v>0.28783500000000001</c:v>
                </c:pt>
                <c:pt idx="4">
                  <c:v>0.285242</c:v>
                </c:pt>
                <c:pt idx="5">
                  <c:v>5.4619000000000001E-2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0-4520-9E59-43A6B46FC373}"/>
            </c:ext>
          </c:extLst>
        </c:ser>
        <c:ser>
          <c:idx val="8"/>
          <c:order val="1"/>
          <c:tx>
            <c:strRef>
              <c:f>Dat_01!$B$140</c:f>
              <c:strCache>
                <c:ptCount val="1"/>
                <c:pt idx="0">
                  <c:v>Motores diésel</c:v>
                </c:pt>
              </c:strCache>
            </c:strRef>
          </c:tx>
          <c:spPr>
            <a:solidFill>
              <a:srgbClr val="8DA69F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Dat_01!$C$140:$O$140</c:f>
              <c:numCache>
                <c:formatCode>#,##0.0</c:formatCode>
                <c:ptCount val="13"/>
                <c:pt idx="0">
                  <c:v>158.02361400000001</c:v>
                </c:pt>
                <c:pt idx="1">
                  <c:v>161.225874</c:v>
                </c:pt>
                <c:pt idx="2">
                  <c:v>162.623898</c:v>
                </c:pt>
                <c:pt idx="3">
                  <c:v>158.879446</c:v>
                </c:pt>
                <c:pt idx="4">
                  <c:v>164.446281</c:v>
                </c:pt>
                <c:pt idx="5">
                  <c:v>147.68749600000001</c:v>
                </c:pt>
                <c:pt idx="6">
                  <c:v>173.83343199999999</c:v>
                </c:pt>
                <c:pt idx="7">
                  <c:v>146.76996600000001</c:v>
                </c:pt>
                <c:pt idx="8">
                  <c:v>139.11880199999999</c:v>
                </c:pt>
                <c:pt idx="9">
                  <c:v>133.45317499999999</c:v>
                </c:pt>
                <c:pt idx="10">
                  <c:v>138.95270500000001</c:v>
                </c:pt>
                <c:pt idx="11">
                  <c:v>156.42968200000001</c:v>
                </c:pt>
                <c:pt idx="12">
                  <c:v>146.533942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D0-4520-9E59-43A6B46FC373}"/>
            </c:ext>
          </c:extLst>
        </c:ser>
        <c:ser>
          <c:idx val="0"/>
          <c:order val="2"/>
          <c:tx>
            <c:strRef>
              <c:f>Dat_01!$B$141</c:f>
              <c:strCache>
                <c:ptCount val="1"/>
                <c:pt idx="0">
                  <c:v>Turbina de gas</c:v>
                </c:pt>
              </c:strCache>
            </c:strRef>
          </c:tx>
          <c:spPr>
            <a:solidFill>
              <a:srgbClr val="00CCFF"/>
            </a:solidFill>
          </c:spPr>
          <c:invertIfNegative val="0"/>
          <c:val>
            <c:numRef>
              <c:f>Dat_01!$C$141:$O$141</c:f>
              <c:numCache>
                <c:formatCode>#,##0.0</c:formatCode>
                <c:ptCount val="13"/>
                <c:pt idx="0">
                  <c:v>24.502908999999999</c:v>
                </c:pt>
                <c:pt idx="1">
                  <c:v>16.364426999999999</c:v>
                </c:pt>
                <c:pt idx="2">
                  <c:v>29.713279</c:v>
                </c:pt>
                <c:pt idx="3">
                  <c:v>20.429556000000002</c:v>
                </c:pt>
                <c:pt idx="4">
                  <c:v>37.045735999999998</c:v>
                </c:pt>
                <c:pt idx="5">
                  <c:v>22.268398999999999</c:v>
                </c:pt>
                <c:pt idx="6">
                  <c:v>28.510366000000001</c:v>
                </c:pt>
                <c:pt idx="7">
                  <c:v>15.002691</c:v>
                </c:pt>
                <c:pt idx="8">
                  <c:v>15.518791</c:v>
                </c:pt>
                <c:pt idx="9">
                  <c:v>14.439681999999999</c:v>
                </c:pt>
                <c:pt idx="10">
                  <c:v>17.277450000000002</c:v>
                </c:pt>
                <c:pt idx="11">
                  <c:v>21.905667999999999</c:v>
                </c:pt>
                <c:pt idx="12">
                  <c:v>21.204673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B0-4607-8FD2-83B343C7279A}"/>
            </c:ext>
          </c:extLst>
        </c:ser>
        <c:ser>
          <c:idx val="3"/>
          <c:order val="3"/>
          <c:tx>
            <c:strRef>
              <c:f>Dat_01!$B$142</c:f>
              <c:strCache>
                <c:ptCount val="1"/>
                <c:pt idx="0">
                  <c:v>Turbina de vapor</c:v>
                </c:pt>
              </c:strCache>
            </c:strRef>
          </c:tx>
          <c:spPr>
            <a:solidFill>
              <a:srgbClr val="AF8E00"/>
            </a:solidFill>
          </c:spPr>
          <c:invertIfNegative val="0"/>
          <c:val>
            <c:numRef>
              <c:f>Dat_01!$C$142:$O$142</c:f>
              <c:numCache>
                <c:formatCode>#,##0.0</c:formatCode>
                <c:ptCount val="13"/>
                <c:pt idx="0">
                  <c:v>76.899137999999994</c:v>
                </c:pt>
                <c:pt idx="1">
                  <c:v>89.300011999999995</c:v>
                </c:pt>
                <c:pt idx="2">
                  <c:v>91.813715999999999</c:v>
                </c:pt>
                <c:pt idx="3">
                  <c:v>71.233320000000006</c:v>
                </c:pt>
                <c:pt idx="4">
                  <c:v>82.867552000000003</c:v>
                </c:pt>
                <c:pt idx="5">
                  <c:v>111.33349800000001</c:v>
                </c:pt>
                <c:pt idx="6">
                  <c:v>126.580506</c:v>
                </c:pt>
                <c:pt idx="7">
                  <c:v>98.063034000000002</c:v>
                </c:pt>
                <c:pt idx="8">
                  <c:v>81.823025999999999</c:v>
                </c:pt>
                <c:pt idx="9">
                  <c:v>84.304407999999995</c:v>
                </c:pt>
                <c:pt idx="10">
                  <c:v>97.386711000000005</c:v>
                </c:pt>
                <c:pt idx="11">
                  <c:v>100.206506</c:v>
                </c:pt>
                <c:pt idx="12">
                  <c:v>99.346721000000002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B0-4607-8FD2-83B343C7279A}"/>
            </c:ext>
          </c:extLst>
        </c:ser>
        <c:ser>
          <c:idx val="1"/>
          <c:order val="4"/>
          <c:tx>
            <c:strRef>
              <c:f>Dat_01!$B$143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Dat_01!$C$143:$O$143</c:f>
              <c:numCache>
                <c:formatCode>#,##0.0</c:formatCode>
                <c:ptCount val="13"/>
                <c:pt idx="0">
                  <c:v>296.23593199999999</c:v>
                </c:pt>
                <c:pt idx="1">
                  <c:v>354.842107</c:v>
                </c:pt>
                <c:pt idx="2">
                  <c:v>391.60655400000002</c:v>
                </c:pt>
                <c:pt idx="3">
                  <c:v>377.87321400000002</c:v>
                </c:pt>
                <c:pt idx="4">
                  <c:v>342.56568199999998</c:v>
                </c:pt>
                <c:pt idx="5">
                  <c:v>249.83534599999999</c:v>
                </c:pt>
                <c:pt idx="6">
                  <c:v>290.37200899999999</c:v>
                </c:pt>
                <c:pt idx="7">
                  <c:v>290.70250900000002</c:v>
                </c:pt>
                <c:pt idx="8">
                  <c:v>328.785506</c:v>
                </c:pt>
                <c:pt idx="9">
                  <c:v>284.15903500000002</c:v>
                </c:pt>
                <c:pt idx="10">
                  <c:v>316.61882300000002</c:v>
                </c:pt>
                <c:pt idx="11">
                  <c:v>340.02993600000002</c:v>
                </c:pt>
                <c:pt idx="12">
                  <c:v>307.60187999999999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0-4520-9E59-43A6B46FC373}"/>
            </c:ext>
          </c:extLst>
        </c:ser>
        <c:ser>
          <c:idx val="6"/>
          <c:order val="5"/>
          <c:tx>
            <c:strRef>
              <c:f>Dat_01!$B$144</c:f>
              <c:strCache>
                <c:ptCount val="1"/>
                <c:pt idx="0">
                  <c:v>Hidroeólica</c:v>
                </c:pt>
              </c:strCache>
            </c:strRef>
          </c:tx>
          <c:spPr>
            <a:solidFill>
              <a:srgbClr val="00FFFF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Dat_01!$C$144:$O$144</c:f>
              <c:numCache>
                <c:formatCode>#,##0.0</c:formatCode>
                <c:ptCount val="13"/>
                <c:pt idx="0">
                  <c:v>2.271474</c:v>
                </c:pt>
                <c:pt idx="1">
                  <c:v>1.869634</c:v>
                </c:pt>
                <c:pt idx="2">
                  <c:v>0.32408100000000001</c:v>
                </c:pt>
                <c:pt idx="3">
                  <c:v>1.363745</c:v>
                </c:pt>
                <c:pt idx="4">
                  <c:v>1.249555</c:v>
                </c:pt>
                <c:pt idx="5">
                  <c:v>1.142978</c:v>
                </c:pt>
                <c:pt idx="6">
                  <c:v>1.2419039999999999</c:v>
                </c:pt>
                <c:pt idx="7">
                  <c:v>1.7632380000000001</c:v>
                </c:pt>
                <c:pt idx="8">
                  <c:v>1.701465</c:v>
                </c:pt>
                <c:pt idx="9">
                  <c:v>2.9528669999999999</c:v>
                </c:pt>
                <c:pt idx="10">
                  <c:v>3.1269979999999999</c:v>
                </c:pt>
                <c:pt idx="11">
                  <c:v>2.6583589999999999</c:v>
                </c:pt>
                <c:pt idx="12">
                  <c:v>2.5908169999999999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0-4520-9E59-43A6B46FC373}"/>
            </c:ext>
          </c:extLst>
        </c:ser>
        <c:ser>
          <c:idx val="7"/>
          <c:order val="6"/>
          <c:tx>
            <c:strRef>
              <c:f>Dat_01!$B$145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Dat_01!$C$145:$O$145</c:f>
              <c:numCache>
                <c:formatCode>#,##0.0</c:formatCode>
                <c:ptCount val="13"/>
                <c:pt idx="0">
                  <c:v>148.53897900000001</c:v>
                </c:pt>
                <c:pt idx="1">
                  <c:v>116.72577099999999</c:v>
                </c:pt>
                <c:pt idx="2">
                  <c:v>42.203436000000004</c:v>
                </c:pt>
                <c:pt idx="3">
                  <c:v>98.604742999999999</c:v>
                </c:pt>
                <c:pt idx="4">
                  <c:v>94.730716000000001</c:v>
                </c:pt>
                <c:pt idx="5">
                  <c:v>107.781023</c:v>
                </c:pt>
                <c:pt idx="6">
                  <c:v>77.910471999999999</c:v>
                </c:pt>
                <c:pt idx="7">
                  <c:v>105.224018</c:v>
                </c:pt>
                <c:pt idx="8">
                  <c:v>99.380206999999999</c:v>
                </c:pt>
                <c:pt idx="9">
                  <c:v>143.378455</c:v>
                </c:pt>
                <c:pt idx="10">
                  <c:v>163.042329</c:v>
                </c:pt>
                <c:pt idx="11">
                  <c:v>149.38965200000001</c:v>
                </c:pt>
                <c:pt idx="12">
                  <c:v>165.41228000000001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0-4520-9E59-43A6B46FC373}"/>
            </c:ext>
          </c:extLst>
        </c:ser>
        <c:ser>
          <c:idx val="4"/>
          <c:order val="7"/>
          <c:tx>
            <c:strRef>
              <c:f>Dat_01!$B$146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Dat_01!$C$146:$O$146</c:f>
              <c:numCache>
                <c:formatCode>#,##0.0</c:formatCode>
                <c:ptCount val="13"/>
                <c:pt idx="0">
                  <c:v>37.569015999999998</c:v>
                </c:pt>
                <c:pt idx="1">
                  <c:v>36.358265000000003</c:v>
                </c:pt>
                <c:pt idx="2">
                  <c:v>28.568382</c:v>
                </c:pt>
                <c:pt idx="3">
                  <c:v>27.419523999999999</c:v>
                </c:pt>
                <c:pt idx="4">
                  <c:v>32.134219999999999</c:v>
                </c:pt>
                <c:pt idx="5">
                  <c:v>36.099778000000001</c:v>
                </c:pt>
                <c:pt idx="6">
                  <c:v>37.372995000000003</c:v>
                </c:pt>
                <c:pt idx="7">
                  <c:v>38.245548999999997</c:v>
                </c:pt>
                <c:pt idx="8">
                  <c:v>44.380906000000003</c:v>
                </c:pt>
                <c:pt idx="9">
                  <c:v>42.392861000000003</c:v>
                </c:pt>
                <c:pt idx="10">
                  <c:v>44.388679000000003</c:v>
                </c:pt>
                <c:pt idx="11">
                  <c:v>45.802045</c:v>
                </c:pt>
                <c:pt idx="12">
                  <c:v>39.402819999999998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0-4520-9E59-43A6B46FC373}"/>
            </c:ext>
          </c:extLst>
        </c:ser>
        <c:ser>
          <c:idx val="10"/>
          <c:order val="8"/>
          <c:tx>
            <c:strRef>
              <c:f>Dat_01!$B$147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Dat_01!$C$147:$O$147</c:f>
              <c:numCache>
                <c:formatCode>#,##0.0</c:formatCode>
                <c:ptCount val="13"/>
                <c:pt idx="0">
                  <c:v>1.1101749999999999</c:v>
                </c:pt>
                <c:pt idx="1">
                  <c:v>1.1028469999999999</c:v>
                </c:pt>
                <c:pt idx="2">
                  <c:v>1.1775519999999999</c:v>
                </c:pt>
                <c:pt idx="3">
                  <c:v>1.130485</c:v>
                </c:pt>
                <c:pt idx="4">
                  <c:v>1.127931</c:v>
                </c:pt>
                <c:pt idx="5">
                  <c:v>1.2032910000000001</c:v>
                </c:pt>
                <c:pt idx="6">
                  <c:v>1.4286719999999999</c:v>
                </c:pt>
                <c:pt idx="7">
                  <c:v>1.4361379999999999</c:v>
                </c:pt>
                <c:pt idx="8">
                  <c:v>1.444064</c:v>
                </c:pt>
                <c:pt idx="9">
                  <c:v>1.2805299999999999</c:v>
                </c:pt>
                <c:pt idx="10">
                  <c:v>1.163958</c:v>
                </c:pt>
                <c:pt idx="11">
                  <c:v>0.98014500000000004</c:v>
                </c:pt>
                <c:pt idx="12">
                  <c:v>0.36074600000000001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0-4520-9E59-43A6B46FC3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50256"/>
        <c:axId val="891810736"/>
      </c:barChart>
      <c:catAx>
        <c:axId val="851550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91810736"/>
        <c:crosses val="autoZero"/>
        <c:auto val="1"/>
        <c:lblAlgn val="ctr"/>
        <c:lblOffset val="100"/>
        <c:noMultiLvlLbl val="1"/>
      </c:catAx>
      <c:valAx>
        <c:axId val="891810736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5025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71532836850678216"/>
          <c:h val="0.12324013596661074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014807737082345E-2"/>
          <c:y val="0.21569609457639952"/>
          <c:w val="0.84251457249075767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Dat_01!$B$139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Dat_01!$C$139:$O$139</c:f>
              <c:numCache>
                <c:formatCode>#,##0.0</c:formatCode>
                <c:ptCount val="13"/>
                <c:pt idx="0">
                  <c:v>0.27621200000000001</c:v>
                </c:pt>
                <c:pt idx="1">
                  <c:v>0.29845300000000002</c:v>
                </c:pt>
                <c:pt idx="2">
                  <c:v>0.28431800000000002</c:v>
                </c:pt>
                <c:pt idx="3">
                  <c:v>0.28783500000000001</c:v>
                </c:pt>
                <c:pt idx="4">
                  <c:v>0.285242</c:v>
                </c:pt>
                <c:pt idx="5">
                  <c:v>5.4619000000000001E-2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49-407C-BEFE-A112EACBD099}"/>
            </c:ext>
          </c:extLst>
        </c:ser>
        <c:ser>
          <c:idx val="8"/>
          <c:order val="1"/>
          <c:tx>
            <c:strRef>
              <c:f>Dat_01!$B$150</c:f>
              <c:strCache>
                <c:ptCount val="1"/>
                <c:pt idx="0">
                  <c:v>Fuel/gas (1)</c:v>
                </c:pt>
              </c:strCache>
            </c:strRef>
          </c:tx>
          <c:spPr>
            <a:solidFill>
              <a:srgbClr val="BA0F16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Dat_01!$C$150:$O$150</c:f>
              <c:numCache>
                <c:formatCode>#,##0</c:formatCode>
                <c:ptCount val="13"/>
                <c:pt idx="0">
                  <c:v>259.42566099999999</c:v>
                </c:pt>
                <c:pt idx="1">
                  <c:v>266.89031299999999</c:v>
                </c:pt>
                <c:pt idx="2">
                  <c:v>284.150893</c:v>
                </c:pt>
                <c:pt idx="3">
                  <c:v>250.54232200000001</c:v>
                </c:pt>
                <c:pt idx="4">
                  <c:v>284.35956900000002</c:v>
                </c:pt>
                <c:pt idx="5">
                  <c:v>281.28939300000002</c:v>
                </c:pt>
                <c:pt idx="6">
                  <c:v>328.92430400000001</c:v>
                </c:pt>
                <c:pt idx="7">
                  <c:v>259.835691</c:v>
                </c:pt>
                <c:pt idx="8">
                  <c:v>236.46061899999998</c:v>
                </c:pt>
                <c:pt idx="9">
                  <c:v>232.19726499999999</c:v>
                </c:pt>
                <c:pt idx="10">
                  <c:v>253.61686600000002</c:v>
                </c:pt>
                <c:pt idx="11">
                  <c:v>278.541856</c:v>
                </c:pt>
                <c:pt idx="12">
                  <c:v>267.08533599999998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49-407C-BEFE-A112EACBD099}"/>
            </c:ext>
          </c:extLst>
        </c:ser>
        <c:ser>
          <c:idx val="1"/>
          <c:order val="2"/>
          <c:tx>
            <c:strRef>
              <c:f>Dat_01!$B$143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Dat_01!$C$143:$O$143</c:f>
              <c:numCache>
                <c:formatCode>#,##0.0</c:formatCode>
                <c:ptCount val="13"/>
                <c:pt idx="0">
                  <c:v>296.23593199999999</c:v>
                </c:pt>
                <c:pt idx="1">
                  <c:v>354.842107</c:v>
                </c:pt>
                <c:pt idx="2">
                  <c:v>391.60655400000002</c:v>
                </c:pt>
                <c:pt idx="3">
                  <c:v>377.87321400000002</c:v>
                </c:pt>
                <c:pt idx="4">
                  <c:v>342.56568199999998</c:v>
                </c:pt>
                <c:pt idx="5">
                  <c:v>249.83534599999999</c:v>
                </c:pt>
                <c:pt idx="6">
                  <c:v>290.37200899999999</c:v>
                </c:pt>
                <c:pt idx="7">
                  <c:v>290.70250900000002</c:v>
                </c:pt>
                <c:pt idx="8">
                  <c:v>328.785506</c:v>
                </c:pt>
                <c:pt idx="9">
                  <c:v>284.15903500000002</c:v>
                </c:pt>
                <c:pt idx="10">
                  <c:v>316.61882300000002</c:v>
                </c:pt>
                <c:pt idx="11">
                  <c:v>340.02993600000002</c:v>
                </c:pt>
                <c:pt idx="12">
                  <c:v>307.60187999999999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49-407C-BEFE-A112EACBD099}"/>
            </c:ext>
          </c:extLst>
        </c:ser>
        <c:ser>
          <c:idx val="6"/>
          <c:order val="3"/>
          <c:tx>
            <c:strRef>
              <c:f>Dat_01!$B$144</c:f>
              <c:strCache>
                <c:ptCount val="1"/>
                <c:pt idx="0">
                  <c:v>Hidroeólica</c:v>
                </c:pt>
              </c:strCache>
            </c:strRef>
          </c:tx>
          <c:spPr>
            <a:solidFill>
              <a:srgbClr val="00FFFF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Dat_01!$C$144:$O$144</c:f>
              <c:numCache>
                <c:formatCode>#,##0.0</c:formatCode>
                <c:ptCount val="13"/>
                <c:pt idx="0">
                  <c:v>2.271474</c:v>
                </c:pt>
                <c:pt idx="1">
                  <c:v>1.869634</c:v>
                </c:pt>
                <c:pt idx="2">
                  <c:v>0.32408100000000001</c:v>
                </c:pt>
                <c:pt idx="3">
                  <c:v>1.363745</c:v>
                </c:pt>
                <c:pt idx="4">
                  <c:v>1.249555</c:v>
                </c:pt>
                <c:pt idx="5">
                  <c:v>1.142978</c:v>
                </c:pt>
                <c:pt idx="6">
                  <c:v>1.2419039999999999</c:v>
                </c:pt>
                <c:pt idx="7">
                  <c:v>1.7632380000000001</c:v>
                </c:pt>
                <c:pt idx="8">
                  <c:v>1.701465</c:v>
                </c:pt>
                <c:pt idx="9">
                  <c:v>2.9528669999999999</c:v>
                </c:pt>
                <c:pt idx="10">
                  <c:v>3.1269979999999999</c:v>
                </c:pt>
                <c:pt idx="11">
                  <c:v>2.6583589999999999</c:v>
                </c:pt>
                <c:pt idx="12">
                  <c:v>2.5908169999999999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49-407C-BEFE-A112EACBD099}"/>
            </c:ext>
          </c:extLst>
        </c:ser>
        <c:ser>
          <c:idx val="7"/>
          <c:order val="4"/>
          <c:tx>
            <c:strRef>
              <c:f>Dat_01!$B$145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Dat_01!$C$145:$O$145</c:f>
              <c:numCache>
                <c:formatCode>#,##0.0</c:formatCode>
                <c:ptCount val="13"/>
                <c:pt idx="0">
                  <c:v>148.53897900000001</c:v>
                </c:pt>
                <c:pt idx="1">
                  <c:v>116.72577099999999</c:v>
                </c:pt>
                <c:pt idx="2">
                  <c:v>42.203436000000004</c:v>
                </c:pt>
                <c:pt idx="3">
                  <c:v>98.604742999999999</c:v>
                </c:pt>
                <c:pt idx="4">
                  <c:v>94.730716000000001</c:v>
                </c:pt>
                <c:pt idx="5">
                  <c:v>107.781023</c:v>
                </c:pt>
                <c:pt idx="6">
                  <c:v>77.910471999999999</c:v>
                </c:pt>
                <c:pt idx="7">
                  <c:v>105.224018</c:v>
                </c:pt>
                <c:pt idx="8">
                  <c:v>99.380206999999999</c:v>
                </c:pt>
                <c:pt idx="9">
                  <c:v>143.378455</c:v>
                </c:pt>
                <c:pt idx="10">
                  <c:v>163.042329</c:v>
                </c:pt>
                <c:pt idx="11">
                  <c:v>149.38965200000001</c:v>
                </c:pt>
                <c:pt idx="12">
                  <c:v>165.41228000000001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49-407C-BEFE-A112EACBD099}"/>
            </c:ext>
          </c:extLst>
        </c:ser>
        <c:ser>
          <c:idx val="4"/>
          <c:order val="5"/>
          <c:tx>
            <c:strRef>
              <c:f>Dat_01!$B$146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Dat_01!$C$146:$O$146</c:f>
              <c:numCache>
                <c:formatCode>#,##0.0</c:formatCode>
                <c:ptCount val="13"/>
                <c:pt idx="0">
                  <c:v>37.569015999999998</c:v>
                </c:pt>
                <c:pt idx="1">
                  <c:v>36.358265000000003</c:v>
                </c:pt>
                <c:pt idx="2">
                  <c:v>28.568382</c:v>
                </c:pt>
                <c:pt idx="3">
                  <c:v>27.419523999999999</c:v>
                </c:pt>
                <c:pt idx="4">
                  <c:v>32.134219999999999</c:v>
                </c:pt>
                <c:pt idx="5">
                  <c:v>36.099778000000001</c:v>
                </c:pt>
                <c:pt idx="6">
                  <c:v>37.372995000000003</c:v>
                </c:pt>
                <c:pt idx="7">
                  <c:v>38.245548999999997</c:v>
                </c:pt>
                <c:pt idx="8">
                  <c:v>44.380906000000003</c:v>
                </c:pt>
                <c:pt idx="9">
                  <c:v>42.392861000000003</c:v>
                </c:pt>
                <c:pt idx="10">
                  <c:v>44.388679000000003</c:v>
                </c:pt>
                <c:pt idx="11">
                  <c:v>45.802045</c:v>
                </c:pt>
                <c:pt idx="12">
                  <c:v>39.402819999999998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749-407C-BEFE-A112EACBD099}"/>
            </c:ext>
          </c:extLst>
        </c:ser>
        <c:ser>
          <c:idx val="10"/>
          <c:order val="6"/>
          <c:tx>
            <c:strRef>
              <c:f>Dat_01!$B$147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Dat_01!$C$147:$O$147</c:f>
              <c:numCache>
                <c:formatCode>#,##0.0</c:formatCode>
                <c:ptCount val="13"/>
                <c:pt idx="0">
                  <c:v>1.1101749999999999</c:v>
                </c:pt>
                <c:pt idx="1">
                  <c:v>1.1028469999999999</c:v>
                </c:pt>
                <c:pt idx="2">
                  <c:v>1.1775519999999999</c:v>
                </c:pt>
                <c:pt idx="3">
                  <c:v>1.130485</c:v>
                </c:pt>
                <c:pt idx="4">
                  <c:v>1.127931</c:v>
                </c:pt>
                <c:pt idx="5">
                  <c:v>1.2032910000000001</c:v>
                </c:pt>
                <c:pt idx="6">
                  <c:v>1.4286719999999999</c:v>
                </c:pt>
                <c:pt idx="7">
                  <c:v>1.4361379999999999</c:v>
                </c:pt>
                <c:pt idx="8">
                  <c:v>1.444064</c:v>
                </c:pt>
                <c:pt idx="9">
                  <c:v>1.2805299999999999</c:v>
                </c:pt>
                <c:pt idx="10">
                  <c:v>1.163958</c:v>
                </c:pt>
                <c:pt idx="11">
                  <c:v>0.98014500000000004</c:v>
                </c:pt>
                <c:pt idx="12">
                  <c:v>0.36074600000000001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49-407C-BEFE-A112EACBD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50256"/>
        <c:axId val="891810736"/>
      </c:barChart>
      <c:catAx>
        <c:axId val="851550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91810736"/>
        <c:crosses val="autoZero"/>
        <c:auto val="1"/>
        <c:lblAlgn val="ctr"/>
        <c:lblOffset val="100"/>
        <c:noMultiLvlLbl val="1"/>
      </c:catAx>
      <c:valAx>
        <c:axId val="891810736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5025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86922613022492623"/>
          <c:h val="0.1351058945260416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03888799612E-2"/>
          <c:y val="0.14247647890167575"/>
          <c:w val="0.83628577856339403"/>
          <c:h val="0.78285584890124038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Dat_01!$A$47</c:f>
              <c:strCache>
                <c:ptCount val="1"/>
                <c:pt idx="0">
                  <c:v>Baterías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dLbls>
            <c:dLbl>
              <c:idx val="0"/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800" b="0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89C-449B-AB38-695234D90CA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Dat_01!$A$47</c:f>
              <c:strCache>
                <c:ptCount val="1"/>
                <c:pt idx="0">
                  <c:v>Baterías</c:v>
                </c:pt>
              </c:strCache>
            </c:strRef>
          </c:cat>
          <c:val>
            <c:numRef>
              <c:f>Dat_01!$F$48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71-49C2-874D-77471DF5D6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</c:scaling>
        <c:delete val="0"/>
        <c:axPos val="b"/>
        <c:numFmt formatCode="0%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ln>
                  <a:noFill/>
                </a:ln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ln>
                  <a:noFill/>
                </a:ln>
                <a:noFill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480386186462112E-2"/>
          <c:y val="0.16030564226808824"/>
          <c:w val="0.86216092052265514"/>
          <c:h val="0.67176679686692709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Dat_01!$B$167</c:f>
              <c:strCache>
                <c:ptCount val="1"/>
                <c:pt idx="0">
                  <c:v>Entrega batería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cat>
            <c:strRef>
              <c:f>Dat_01!$C$166:$O$166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Dat_01!$C$167:$O$167</c:f>
              <c:numCache>
                <c:formatCode>#,##0.000</c:formatCode>
                <c:ptCount val="13"/>
                <c:pt idx="0">
                  <c:v>0.47499999999999998</c:v>
                </c:pt>
                <c:pt idx="1">
                  <c:v>56.973000000000006</c:v>
                </c:pt>
                <c:pt idx="2">
                  <c:v>43.603000000000002</c:v>
                </c:pt>
                <c:pt idx="3">
                  <c:v>10.196999999999999</c:v>
                </c:pt>
                <c:pt idx="4">
                  <c:v>5.3210000000000006</c:v>
                </c:pt>
                <c:pt idx="5">
                  <c:v>9.2089999999999996</c:v>
                </c:pt>
                <c:pt idx="6">
                  <c:v>1.5620000000000001</c:v>
                </c:pt>
                <c:pt idx="7">
                  <c:v>0.98100000000000009</c:v>
                </c:pt>
                <c:pt idx="8">
                  <c:v>8.0190000000000001</c:v>
                </c:pt>
                <c:pt idx="9">
                  <c:v>33.307000000000002</c:v>
                </c:pt>
                <c:pt idx="10">
                  <c:v>25.804000000000002</c:v>
                </c:pt>
                <c:pt idx="11">
                  <c:v>0</c:v>
                </c:pt>
                <c:pt idx="12" formatCode="#,##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0A-4791-B325-0C3751A9651D}"/>
            </c:ext>
          </c:extLst>
        </c:ser>
        <c:ser>
          <c:idx val="4"/>
          <c:order val="1"/>
          <c:tx>
            <c:strRef>
              <c:f>Dat_01!$B$168</c:f>
              <c:strCache>
                <c:ptCount val="1"/>
                <c:pt idx="0">
                  <c:v>Carga batería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cat>
            <c:strRef>
              <c:f>Dat_01!$C$166:$O$166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Dat_01!$C$168:$O$168</c:f>
              <c:numCache>
                <c:formatCode>#,##0.000</c:formatCode>
                <c:ptCount val="13"/>
                <c:pt idx="0">
                  <c:v>-9.0050000000000008</c:v>
                </c:pt>
                <c:pt idx="1">
                  <c:v>-127.907</c:v>
                </c:pt>
                <c:pt idx="2">
                  <c:v>-87.81</c:v>
                </c:pt>
                <c:pt idx="3">
                  <c:v>-24.122</c:v>
                </c:pt>
                <c:pt idx="4">
                  <c:v>-20.024000000000001</c:v>
                </c:pt>
                <c:pt idx="5">
                  <c:v>-19.650000000000002</c:v>
                </c:pt>
                <c:pt idx="6">
                  <c:v>-6.5549999999999997</c:v>
                </c:pt>
                <c:pt idx="7">
                  <c:v>-6.423</c:v>
                </c:pt>
                <c:pt idx="8">
                  <c:v>-27.414000000000001</c:v>
                </c:pt>
                <c:pt idx="9">
                  <c:v>-66.456000000000003</c:v>
                </c:pt>
                <c:pt idx="10">
                  <c:v>-84.402000000000001</c:v>
                </c:pt>
                <c:pt idx="11">
                  <c:v>-3.7090000000000001</c:v>
                </c:pt>
                <c:pt idx="12" formatCode="#,##0.00">
                  <c:v>-1.0430000000000001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0A-4791-B325-0C3751A96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1807624"/>
        <c:axId val="221808016"/>
      </c:barChart>
      <c:lineChart>
        <c:grouping val="standard"/>
        <c:varyColors val="0"/>
        <c:ser>
          <c:idx val="0"/>
          <c:order val="2"/>
          <c:tx>
            <c:strRef>
              <c:f>Dat_01!$B$169</c:f>
              <c:strCache>
                <c:ptCount val="1"/>
                <c:pt idx="0">
                  <c:v>Saldo</c:v>
                </c:pt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Dat_01!$C$166:$O$166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Dat_01!$C$169:$O$169</c:f>
              <c:numCache>
                <c:formatCode>#,##0.000</c:formatCode>
                <c:ptCount val="13"/>
                <c:pt idx="0">
                  <c:v>-8.5300000000000011</c:v>
                </c:pt>
                <c:pt idx="1">
                  <c:v>-70.933999999999997</c:v>
                </c:pt>
                <c:pt idx="2">
                  <c:v>-44.207000000000001</c:v>
                </c:pt>
                <c:pt idx="3">
                  <c:v>-13.925000000000001</c:v>
                </c:pt>
                <c:pt idx="4">
                  <c:v>-14.702999999999999</c:v>
                </c:pt>
                <c:pt idx="5">
                  <c:v>-10.441000000000003</c:v>
                </c:pt>
                <c:pt idx="6">
                  <c:v>-4.9929999999999994</c:v>
                </c:pt>
                <c:pt idx="7">
                  <c:v>-5.4420000000000002</c:v>
                </c:pt>
                <c:pt idx="8">
                  <c:v>-19.395000000000003</c:v>
                </c:pt>
                <c:pt idx="9">
                  <c:v>-33.149000000000001</c:v>
                </c:pt>
                <c:pt idx="10">
                  <c:v>-58.597999999999999</c:v>
                </c:pt>
                <c:pt idx="11">
                  <c:v>-3.7090000000000001</c:v>
                </c:pt>
                <c:pt idx="12">
                  <c:v>-1.0430000000000001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E0A-4791-B325-0C3751A96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807624"/>
        <c:axId val="221808016"/>
      </c:lineChart>
      <c:catAx>
        <c:axId val="221807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 i="0">
                    <a:solidFill>
                      <a:srgbClr val="004563"/>
                    </a:solidFill>
                  </a:rPr>
                  <a:t>Meses</a:t>
                </a:r>
              </a:p>
            </c:rich>
          </c:tx>
          <c:layout>
            <c:manualLayout>
              <c:xMode val="edge"/>
              <c:yMode val="edge"/>
              <c:x val="0.90447376574536054"/>
              <c:y val="0.9190575981151960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pattFill prst="pct50">
              <a:fgClr>
                <a:srgbClr val="000000"/>
              </a:fgClr>
              <a:bgClr>
                <a:srgbClr val="FFFFFF"/>
              </a:bgClr>
            </a:patt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80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1808016"/>
        <c:scaling>
          <c:orientation val="minMax"/>
        </c:scaling>
        <c:delete val="0"/>
        <c:axPos val="l"/>
        <c:majorGridlines>
          <c:spPr>
            <a:ln w="3175">
              <a:pattFill prst="pct50">
                <a:fgClr>
                  <a:srgbClr val="C0C0C0"/>
                </a:fgClr>
                <a:bgClr>
                  <a:srgbClr val="FFFFFF"/>
                </a:bgClr>
              </a:patt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>
                    <a:solidFill>
                      <a:srgbClr val="004563"/>
                    </a:solidFill>
                  </a:rPr>
                  <a:t>MWh</a:t>
                </a:r>
              </a:p>
            </c:rich>
          </c:tx>
          <c:layout>
            <c:manualLayout>
              <c:xMode val="edge"/>
              <c:yMode val="edge"/>
              <c:x val="4.6065022062201519E-2"/>
              <c:y val="4.435902205137743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7624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466025634177003"/>
          <c:y val="1.9083847627154715E-2"/>
          <c:w val="0.44592371001114678"/>
          <c:h val="7.6335877862595422E-2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55" r="0.75000000000000355" t="1" header="0" footer="0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Dat_01!$J$73</c:f>
              <c:strCache>
                <c:ptCount val="1"/>
                <c:pt idx="0">
                  <c:v>Entrega baterías</c:v>
                </c:pt>
              </c:strCache>
            </c:strRef>
          </c:tx>
          <c:spPr>
            <a:solidFill>
              <a:srgbClr val="007CF9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03738B"/>
              </a:solidFill>
            </c:spPr>
            <c:extLst>
              <c:ext xmlns:c16="http://schemas.microsoft.com/office/drawing/2014/chart" uri="{C3380CC4-5D6E-409C-BE32-E72D297353CC}">
                <c16:uniqueId val="{00000000-3921-4A0B-BC20-A24D66C2E73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Dat_01!$K$73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35-4E0B-8390-2292B4C5EED5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Dat_01!$N$73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35-4E0B-8390-2292B4C5EE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Dat_01!$J$74</c:f>
              <c:strCache>
                <c:ptCount val="1"/>
                <c:pt idx="0">
                  <c:v>Carga baterías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B74-460D-9925-E4A918D16857}"/>
                </c:ext>
              </c:extLst>
            </c:dLbl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Dat_01!$K$74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73-4350-86B5-AD9DD1BD3BB5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Dat_01!$N$74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73-4350-86B5-AD9DD1BD3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D55D-4D3D-A386-16E893E00857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D55D-4D3D-A386-16E893E00857}"/>
              </c:ext>
            </c:extLst>
          </c:dPt>
          <c:dLbls>
            <c:dLbl>
              <c:idx val="0"/>
              <c:layout>
                <c:manualLayout>
                  <c:x val="-9.356687716247844E-2"/>
                  <c:y val="-0.2091503267973856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97079243983278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D55D-4D3D-A386-16E893E00857}"/>
                </c:ext>
              </c:extLst>
            </c:dLbl>
            <c:dLbl>
              <c:idx val="1"/>
              <c:layout>
                <c:manualLayout>
                  <c:x val="0.1052632548356171"/>
                  <c:y val="0.143790849673202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309975880624285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D55D-4D3D-A386-16E893E00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Dat_01!$J$52:$J$53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Dat_01!$K$52:$K$53</c:f>
              <c:numCache>
                <c:formatCode>#,##0.0</c:formatCode>
                <c:ptCount val="2"/>
                <c:pt idx="0">
                  <c:v>82.091894740585829</c:v>
                </c:pt>
                <c:pt idx="1">
                  <c:v>17.908105259414175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D-4D3D-A386-16E893E0085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1-445E-436C-89F5-DC9E4842B2D0}"/>
              </c:ext>
            </c:extLst>
          </c:dPt>
          <c:dPt>
            <c:idx val="1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3-445E-436C-89F5-DC9E4842B2D0}"/>
              </c:ext>
            </c:extLst>
          </c:dPt>
          <c:dPt>
            <c:idx val="2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5-445E-436C-89F5-DC9E4842B2D0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445E-436C-89F5-DC9E4842B2D0}"/>
              </c:ext>
            </c:extLst>
          </c:dPt>
          <c:dPt>
            <c:idx val="5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445E-436C-89F5-DC9E4842B2D0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445E-436C-89F5-DC9E4842B2D0}"/>
              </c:ext>
            </c:extLst>
          </c:dPt>
          <c:dPt>
            <c:idx val="7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D-445E-436C-89F5-DC9E4842B2D0}"/>
              </c:ext>
            </c:extLst>
          </c:dPt>
          <c:dPt>
            <c:idx val="8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13-445E-436C-89F5-DC9E4842B2D0}"/>
              </c:ext>
            </c:extLst>
          </c:dPt>
          <c:dPt>
            <c:idx val="9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F-445E-436C-89F5-DC9E4842B2D0}"/>
              </c:ext>
            </c:extLst>
          </c:dPt>
          <c:dPt>
            <c:idx val="10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1-445E-436C-89F5-DC9E4842B2D0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45E-436C-89F5-DC9E4842B2D0}"/>
                </c:ext>
              </c:extLst>
            </c:dLbl>
            <c:dLbl>
              <c:idx val="1"/>
              <c:layout>
                <c:manualLayout>
                  <c:x val="0.18612244897959171"/>
                  <c:y val="-5.308078868190254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45E-436C-89F5-DC9E4842B2D0}"/>
                </c:ext>
              </c:extLst>
            </c:dLbl>
            <c:dLbl>
              <c:idx val="2"/>
              <c:layout>
                <c:manualLayout>
                  <c:x val="0.1730612244897958"/>
                  <c:y val="5.13706963100200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45E-436C-89F5-DC9E4842B2D0}"/>
                </c:ext>
              </c:extLst>
            </c:dLbl>
            <c:dLbl>
              <c:idx val="3"/>
              <c:layout>
                <c:manualLayout>
                  <c:x val="-0.16653061224489796"/>
                  <c:y val="6.797385620915022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45E-436C-89F5-DC9E4842B2D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B7A-49FF-8FE5-42A045ACD010}"/>
                </c:ext>
              </c:extLst>
            </c:dLbl>
            <c:dLbl>
              <c:idx val="5"/>
              <c:layout>
                <c:manualLayout>
                  <c:x val="-0.30367346938775508"/>
                  <c:y val="9.411764705882352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45E-436C-89F5-DC9E4842B2D0}"/>
                </c:ext>
              </c:extLst>
            </c:dLbl>
            <c:dLbl>
              <c:idx val="6"/>
              <c:layout>
                <c:manualLayout>
                  <c:x val="-0.2742857142857143"/>
                  <c:y val="-5.2287581699346402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30195905511811022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445E-436C-89F5-DC9E4842B2D0}"/>
                </c:ext>
              </c:extLst>
            </c:dLbl>
            <c:dLbl>
              <c:idx val="7"/>
              <c:layout>
                <c:manualLayout>
                  <c:x val="-0.16326530612244905"/>
                  <c:y val="-0.1098039215686274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9106938775510205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445E-436C-89F5-DC9E4842B2D0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45E-436C-89F5-DC9E4842B2D0}"/>
                </c:ext>
              </c:extLst>
            </c:dLbl>
            <c:dLbl>
              <c:idx val="9"/>
              <c:layout>
                <c:manualLayout>
                  <c:x val="7.1836734693877496E-2"/>
                  <c:y val="-0.1409228762563216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3665293266913065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445E-436C-89F5-DC9E4842B2D0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0.2192326530612245"/>
                      <c:h val="0.1446778375264067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445E-436C-89F5-DC9E4842B2D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Dat_01!$A$68:$A$78</c:f>
              <c:strCache>
                <c:ptCount val="11"/>
                <c:pt idx="0">
                  <c:v>Carbón</c:v>
                </c:pt>
                <c:pt idx="1">
                  <c:v>Motores diésel</c:v>
                </c:pt>
                <c:pt idx="2">
                  <c:v>Turbina de gas</c:v>
                </c:pt>
                <c:pt idx="3">
                  <c:v>Ciclo combinado</c:v>
                </c:pt>
                <c:pt idx="4">
                  <c:v>Generación auxiliar</c:v>
                </c:pt>
                <c:pt idx="5">
                  <c:v>Cogeneración</c:v>
                </c:pt>
                <c:pt idx="6">
                  <c:v>Residuos no renovables</c:v>
                </c:pt>
                <c:pt idx="7">
                  <c:v>Residuos renovables</c:v>
                </c:pt>
                <c:pt idx="8">
                  <c:v>Eólica</c:v>
                </c:pt>
                <c:pt idx="9">
                  <c:v>Solar fotovoltaica</c:v>
                </c:pt>
                <c:pt idx="10">
                  <c:v>Otras renovables</c:v>
                </c:pt>
              </c:strCache>
            </c:strRef>
          </c:cat>
          <c:val>
            <c:numRef>
              <c:f>Dat_01!$C$68:$C$78</c:f>
              <c:numCache>
                <c:formatCode>#,##0.0</c:formatCode>
                <c:ptCount val="11"/>
                <c:pt idx="0">
                  <c:v>0</c:v>
                </c:pt>
                <c:pt idx="1">
                  <c:v>10.377348092024651</c:v>
                </c:pt>
                <c:pt idx="2">
                  <c:v>9.0812849079949771</c:v>
                </c:pt>
                <c:pt idx="3">
                  <c:v>62.734813768518819</c:v>
                </c:pt>
                <c:pt idx="5">
                  <c:v>0.53335960275405014</c:v>
                </c:pt>
                <c:pt idx="6">
                  <c:v>3.1802519049873244</c:v>
                </c:pt>
                <c:pt idx="7">
                  <c:v>3.1802519049873244</c:v>
                </c:pt>
                <c:pt idx="8">
                  <c:v>0</c:v>
                </c:pt>
                <c:pt idx="9">
                  <c:v>10.875433102759489</c:v>
                </c:pt>
                <c:pt idx="10">
                  <c:v>3.725671597338126E-2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45E-436C-89F5-DC9E4842B2D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4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9C95-47DE-9BCF-E8A802314576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9C95-47DE-9BCF-E8A802314576}"/>
              </c:ext>
            </c:extLst>
          </c:dPt>
          <c:dLbls>
            <c:dLbl>
              <c:idx val="0"/>
              <c:layout>
                <c:manualLayout>
                  <c:x val="5.8479586019787283E-2"/>
                  <c:y val="-0.1568627450980392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19883427622072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C95-47DE-9BCF-E8A802314576}"/>
                </c:ext>
              </c:extLst>
            </c:dLbl>
            <c:dLbl>
              <c:idx val="1"/>
              <c:layout>
                <c:manualLayout>
                  <c:x val="-3.5087751611872421E-2"/>
                  <c:y val="0.1045751633986928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6140384160228539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9C95-47DE-9BCF-E8A80231457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 rtl="0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Dat_01!$J$68:$J$69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Dat_01!$K$68:$K$69</c:f>
              <c:numCache>
                <c:formatCode>#,##0.0</c:formatCode>
                <c:ptCount val="2"/>
                <c:pt idx="0">
                  <c:v>85.907058276279827</c:v>
                </c:pt>
                <c:pt idx="1">
                  <c:v>14.092941723720195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C95-47DE-9BCF-E8A80231457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4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797861194278999E-2"/>
          <c:y val="0.22876785506591016"/>
          <c:w val="0.89133346829616533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Dat_01!$B$121</c:f>
              <c:strCache>
                <c:ptCount val="1"/>
                <c:pt idx="0">
                  <c:v>Carbón</c:v>
                </c:pt>
              </c:strCache>
            </c:strRef>
          </c:tx>
          <c:spPr>
            <a:solidFill>
              <a:srgbClr val="993300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Dat_01!$C$121:$O$121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4.6319679999999996</c:v>
                </c:pt>
                <c:pt idx="5">
                  <c:v>61.004249999999999</c:v>
                </c:pt>
                <c:pt idx="6">
                  <c:v>29.608969999999999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18-4B7E-ADE3-CF38220B9908}"/>
            </c:ext>
          </c:extLst>
        </c:ser>
        <c:ser>
          <c:idx val="8"/>
          <c:order val="1"/>
          <c:tx>
            <c:strRef>
              <c:f>Dat_01!$B$122</c:f>
              <c:strCache>
                <c:ptCount val="1"/>
                <c:pt idx="0">
                  <c:v>Motores diésel</c:v>
                </c:pt>
              </c:strCache>
            </c:strRef>
          </c:tx>
          <c:spPr>
            <a:solidFill>
              <a:srgbClr val="8DA69F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Dat_01!$C$122:$O$122</c:f>
              <c:numCache>
                <c:formatCode>#,##0.0</c:formatCode>
                <c:ptCount val="13"/>
                <c:pt idx="0">
                  <c:v>37.101396999999999</c:v>
                </c:pt>
                <c:pt idx="1">
                  <c:v>25.321735</c:v>
                </c:pt>
                <c:pt idx="2">
                  <c:v>8.0420429999999996</c:v>
                </c:pt>
                <c:pt idx="3">
                  <c:v>8.2701910000000005</c:v>
                </c:pt>
                <c:pt idx="4">
                  <c:v>8.5854890000000008</c:v>
                </c:pt>
                <c:pt idx="5">
                  <c:v>6.4758909999999998</c:v>
                </c:pt>
                <c:pt idx="6">
                  <c:v>7.3957850000000001</c:v>
                </c:pt>
                <c:pt idx="7">
                  <c:v>13.863616</c:v>
                </c:pt>
                <c:pt idx="8">
                  <c:v>17.616911000000002</c:v>
                </c:pt>
                <c:pt idx="9">
                  <c:v>36.758597999999999</c:v>
                </c:pt>
                <c:pt idx="10">
                  <c:v>62.363782</c:v>
                </c:pt>
                <c:pt idx="11">
                  <c:v>66.467855</c:v>
                </c:pt>
                <c:pt idx="12">
                  <c:v>45.454340000000002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18-4B7E-ADE3-CF38220B9908}"/>
            </c:ext>
          </c:extLst>
        </c:ser>
        <c:ser>
          <c:idx val="1"/>
          <c:order val="2"/>
          <c:tx>
            <c:strRef>
              <c:f>Dat_01!$B$123</c:f>
              <c:strCache>
                <c:ptCount val="1"/>
                <c:pt idx="0">
                  <c:v>Turbina de gas</c:v>
                </c:pt>
              </c:strCache>
            </c:strRef>
          </c:tx>
          <c:spPr>
            <a:solidFill>
              <a:srgbClr val="00CCFF"/>
            </a:solidFill>
          </c:spPr>
          <c:invertIfNegative val="0"/>
          <c:val>
            <c:numRef>
              <c:f>Dat_01!$C$123:$O$123</c:f>
              <c:numCache>
                <c:formatCode>#,##0.0</c:formatCode>
                <c:ptCount val="13"/>
                <c:pt idx="0">
                  <c:v>36.627740000000003</c:v>
                </c:pt>
                <c:pt idx="1">
                  <c:v>40.918340000000001</c:v>
                </c:pt>
                <c:pt idx="2">
                  <c:v>22.217787999999999</c:v>
                </c:pt>
                <c:pt idx="3">
                  <c:v>25.456890999999999</c:v>
                </c:pt>
                <c:pt idx="4">
                  <c:v>23.827804</c:v>
                </c:pt>
                <c:pt idx="5">
                  <c:v>22.326347999999999</c:v>
                </c:pt>
                <c:pt idx="6">
                  <c:v>24.290578</c:v>
                </c:pt>
                <c:pt idx="7">
                  <c:v>25.040586000000001</c:v>
                </c:pt>
                <c:pt idx="8">
                  <c:v>25.468105999999999</c:v>
                </c:pt>
                <c:pt idx="9">
                  <c:v>46.078491</c:v>
                </c:pt>
                <c:pt idx="10">
                  <c:v>58.218541000000002</c:v>
                </c:pt>
                <c:pt idx="11">
                  <c:v>51.241262999999996</c:v>
                </c:pt>
                <c:pt idx="12">
                  <c:v>39.777388999999999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618-4B7E-ADE3-CF38220B9908}"/>
            </c:ext>
          </c:extLst>
        </c:ser>
        <c:ser>
          <c:idx val="3"/>
          <c:order val="3"/>
          <c:tx>
            <c:strRef>
              <c:f>Dat_01!$B$124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Dat_01!$C$124:$O$124</c:f>
              <c:numCache>
                <c:formatCode>#,##0.0</c:formatCode>
                <c:ptCount val="13"/>
                <c:pt idx="0">
                  <c:v>246.11744899999999</c:v>
                </c:pt>
                <c:pt idx="1">
                  <c:v>233.64673300000001</c:v>
                </c:pt>
                <c:pt idx="2">
                  <c:v>228.35513399999999</c:v>
                </c:pt>
                <c:pt idx="3">
                  <c:v>287.61223999999999</c:v>
                </c:pt>
                <c:pt idx="4">
                  <c:v>284.762474</c:v>
                </c:pt>
                <c:pt idx="5">
                  <c:v>188.665806</c:v>
                </c:pt>
                <c:pt idx="6">
                  <c:v>223.33681300000001</c:v>
                </c:pt>
                <c:pt idx="7">
                  <c:v>226.567814</c:v>
                </c:pt>
                <c:pt idx="8">
                  <c:v>243.85669100000001</c:v>
                </c:pt>
                <c:pt idx="9">
                  <c:v>273.81515200000001</c:v>
                </c:pt>
                <c:pt idx="10">
                  <c:v>334.267562</c:v>
                </c:pt>
                <c:pt idx="11">
                  <c:v>319.07413400000002</c:v>
                </c:pt>
                <c:pt idx="12">
                  <c:v>274.78788700000001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18-4B7E-ADE3-CF38220B9908}"/>
            </c:ext>
          </c:extLst>
        </c:ser>
        <c:ser>
          <c:idx val="5"/>
          <c:order val="4"/>
          <c:tx>
            <c:strRef>
              <c:f>Dat_01!$B$126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Dat_01!$C$126:$O$126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18-4B7E-ADE3-CF38220B9908}"/>
            </c:ext>
          </c:extLst>
        </c:ser>
        <c:ser>
          <c:idx val="6"/>
          <c:order val="5"/>
          <c:tx>
            <c:strRef>
              <c:f>Dat_01!$B$127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D7D31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Dat_01!$C$127:$O$127</c:f>
              <c:numCache>
                <c:formatCode>#,##0.0</c:formatCode>
                <c:ptCount val="13"/>
                <c:pt idx="0">
                  <c:v>44.045144000000001</c:v>
                </c:pt>
                <c:pt idx="1">
                  <c:v>38.954234</c:v>
                </c:pt>
                <c:pt idx="2">
                  <c:v>27.233916000000001</c:v>
                </c:pt>
                <c:pt idx="3">
                  <c:v>25.260021999999999</c:v>
                </c:pt>
                <c:pt idx="4">
                  <c:v>27.365279000000001</c:v>
                </c:pt>
                <c:pt idx="5">
                  <c:v>29.660162</c:v>
                </c:pt>
                <c:pt idx="6">
                  <c:v>33.783219000000003</c:v>
                </c:pt>
                <c:pt idx="7">
                  <c:v>48.888747000000002</c:v>
                </c:pt>
                <c:pt idx="8">
                  <c:v>53.663460000000001</c:v>
                </c:pt>
                <c:pt idx="9">
                  <c:v>62.733255</c:v>
                </c:pt>
                <c:pt idx="10">
                  <c:v>56.807785000000003</c:v>
                </c:pt>
                <c:pt idx="11">
                  <c:v>56.215967999999997</c:v>
                </c:pt>
                <c:pt idx="12">
                  <c:v>47.636026999999999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18-4B7E-ADE3-CF38220B9908}"/>
            </c:ext>
          </c:extLst>
        </c:ser>
        <c:ser>
          <c:idx val="7"/>
          <c:order val="6"/>
          <c:tx>
            <c:strRef>
              <c:f>Dat_01!$B$128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Dat_01!$C$128:$O$128</c:f>
              <c:numCache>
                <c:formatCode>#,##0.0</c:formatCode>
                <c:ptCount val="13"/>
                <c:pt idx="0">
                  <c:v>0.364813</c:v>
                </c:pt>
                <c:pt idx="1">
                  <c:v>0.34994999999999998</c:v>
                </c:pt>
                <c:pt idx="2">
                  <c:v>0.27039800000000003</c:v>
                </c:pt>
                <c:pt idx="3">
                  <c:v>0.23000100000000001</c:v>
                </c:pt>
                <c:pt idx="4">
                  <c:v>0.256185</c:v>
                </c:pt>
                <c:pt idx="5">
                  <c:v>0.25728499999999999</c:v>
                </c:pt>
                <c:pt idx="6">
                  <c:v>0.27165699999999998</c:v>
                </c:pt>
                <c:pt idx="7">
                  <c:v>0.216173</c:v>
                </c:pt>
                <c:pt idx="8">
                  <c:v>0.242977</c:v>
                </c:pt>
                <c:pt idx="9">
                  <c:v>0.25375799999999998</c:v>
                </c:pt>
                <c:pt idx="10">
                  <c:v>0.13533500000000001</c:v>
                </c:pt>
                <c:pt idx="11">
                  <c:v>6.2700000000000006E-2</c:v>
                </c:pt>
                <c:pt idx="12">
                  <c:v>0.16319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618-4B7E-ADE3-CF38220B9908}"/>
            </c:ext>
          </c:extLst>
        </c:ser>
        <c:ser>
          <c:idx val="4"/>
          <c:order val="7"/>
          <c:tx>
            <c:strRef>
              <c:f>Dat_01!$B$129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CFA2CA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Dat_01!$C$129:$O$129</c:f>
              <c:numCache>
                <c:formatCode>#,##0.0</c:formatCode>
                <c:ptCount val="13"/>
                <c:pt idx="0">
                  <c:v>2.778902</c:v>
                </c:pt>
                <c:pt idx="1">
                  <c:v>2.2852030000000001</c:v>
                </c:pt>
                <c:pt idx="2">
                  <c:v>1.8790750000000001</c:v>
                </c:pt>
                <c:pt idx="3">
                  <c:v>3.2668629999999999</c:v>
                </c:pt>
                <c:pt idx="4">
                  <c:v>3.6863090000000001</c:v>
                </c:pt>
                <c:pt idx="5">
                  <c:v>3.272465</c:v>
                </c:pt>
                <c:pt idx="6">
                  <c:v>2.6087359999999999</c:v>
                </c:pt>
                <c:pt idx="7">
                  <c:v>2.4437060000000002</c:v>
                </c:pt>
                <c:pt idx="8">
                  <c:v>3.266893</c:v>
                </c:pt>
                <c:pt idx="9">
                  <c:v>4.1208809999999998</c:v>
                </c:pt>
                <c:pt idx="10">
                  <c:v>3.573118</c:v>
                </c:pt>
                <c:pt idx="11">
                  <c:v>3.1659009999999999</c:v>
                </c:pt>
                <c:pt idx="12">
                  <c:v>2.336195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18-4B7E-ADE3-CF38220B9908}"/>
            </c:ext>
          </c:extLst>
        </c:ser>
        <c:ser>
          <c:idx val="10"/>
          <c:order val="8"/>
          <c:tx>
            <c:strRef>
              <c:f>Dat_01!$B$130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Dat_01!$C$130:$O$130</c:f>
              <c:numCache>
                <c:formatCode>#,##0.0</c:formatCode>
                <c:ptCount val="13"/>
                <c:pt idx="0">
                  <c:v>14.1961285</c:v>
                </c:pt>
                <c:pt idx="1">
                  <c:v>9.2427220000000005</c:v>
                </c:pt>
                <c:pt idx="2">
                  <c:v>9.5122354999999992</c:v>
                </c:pt>
                <c:pt idx="3">
                  <c:v>12.261645</c:v>
                </c:pt>
                <c:pt idx="4">
                  <c:v>10.134332000000001</c:v>
                </c:pt>
                <c:pt idx="5">
                  <c:v>8.8925330000000002</c:v>
                </c:pt>
                <c:pt idx="6">
                  <c:v>9.8915330000000008</c:v>
                </c:pt>
                <c:pt idx="7">
                  <c:v>12.984987</c:v>
                </c:pt>
                <c:pt idx="8">
                  <c:v>10.486427000000001</c:v>
                </c:pt>
                <c:pt idx="9">
                  <c:v>14.345347</c:v>
                </c:pt>
                <c:pt idx="10">
                  <c:v>9.4785564999999998</c:v>
                </c:pt>
                <c:pt idx="11">
                  <c:v>11.851848499999999</c:v>
                </c:pt>
                <c:pt idx="12">
                  <c:v>13.92998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18-4B7E-ADE3-CF38220B9908}"/>
            </c:ext>
          </c:extLst>
        </c:ser>
        <c:ser>
          <c:idx val="0"/>
          <c:order val="9"/>
          <c:tx>
            <c:strRef>
              <c:f>Dat_01!$B$131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</c:spPr>
          <c:invertIfNegative val="0"/>
          <c:val>
            <c:numRef>
              <c:f>Dat_01!$C$131:$O$131</c:f>
              <c:numCache>
                <c:formatCode>#,##0.0</c:formatCode>
                <c:ptCount val="13"/>
                <c:pt idx="0">
                  <c:v>14.1961285</c:v>
                </c:pt>
                <c:pt idx="1">
                  <c:v>9.2427220000000005</c:v>
                </c:pt>
                <c:pt idx="2">
                  <c:v>9.5122354999999992</c:v>
                </c:pt>
                <c:pt idx="3">
                  <c:v>12.261645</c:v>
                </c:pt>
                <c:pt idx="4">
                  <c:v>10.134332000000001</c:v>
                </c:pt>
                <c:pt idx="5">
                  <c:v>8.8925330000000002</c:v>
                </c:pt>
                <c:pt idx="6">
                  <c:v>9.8915330000000008</c:v>
                </c:pt>
                <c:pt idx="7">
                  <c:v>12.984987</c:v>
                </c:pt>
                <c:pt idx="8">
                  <c:v>10.486427000000001</c:v>
                </c:pt>
                <c:pt idx="9">
                  <c:v>14.345347</c:v>
                </c:pt>
                <c:pt idx="10">
                  <c:v>9.4785564999999998</c:v>
                </c:pt>
                <c:pt idx="11">
                  <c:v>11.851848499999999</c:v>
                </c:pt>
                <c:pt idx="12">
                  <c:v>13.92998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618-4B7E-ADE3-CF38220B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48296"/>
        <c:axId val="851548688"/>
      </c:barChart>
      <c:catAx>
        <c:axId val="8515482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688"/>
        <c:crosses val="autoZero"/>
        <c:auto val="1"/>
        <c:lblAlgn val="ctr"/>
        <c:lblOffset val="100"/>
        <c:noMultiLvlLbl val="1"/>
      </c:catAx>
      <c:valAx>
        <c:axId val="851548688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s-ES"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0.95048313142183338"/>
              <c:y val="0.9457025528631406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29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84807346236192016"/>
          <c:h val="0.1228374325690675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797861194278999E-2"/>
          <c:y val="0.22876785506591016"/>
          <c:w val="0.89133346829616533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Dat_01!$B$121</c:f>
              <c:strCache>
                <c:ptCount val="1"/>
                <c:pt idx="0">
                  <c:v>Carbón</c:v>
                </c:pt>
              </c:strCache>
            </c:strRef>
          </c:tx>
          <c:spPr>
            <a:solidFill>
              <a:srgbClr val="993300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Dat_01!$C$121:$O$121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4.6319679999999996</c:v>
                </c:pt>
                <c:pt idx="5">
                  <c:v>61.004249999999999</c:v>
                </c:pt>
                <c:pt idx="6">
                  <c:v>29.608969999999999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CE-4BAA-AB4A-BDDE9C9AFA43}"/>
            </c:ext>
          </c:extLst>
        </c:ser>
        <c:ser>
          <c:idx val="8"/>
          <c:order val="1"/>
          <c:tx>
            <c:strRef>
              <c:f>Dat_01!$B$137</c:f>
              <c:strCache>
                <c:ptCount val="1"/>
                <c:pt idx="0">
                  <c:v>Fuel/gas (1)</c:v>
                </c:pt>
              </c:strCache>
            </c:strRef>
          </c:tx>
          <c:spPr>
            <a:solidFill>
              <a:srgbClr val="BA0F1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Dat_01!$C$137:$O$137</c:f>
              <c:numCache>
                <c:formatCode>#,##0.0</c:formatCode>
                <c:ptCount val="13"/>
                <c:pt idx="0">
                  <c:v>73.729137000000009</c:v>
                </c:pt>
                <c:pt idx="1">
                  <c:v>66.240075000000004</c:v>
                </c:pt>
                <c:pt idx="2">
                  <c:v>30.259830999999998</c:v>
                </c:pt>
                <c:pt idx="3">
                  <c:v>33.727081999999996</c:v>
                </c:pt>
                <c:pt idx="4">
                  <c:v>32.413293000000003</c:v>
                </c:pt>
                <c:pt idx="5">
                  <c:v>28.802239</c:v>
                </c:pt>
                <c:pt idx="6">
                  <c:v>31.686363</c:v>
                </c:pt>
                <c:pt idx="7">
                  <c:v>38.904201999999998</c:v>
                </c:pt>
                <c:pt idx="8">
                  <c:v>43.085017000000001</c:v>
                </c:pt>
                <c:pt idx="9">
                  <c:v>82.837088999999992</c:v>
                </c:pt>
                <c:pt idx="10">
                  <c:v>120.582323</c:v>
                </c:pt>
                <c:pt idx="11">
                  <c:v>117.70911799999999</c:v>
                </c:pt>
                <c:pt idx="12">
                  <c:v>85.231729000000001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CE-4BAA-AB4A-BDDE9C9AFA43}"/>
            </c:ext>
          </c:extLst>
        </c:ser>
        <c:ser>
          <c:idx val="3"/>
          <c:order val="2"/>
          <c:tx>
            <c:strRef>
              <c:f>Dat_01!$B$124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Dat_01!$C$124:$O$124</c:f>
              <c:numCache>
                <c:formatCode>#,##0.0</c:formatCode>
                <c:ptCount val="13"/>
                <c:pt idx="0">
                  <c:v>246.11744899999999</c:v>
                </c:pt>
                <c:pt idx="1">
                  <c:v>233.64673300000001</c:v>
                </c:pt>
                <c:pt idx="2">
                  <c:v>228.35513399999999</c:v>
                </c:pt>
                <c:pt idx="3">
                  <c:v>287.61223999999999</c:v>
                </c:pt>
                <c:pt idx="4">
                  <c:v>284.762474</c:v>
                </c:pt>
                <c:pt idx="5">
                  <c:v>188.665806</c:v>
                </c:pt>
                <c:pt idx="6">
                  <c:v>223.33681300000001</c:v>
                </c:pt>
                <c:pt idx="7">
                  <c:v>226.567814</c:v>
                </c:pt>
                <c:pt idx="8">
                  <c:v>243.85669100000001</c:v>
                </c:pt>
                <c:pt idx="9">
                  <c:v>273.81515200000001</c:v>
                </c:pt>
                <c:pt idx="10">
                  <c:v>334.267562</c:v>
                </c:pt>
                <c:pt idx="11">
                  <c:v>319.07413400000002</c:v>
                </c:pt>
                <c:pt idx="12">
                  <c:v>274.78788700000001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CE-4BAA-AB4A-BDDE9C9AFA43}"/>
            </c:ext>
          </c:extLst>
        </c:ser>
        <c:ser>
          <c:idx val="5"/>
          <c:order val="3"/>
          <c:tx>
            <c:strRef>
              <c:f>Dat_01!$B$126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Dat_01!$C$126:$O$126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CE-4BAA-AB4A-BDDE9C9AFA43}"/>
            </c:ext>
          </c:extLst>
        </c:ser>
        <c:ser>
          <c:idx val="6"/>
          <c:order val="4"/>
          <c:tx>
            <c:strRef>
              <c:f>Dat_01!$B$127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D7D31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Dat_01!$C$127:$O$127</c:f>
              <c:numCache>
                <c:formatCode>#,##0.0</c:formatCode>
                <c:ptCount val="13"/>
                <c:pt idx="0">
                  <c:v>44.045144000000001</c:v>
                </c:pt>
                <c:pt idx="1">
                  <c:v>38.954234</c:v>
                </c:pt>
                <c:pt idx="2">
                  <c:v>27.233916000000001</c:v>
                </c:pt>
                <c:pt idx="3">
                  <c:v>25.260021999999999</c:v>
                </c:pt>
                <c:pt idx="4">
                  <c:v>27.365279000000001</c:v>
                </c:pt>
                <c:pt idx="5">
                  <c:v>29.660162</c:v>
                </c:pt>
                <c:pt idx="6">
                  <c:v>33.783219000000003</c:v>
                </c:pt>
                <c:pt idx="7">
                  <c:v>48.888747000000002</c:v>
                </c:pt>
                <c:pt idx="8">
                  <c:v>53.663460000000001</c:v>
                </c:pt>
                <c:pt idx="9">
                  <c:v>62.733255</c:v>
                </c:pt>
                <c:pt idx="10">
                  <c:v>56.807785000000003</c:v>
                </c:pt>
                <c:pt idx="11">
                  <c:v>56.215967999999997</c:v>
                </c:pt>
                <c:pt idx="12">
                  <c:v>47.636026999999999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9CE-4BAA-AB4A-BDDE9C9AFA43}"/>
            </c:ext>
          </c:extLst>
        </c:ser>
        <c:ser>
          <c:idx val="7"/>
          <c:order val="5"/>
          <c:tx>
            <c:strRef>
              <c:f>Dat_01!$B$128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Dat_01!$C$128:$O$128</c:f>
              <c:numCache>
                <c:formatCode>#,##0.0</c:formatCode>
                <c:ptCount val="13"/>
                <c:pt idx="0">
                  <c:v>0.364813</c:v>
                </c:pt>
                <c:pt idx="1">
                  <c:v>0.34994999999999998</c:v>
                </c:pt>
                <c:pt idx="2">
                  <c:v>0.27039800000000003</c:v>
                </c:pt>
                <c:pt idx="3">
                  <c:v>0.23000100000000001</c:v>
                </c:pt>
                <c:pt idx="4">
                  <c:v>0.256185</c:v>
                </c:pt>
                <c:pt idx="5">
                  <c:v>0.25728499999999999</c:v>
                </c:pt>
                <c:pt idx="6">
                  <c:v>0.27165699999999998</c:v>
                </c:pt>
                <c:pt idx="7">
                  <c:v>0.216173</c:v>
                </c:pt>
                <c:pt idx="8">
                  <c:v>0.242977</c:v>
                </c:pt>
                <c:pt idx="9">
                  <c:v>0.25375799999999998</c:v>
                </c:pt>
                <c:pt idx="10">
                  <c:v>0.13533500000000001</c:v>
                </c:pt>
                <c:pt idx="11">
                  <c:v>6.2700000000000006E-2</c:v>
                </c:pt>
                <c:pt idx="12">
                  <c:v>0.16319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9CE-4BAA-AB4A-BDDE9C9AFA43}"/>
            </c:ext>
          </c:extLst>
        </c:ser>
        <c:ser>
          <c:idx val="4"/>
          <c:order val="6"/>
          <c:tx>
            <c:strRef>
              <c:f>Dat_01!$B$129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FFCCFF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Dat_01!$C$129:$O$129</c:f>
              <c:numCache>
                <c:formatCode>#,##0.0</c:formatCode>
                <c:ptCount val="13"/>
                <c:pt idx="0">
                  <c:v>2.778902</c:v>
                </c:pt>
                <c:pt idx="1">
                  <c:v>2.2852030000000001</c:v>
                </c:pt>
                <c:pt idx="2">
                  <c:v>1.8790750000000001</c:v>
                </c:pt>
                <c:pt idx="3">
                  <c:v>3.2668629999999999</c:v>
                </c:pt>
                <c:pt idx="4">
                  <c:v>3.6863090000000001</c:v>
                </c:pt>
                <c:pt idx="5">
                  <c:v>3.272465</c:v>
                </c:pt>
                <c:pt idx="6">
                  <c:v>2.6087359999999999</c:v>
                </c:pt>
                <c:pt idx="7">
                  <c:v>2.4437060000000002</c:v>
                </c:pt>
                <c:pt idx="8">
                  <c:v>3.266893</c:v>
                </c:pt>
                <c:pt idx="9">
                  <c:v>4.1208809999999998</c:v>
                </c:pt>
                <c:pt idx="10">
                  <c:v>3.573118</c:v>
                </c:pt>
                <c:pt idx="11">
                  <c:v>3.1659009999999999</c:v>
                </c:pt>
                <c:pt idx="12">
                  <c:v>2.336195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9CE-4BAA-AB4A-BDDE9C9AFA43}"/>
            </c:ext>
          </c:extLst>
        </c:ser>
        <c:ser>
          <c:idx val="10"/>
          <c:order val="7"/>
          <c:tx>
            <c:strRef>
              <c:f>Dat_01!$B$130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sep.-24</c:v>
                </c:pt>
                <c:pt idx="1">
                  <c:v>oct.-24</c:v>
                </c:pt>
                <c:pt idx="2">
                  <c:v>nov.-24</c:v>
                </c:pt>
                <c:pt idx="3">
                  <c:v>dic.-24</c:v>
                </c:pt>
                <c:pt idx="4">
                  <c:v>ene.-25</c:v>
                </c:pt>
                <c:pt idx="5">
                  <c:v>feb.-25</c:v>
                </c:pt>
                <c:pt idx="6">
                  <c:v>mar.-25</c:v>
                </c:pt>
                <c:pt idx="7">
                  <c:v>abr.-25</c:v>
                </c:pt>
                <c:pt idx="8">
                  <c:v>may.-25</c:v>
                </c:pt>
                <c:pt idx="9">
                  <c:v>jun.-25</c:v>
                </c:pt>
                <c:pt idx="10">
                  <c:v>jul.-25</c:v>
                </c:pt>
                <c:pt idx="11">
                  <c:v>ago.-25</c:v>
                </c:pt>
                <c:pt idx="12">
                  <c:v>sep.-25</c:v>
                </c:pt>
              </c:strCache>
            </c:strRef>
          </c:cat>
          <c:val>
            <c:numRef>
              <c:f>Dat_01!$C$130:$O$130</c:f>
              <c:numCache>
                <c:formatCode>#,##0.0</c:formatCode>
                <c:ptCount val="13"/>
                <c:pt idx="0">
                  <c:v>14.1961285</c:v>
                </c:pt>
                <c:pt idx="1">
                  <c:v>9.2427220000000005</c:v>
                </c:pt>
                <c:pt idx="2">
                  <c:v>9.5122354999999992</c:v>
                </c:pt>
                <c:pt idx="3">
                  <c:v>12.261645</c:v>
                </c:pt>
                <c:pt idx="4">
                  <c:v>10.134332000000001</c:v>
                </c:pt>
                <c:pt idx="5">
                  <c:v>8.8925330000000002</c:v>
                </c:pt>
                <c:pt idx="6">
                  <c:v>9.8915330000000008</c:v>
                </c:pt>
                <c:pt idx="7">
                  <c:v>12.984987</c:v>
                </c:pt>
                <c:pt idx="8">
                  <c:v>10.486427000000001</c:v>
                </c:pt>
                <c:pt idx="9">
                  <c:v>14.345347</c:v>
                </c:pt>
                <c:pt idx="10">
                  <c:v>9.4785564999999998</c:v>
                </c:pt>
                <c:pt idx="11">
                  <c:v>11.851848499999999</c:v>
                </c:pt>
                <c:pt idx="12">
                  <c:v>13.92998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9CE-4BAA-AB4A-BDDE9C9AFA43}"/>
            </c:ext>
          </c:extLst>
        </c:ser>
        <c:ser>
          <c:idx val="0"/>
          <c:order val="8"/>
          <c:tx>
            <c:strRef>
              <c:f>Dat_01!$B$131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</c:spPr>
          <c:invertIfNegative val="0"/>
          <c:val>
            <c:numRef>
              <c:f>Dat_01!$C$131:$O$131</c:f>
              <c:numCache>
                <c:formatCode>#,##0.0</c:formatCode>
                <c:ptCount val="13"/>
                <c:pt idx="0">
                  <c:v>14.1961285</c:v>
                </c:pt>
                <c:pt idx="1">
                  <c:v>9.2427220000000005</c:v>
                </c:pt>
                <c:pt idx="2">
                  <c:v>9.5122354999999992</c:v>
                </c:pt>
                <c:pt idx="3">
                  <c:v>12.261645</c:v>
                </c:pt>
                <c:pt idx="4">
                  <c:v>10.134332000000001</c:v>
                </c:pt>
                <c:pt idx="5">
                  <c:v>8.8925330000000002</c:v>
                </c:pt>
                <c:pt idx="6">
                  <c:v>9.8915330000000008</c:v>
                </c:pt>
                <c:pt idx="7">
                  <c:v>12.984987</c:v>
                </c:pt>
                <c:pt idx="8">
                  <c:v>10.486427000000001</c:v>
                </c:pt>
                <c:pt idx="9">
                  <c:v>14.345347</c:v>
                </c:pt>
                <c:pt idx="10">
                  <c:v>9.4785564999999998</c:v>
                </c:pt>
                <c:pt idx="11">
                  <c:v>11.851848499999999</c:v>
                </c:pt>
                <c:pt idx="12">
                  <c:v>13.92998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9CE-4BAA-AB4A-BDDE9C9AF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48296"/>
        <c:axId val="851548688"/>
      </c:barChart>
      <c:catAx>
        <c:axId val="8515482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688"/>
        <c:crosses val="autoZero"/>
        <c:auto val="1"/>
        <c:lblAlgn val="ctr"/>
        <c:lblOffset val="100"/>
        <c:noMultiLvlLbl val="1"/>
      </c:catAx>
      <c:valAx>
        <c:axId val="851548688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s-ES"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0.95048313142183338"/>
              <c:y val="0.9457025528631406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29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88084358873273449"/>
          <c:h val="0.14830842410183867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1-2B7E-47AC-BF15-7A49F50B4E88}"/>
              </c:ext>
            </c:extLst>
          </c:dPt>
          <c:dPt>
            <c:idx val="1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3-2B7E-47AC-BF15-7A49F50B4E88}"/>
              </c:ext>
            </c:extLst>
          </c:dPt>
          <c:dPt>
            <c:idx val="2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5-2B7E-47AC-BF15-7A49F50B4E88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2B7E-47AC-BF15-7A49F50B4E88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2B7E-47AC-BF15-7A49F50B4E88}"/>
              </c:ext>
            </c:extLst>
          </c:dPt>
          <c:dPt>
            <c:idx val="5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2B7E-47AC-BF15-7A49F50B4E88}"/>
              </c:ext>
            </c:extLst>
          </c:dPt>
          <c:dPt>
            <c:idx val="6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D-2B7E-47AC-BF15-7A49F50B4E88}"/>
              </c:ext>
            </c:extLst>
          </c:dPt>
          <c:dPt>
            <c:idx val="7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F-2B7E-47AC-BF15-7A49F50B4E88}"/>
              </c:ext>
            </c:extLst>
          </c:dPt>
          <c:dPt>
            <c:idx val="8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11-2B7E-47AC-BF15-7A49F50B4E88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3-2B7E-47AC-BF15-7A49F50B4E88}"/>
              </c:ext>
            </c:extLst>
          </c:dPt>
          <c:dLbls>
            <c:dLbl>
              <c:idx val="0"/>
              <c:layout>
                <c:manualLayout>
                  <c:x val="0.15609756097560964"/>
                  <c:y val="-0.1027450980392156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7E-47AC-BF15-7A49F50B4E88}"/>
                </c:ext>
              </c:extLst>
            </c:dLbl>
            <c:dLbl>
              <c:idx val="1"/>
              <c:layout>
                <c:manualLayout>
                  <c:x val="0.17235772357723578"/>
                  <c:y val="2.94117647058823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7E-47AC-BF15-7A49F50B4E88}"/>
                </c:ext>
              </c:extLst>
            </c:dLbl>
            <c:dLbl>
              <c:idx val="2"/>
              <c:layout>
                <c:manualLayout>
                  <c:x val="0.16422764227642275"/>
                  <c:y val="0.147666141732283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821138211382115"/>
                      <c:h val="0.1647015748031496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2B7E-47AC-BF15-7A49F50B4E88}"/>
                </c:ext>
              </c:extLst>
            </c:dLbl>
            <c:dLbl>
              <c:idx val="3"/>
              <c:layout>
                <c:manualLayout>
                  <c:x val="-0.16585365853658537"/>
                  <c:y val="0.1396076771653542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785365853658536"/>
                      <c:h val="0.125416859657248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2B7E-47AC-BF15-7A49F50B4E88}"/>
                </c:ext>
              </c:extLst>
            </c:dLbl>
            <c:dLbl>
              <c:idx val="4"/>
              <c:layout>
                <c:manualLayout>
                  <c:x val="-0.17235772357723578"/>
                  <c:y val="8.333333333333332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B7E-47AC-BF15-7A49F50B4E8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B7E-47AC-BF15-7A49F50B4E88}"/>
                </c:ext>
              </c:extLst>
            </c:dLbl>
            <c:dLbl>
              <c:idx val="6"/>
              <c:layout>
                <c:manualLayout>
                  <c:x val="-0.1886178861788618"/>
                  <c:y val="-1.480393700787401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B7E-47AC-BF15-7A49F50B4E88}"/>
                </c:ext>
              </c:extLst>
            </c:dLbl>
            <c:dLbl>
              <c:idx val="7"/>
              <c:layout>
                <c:manualLayout>
                  <c:x val="-0.16260162601626016"/>
                  <c:y val="-8.784330708661422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B7E-47AC-BF15-7A49F50B4E88}"/>
                </c:ext>
              </c:extLst>
            </c:dLbl>
            <c:dLbl>
              <c:idx val="8"/>
              <c:layout>
                <c:manualLayout>
                  <c:x val="-0.14796760770757317"/>
                  <c:y val="-0.1345098425196850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49606299212591"/>
                      <c:h val="0.1658090551181102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2B7E-47AC-BF15-7A49F50B4E88}"/>
                </c:ext>
              </c:extLst>
            </c:dLbl>
            <c:dLbl>
              <c:idx val="9"/>
              <c:layout>
                <c:manualLayout>
                  <c:x val="7.4796747967479621E-2"/>
                  <c:y val="-0.1463248803458391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134959349593495"/>
                      <c:h val="0.1529251968503937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2B7E-47AC-BF15-7A49F50B4E8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Dat_01!$F$52:$F$61</c:f>
              <c:strCache>
                <c:ptCount val="10"/>
                <c:pt idx="0">
                  <c:v>Motores diésel</c:v>
                </c:pt>
                <c:pt idx="1">
                  <c:v>Turbina de gas</c:v>
                </c:pt>
                <c:pt idx="2">
                  <c:v>Turbina de vapor</c:v>
                </c:pt>
                <c:pt idx="3">
                  <c:v>Ciclo combinado</c:v>
                </c:pt>
                <c:pt idx="4">
                  <c:v>Cogeneración</c:v>
                </c:pt>
                <c:pt idx="5">
                  <c:v>Hidráulica</c:v>
                </c:pt>
                <c:pt idx="6">
                  <c:v>Hidroeólica</c:v>
                </c:pt>
                <c:pt idx="7">
                  <c:v>Eólica</c:v>
                </c:pt>
                <c:pt idx="8">
                  <c:v>Solar fotovoltaica</c:v>
                </c:pt>
                <c:pt idx="9">
                  <c:v>Otras renovables</c:v>
                </c:pt>
              </c:strCache>
            </c:strRef>
          </c:cat>
          <c:val>
            <c:numRef>
              <c:f>Dat_01!$H$52:$H$61</c:f>
              <c:numCache>
                <c:formatCode>#,##0.0</c:formatCode>
                <c:ptCount val="10"/>
                <c:pt idx="0">
                  <c:v>14.39029945086167</c:v>
                </c:pt>
                <c:pt idx="1">
                  <c:v>15.367378473948435</c:v>
                </c:pt>
                <c:pt idx="2">
                  <c:v>14.242749009441139</c:v>
                </c:pt>
                <c:pt idx="3">
                  <c:v>25.538030401065726</c:v>
                </c:pt>
                <c:pt idx="4">
                  <c:v>1.1272853724528666</c:v>
                </c:pt>
                <c:pt idx="5">
                  <c:v>2.2516197360773222E-2</c:v>
                </c:pt>
                <c:pt idx="6">
                  <c:v>0.33405419937608505</c:v>
                </c:pt>
                <c:pt idx="7">
                  <c:v>19.35743751084247</c:v>
                </c:pt>
                <c:pt idx="8">
                  <c:v>9.3603835472210015</c:v>
                </c:pt>
                <c:pt idx="9">
                  <c:v>0.25986583742984143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2B7E-47AC-BF15-7A49F50B4E8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1-B8D8-4D1B-8FB2-029AD8CC36A9}"/>
              </c:ext>
            </c:extLst>
          </c:dPt>
          <c:dPt>
            <c:idx val="1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3-B8D8-4D1B-8FB2-029AD8CC36A9}"/>
              </c:ext>
            </c:extLst>
          </c:dPt>
          <c:dPt>
            <c:idx val="2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5-B8D8-4D1B-8FB2-029AD8CC36A9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B8D8-4D1B-8FB2-029AD8CC36A9}"/>
              </c:ext>
            </c:extLst>
          </c:dPt>
          <c:dPt>
            <c:idx val="6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9-B8D8-4D1B-8FB2-029AD8CC36A9}"/>
              </c:ext>
            </c:extLst>
          </c:dPt>
          <c:dPt>
            <c:idx val="7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B-B8D8-4D1B-8FB2-029AD8CC36A9}"/>
              </c:ext>
            </c:extLst>
          </c:dPt>
          <c:dPt>
            <c:idx val="8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D-B8D8-4D1B-8FB2-029AD8CC36A9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0F-B8D8-4D1B-8FB2-029AD8CC36A9}"/>
              </c:ext>
            </c:extLst>
          </c:dPt>
          <c:dLbls>
            <c:dLbl>
              <c:idx val="0"/>
              <c:layout>
                <c:manualLayout>
                  <c:x val="0.19837398373983739"/>
                  <c:y val="-7.13725490196078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8D8-4D1B-8FB2-029AD8CC36A9}"/>
                </c:ext>
              </c:extLst>
            </c:dLbl>
            <c:dLbl>
              <c:idx val="1"/>
              <c:layout>
                <c:manualLayout>
                  <c:x val="0.16260495486844631"/>
                  <c:y val="-4.007758221398800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8D8-4D1B-8FB2-029AD8CC36A9}"/>
                </c:ext>
              </c:extLst>
            </c:dLbl>
            <c:dLbl>
              <c:idx val="2"/>
              <c:layout>
                <c:manualLayout>
                  <c:x val="0.18049074963190576"/>
                  <c:y val="4.519607843137245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097560975609752"/>
                      <c:h val="0.1107109773043075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B8D8-4D1B-8FB2-029AD8CC36A9}"/>
                </c:ext>
              </c:extLst>
            </c:dLbl>
            <c:dLbl>
              <c:idx val="3"/>
              <c:layout>
                <c:manualLayout>
                  <c:x val="-0.18312738373523621"/>
                  <c:y val="9.644916763026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386991869918702"/>
                      <c:h val="0.125416859657248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B8D8-4D1B-8FB2-029AD8CC36A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8D8-4D1B-8FB2-029AD8CC36A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8D8-4D1B-8FB2-029AD8CC36A9}"/>
                </c:ext>
              </c:extLst>
            </c:dLbl>
            <c:dLbl>
              <c:idx val="6"/>
              <c:layout>
                <c:manualLayout>
                  <c:x val="-0.15934959349593497"/>
                  <c:y val="1.711517677937316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8D8-4D1B-8FB2-029AD8CC36A9}"/>
                </c:ext>
              </c:extLst>
            </c:dLbl>
            <c:dLbl>
              <c:idx val="7"/>
              <c:layout>
                <c:manualLayout>
                  <c:x val="-0.12357723577235773"/>
                  <c:y val="-0.132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8D8-4D1B-8FB2-029AD8CC36A9}"/>
                </c:ext>
              </c:extLst>
            </c:dLbl>
            <c:dLbl>
              <c:idx val="8"/>
              <c:layout>
                <c:manualLayout>
                  <c:x val="-8.1302093335893985E-3"/>
                  <c:y val="-0.1531061834182491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95134754497145"/>
                      <c:h val="0.141495291029797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B8D8-4D1B-8FB2-029AD8CC36A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0.24435772357723573"/>
                      <c:h val="0.1529251968503937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B8D8-4D1B-8FB2-029AD8CC36A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Dat_01!$F$68:$F$77</c:f>
              <c:strCache>
                <c:ptCount val="10"/>
                <c:pt idx="0">
                  <c:v>Motores diésel</c:v>
                </c:pt>
                <c:pt idx="1">
                  <c:v>Turbina de gas</c:v>
                </c:pt>
                <c:pt idx="2">
                  <c:v>Turbina de vapor</c:v>
                </c:pt>
                <c:pt idx="3">
                  <c:v>Ciclo combinado</c:v>
                </c:pt>
                <c:pt idx="4">
                  <c:v>Cogeneración</c:v>
                </c:pt>
                <c:pt idx="5">
                  <c:v>Hidráulica</c:v>
                </c:pt>
                <c:pt idx="6">
                  <c:v>Hidroeólica</c:v>
                </c:pt>
                <c:pt idx="7">
                  <c:v>Eólica</c:v>
                </c:pt>
                <c:pt idx="8">
                  <c:v>Solar fotovoltaica</c:v>
                </c:pt>
                <c:pt idx="9">
                  <c:v>Otras renovables</c:v>
                </c:pt>
              </c:strCache>
            </c:strRef>
          </c:cat>
          <c:val>
            <c:numRef>
              <c:f>Dat_01!$G$68:$G$77</c:f>
              <c:numCache>
                <c:formatCode>#,##0.0</c:formatCode>
                <c:ptCount val="10"/>
                <c:pt idx="0">
                  <c:v>18.727486173022093</c:v>
                </c:pt>
                <c:pt idx="1">
                  <c:v>2.71002209447798</c:v>
                </c:pt>
                <c:pt idx="2">
                  <c:v>12.69681493904384</c:v>
                </c:pt>
                <c:pt idx="3">
                  <c:v>39.312461508034779</c:v>
                </c:pt>
                <c:pt idx="4">
                  <c:v>0</c:v>
                </c:pt>
                <c:pt idx="5">
                  <c:v>0</c:v>
                </c:pt>
                <c:pt idx="6">
                  <c:v>0.33111434035078763</c:v>
                </c:pt>
                <c:pt idx="7">
                  <c:v>21.140195536048971</c:v>
                </c:pt>
                <c:pt idx="8">
                  <c:v>5.0358009663595782</c:v>
                </c:pt>
                <c:pt idx="9">
                  <c:v>4.6104442661980848E-2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8D8-4D1B-8FB2-029AD8CC36A9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205D-430C-91F1-C8681903F108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205D-430C-91F1-C8681903F108}"/>
              </c:ext>
            </c:extLst>
          </c:dPt>
          <c:dLbls>
            <c:dLbl>
              <c:idx val="0"/>
              <c:layout>
                <c:manualLayout>
                  <c:x val="-0.17543875805936185"/>
                  <c:y val="-7.843137254901960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432752620299875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05D-430C-91F1-C8681903F108}"/>
                </c:ext>
              </c:extLst>
            </c:dLbl>
            <c:dLbl>
              <c:idx val="1"/>
              <c:layout>
                <c:manualLayout>
                  <c:x val="0.14035100644748946"/>
                  <c:y val="0.1568627450980392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8479567601020032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205D-430C-91F1-C8681903F10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Dat_01!$J$52:$J$53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Dat_01!$L$52:$L$53</c:f>
              <c:numCache>
                <c:formatCode>#,##0.0</c:formatCode>
                <c:ptCount val="2"/>
                <c:pt idx="0">
                  <c:v>70.665742707769823</c:v>
                </c:pt>
                <c:pt idx="1">
                  <c:v>29.334257292230173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5D-430C-91F1-C8681903F10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4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2.png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7619</xdr:colOff>
      <xdr:row>3</xdr:row>
      <xdr:rowOff>26670</xdr:rowOff>
    </xdr:from>
    <xdr:to>
      <xdr:col>4</xdr:col>
      <xdr:colOff>6380369</xdr:colOff>
      <xdr:row>3</xdr:row>
      <xdr:rowOff>26670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 flipH="1">
          <a:off x="198119" y="493395"/>
          <a:ext cx="77824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16510</xdr:colOff>
      <xdr:row>5</xdr:row>
      <xdr:rowOff>38097</xdr:rowOff>
    </xdr:from>
    <xdr:to>
      <xdr:col>2</xdr:col>
      <xdr:colOff>1060510</xdr:colOff>
      <xdr:row>16</xdr:row>
      <xdr:rowOff>95249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grayscl/>
          <a:lum bright="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010" y="866772"/>
          <a:ext cx="1044000" cy="1571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1</xdr:row>
      <xdr:rowOff>114300</xdr:rowOff>
    </xdr:from>
    <xdr:to>
      <xdr:col>4</xdr:col>
      <xdr:colOff>409574</xdr:colOff>
      <xdr:row>2</xdr:row>
      <xdr:rowOff>65399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A2057E3-2298-458F-BD8F-FE7D60DC3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200023" y="495300"/>
    <xdr:ext cx="8701950" cy="0"/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80E9DEC4-F220-4640-A6BC-D099B2EDA940}"/>
            </a:ext>
          </a:extLst>
        </xdr:cNvPr>
        <xdr:cNvSpPr>
          <a:spLocks noChangeShapeType="1"/>
        </xdr:cNvSpPr>
      </xdr:nvSpPr>
      <xdr:spPr bwMode="auto">
        <a:xfrm flipH="1">
          <a:off x="200023" y="495300"/>
          <a:ext cx="87019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9526</xdr:rowOff>
    </xdr:from>
    <xdr:to>
      <xdr:col>5</xdr:col>
      <xdr:colOff>0</xdr:colOff>
      <xdr:row>23</xdr:row>
      <xdr:rowOff>161926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DE0B2FAF-F0B8-4164-9C9B-2977B9AAC0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28575</xdr:colOff>
      <xdr:row>1</xdr:row>
      <xdr:rowOff>123825</xdr:rowOff>
    </xdr:from>
    <xdr:to>
      <xdr:col>4</xdr:col>
      <xdr:colOff>123824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5A45532-8650-47C5-84F8-592744FAE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12698</xdr:colOff>
      <xdr:row>3</xdr:row>
      <xdr:rowOff>25400</xdr:rowOff>
    </xdr:from>
    <xdr:to>
      <xdr:col>5</xdr:col>
      <xdr:colOff>1573</xdr:colOff>
      <xdr:row>3</xdr:row>
      <xdr:rowOff>25400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563AD3A0-A11D-4BD3-854C-E208A3725606}"/>
            </a:ext>
          </a:extLst>
        </xdr:cNvPr>
        <xdr:cNvSpPr>
          <a:spLocks noChangeShapeType="1"/>
        </xdr:cNvSpPr>
      </xdr:nvSpPr>
      <xdr:spPr bwMode="auto">
        <a:xfrm flipH="1">
          <a:off x="218438" y="490220"/>
          <a:ext cx="571911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68574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BBA18C0-DA1E-4D83-929D-041785CF2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2192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15240</xdr:colOff>
      <xdr:row>6</xdr:row>
      <xdr:rowOff>15240</xdr:rowOff>
    </xdr:from>
    <xdr:to>
      <xdr:col>4</xdr:col>
      <xdr:colOff>3904615</xdr:colOff>
      <xdr:row>21</xdr:row>
      <xdr:rowOff>91440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B8556212-3511-422C-9631-D15B4B3B2A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493395</xdr:colOff>
      <xdr:row>8</xdr:row>
      <xdr:rowOff>85725</xdr:rowOff>
    </xdr:from>
    <xdr:to>
      <xdr:col>4</xdr:col>
      <xdr:colOff>1120751</xdr:colOff>
      <xdr:row>11</xdr:row>
      <xdr:rowOff>19050</xdr:rowOff>
    </xdr:to>
    <xdr:sp macro="" textlink="Dat_01!E48">
      <xdr:nvSpPr>
        <xdr:cNvPr id="6" name="CuadroTexto 1">
          <a:extLst>
            <a:ext uri="{FF2B5EF4-FFF2-40B4-BE49-F238E27FC236}">
              <a16:creationId xmlns:a16="http://schemas.microsoft.com/office/drawing/2014/main" id="{88233CCD-0987-990C-7E30-FE6F9990A65B}"/>
            </a:ext>
          </a:extLst>
        </xdr:cNvPr>
        <xdr:cNvSpPr txBox="1"/>
      </xdr:nvSpPr>
      <xdr:spPr>
        <a:xfrm>
          <a:off x="2360295" y="1466850"/>
          <a:ext cx="627356" cy="419100"/>
        </a:xfrm>
        <a:prstGeom prst="rect">
          <a:avLst/>
        </a:prstGeom>
      </xdr:spPr>
      <xdr:txBody>
        <a:bodyPr vertOverflow="clip"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/>
          <a:fld id="{C0E9936F-0463-4EBD-B1C1-C14BE8A28F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Baterías 1,2 MW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0.07053</cdr:x>
      <cdr:y>0.11384</cdr:y>
    </cdr:from>
    <cdr:to>
      <cdr:x>0.37616</cdr:x>
      <cdr:y>0.25846</cdr:y>
    </cdr:to>
    <cdr:sp macro="" textlink="Dat_01!$K$33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74318" y="281934"/>
          <a:ext cx="1188722" cy="3581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F1DF8CCD-B3AA-41DF-B855-73B23BDD0B4E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0.06988</cdr:x>
      <cdr:y>0.50052</cdr:y>
    </cdr:from>
    <cdr:to>
      <cdr:x>0.23118</cdr:x>
      <cdr:y>0.62462</cdr:y>
    </cdr:to>
    <cdr:sp macro="" textlink="Dat_01!$K$34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71793" y="1239526"/>
          <a:ext cx="627367" cy="307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5895287B-148C-4E4E-B5F2-B3814893D12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6</xdr:row>
      <xdr:rowOff>19050</xdr:rowOff>
    </xdr:from>
    <xdr:to>
      <xdr:col>3</xdr:col>
      <xdr:colOff>7029450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8F7517D-B9D2-42AA-974F-4C7351DC8A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0</xdr:colOff>
      <xdr:row>2</xdr:row>
      <xdr:rowOff>0</xdr:rowOff>
    </xdr:from>
    <xdr:to>
      <xdr:col>3</xdr:col>
      <xdr:colOff>7043760</xdr:colOff>
      <xdr:row>2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C8140316-B562-4CF9-982D-D1C431492125}"/>
            </a:ext>
          </a:extLst>
        </xdr:cNvPr>
        <xdr:cNvSpPr>
          <a:spLocks noChangeShapeType="1"/>
        </xdr:cNvSpPr>
      </xdr:nvSpPr>
      <xdr:spPr bwMode="auto">
        <a:xfrm flipH="1">
          <a:off x="190500" y="457200"/>
          <a:ext cx="875826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9525</xdr:colOff>
      <xdr:row>0</xdr:row>
      <xdr:rowOff>123825</xdr:rowOff>
    </xdr:from>
    <xdr:to>
      <xdr:col>3</xdr:col>
      <xdr:colOff>104774</xdr:colOff>
      <xdr:row>1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EBE55CD-E404-474C-857B-642988E5E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23825"/>
          <a:ext cx="180974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7</xdr:col>
      <xdr:colOff>18530</xdr:colOff>
      <xdr:row>3</xdr:row>
      <xdr:rowOff>25400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B7CF0382-B55F-4155-A4C5-B86F97234CDB}"/>
            </a:ext>
          </a:extLst>
        </xdr:cNvPr>
        <xdr:cNvSpPr>
          <a:spLocks noChangeShapeType="1"/>
        </xdr:cNvSpPr>
      </xdr:nvSpPr>
      <xdr:spPr bwMode="auto">
        <a:xfrm flipH="1">
          <a:off x="206375" y="492125"/>
          <a:ext cx="601293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6C65460-AF0C-44E5-AF2E-3E78F8B5E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42875"/>
          <a:ext cx="1762124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11</xdr:row>
      <xdr:rowOff>152400</xdr:rowOff>
    </xdr:from>
    <xdr:to>
      <xdr:col>5</xdr:col>
      <xdr:colOff>1813559</xdr:colOff>
      <xdr:row>20</xdr:row>
      <xdr:rowOff>160020</xdr:rowOff>
    </xdr:to>
    <xdr:graphicFrame macro="">
      <xdr:nvGraphicFramePr>
        <xdr:cNvPr id="7" name="Graf3_and">
          <a:extLst>
            <a:ext uri="{FF2B5EF4-FFF2-40B4-BE49-F238E27FC236}">
              <a16:creationId xmlns:a16="http://schemas.microsoft.com/office/drawing/2014/main" id="{5A46E420-4AB2-46B5-A34F-FC789C8CDF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24</xdr:row>
      <xdr:rowOff>0</xdr:rowOff>
    </xdr:from>
    <xdr:to>
      <xdr:col>5</xdr:col>
      <xdr:colOff>1813559</xdr:colOff>
      <xdr:row>33</xdr:row>
      <xdr:rowOff>7620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58EEC424-1C71-4286-8CD8-852B1E09D2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49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0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0.06834</cdr:x>
      <cdr:y>0.0536</cdr:y>
    </cdr:from>
    <cdr:to>
      <cdr:x>0.3403</cdr:x>
      <cdr:y>0.37341</cdr:y>
    </cdr:to>
    <cdr:sp macro="" textlink="Dat_01!$M$73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F1BEC6C7-79E0-EB4F-9A92-6BCAF6D3ECBF}"/>
            </a:ext>
          </a:extLst>
        </cdr:cNvPr>
        <cdr:cNvSpPr txBox="1"/>
      </cdr:nvSpPr>
      <cdr:spPr>
        <a:xfrm xmlns:a="http://schemas.openxmlformats.org/drawingml/2006/main">
          <a:off x="248920" y="81280"/>
          <a:ext cx="990576" cy="4849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A1FF3861-6ABF-4718-BC29-5CC50C1885B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Entrega baterías 0,00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49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0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0.06834</cdr:x>
      <cdr:y>0.0536</cdr:y>
    </cdr:from>
    <cdr:to>
      <cdr:x>0.3125</cdr:x>
      <cdr:y>0.37341</cdr:y>
    </cdr:to>
    <cdr:sp macro="" textlink="Dat_01!$M$74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F1BEC6C7-79E0-EB4F-9A92-6BCAF6D3ECBF}"/>
            </a:ext>
          </a:extLst>
        </cdr:cNvPr>
        <cdr:cNvSpPr txBox="1"/>
      </cdr:nvSpPr>
      <cdr:spPr>
        <a:xfrm xmlns:a="http://schemas.openxmlformats.org/drawingml/2006/main">
          <a:off x="243711" y="78521"/>
          <a:ext cx="870714" cy="4685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6EB3CB67-413F-4F41-894D-AEE8FFB245B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Carga baterías -1,04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0</xdr:colOff>
      <xdr:row>3</xdr:row>
      <xdr:rowOff>9525</xdr:rowOff>
    </xdr:from>
    <xdr:to>
      <xdr:col>10</xdr:col>
      <xdr:colOff>745275</xdr:colOff>
      <xdr:row>3</xdr:row>
      <xdr:rowOff>9525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ShapeType="1"/>
        </xdr:cNvSpPr>
      </xdr:nvSpPr>
      <xdr:spPr bwMode="auto">
        <a:xfrm flipH="1">
          <a:off x="190500" y="466725"/>
          <a:ext cx="730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123825</xdr:rowOff>
    </xdr:from>
    <xdr:to>
      <xdr:col>4</xdr:col>
      <xdr:colOff>114299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B212E58-FDCF-4976-A0A4-FFEEF133A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0</xdr:colOff>
      <xdr:row>3</xdr:row>
      <xdr:rowOff>9525</xdr:rowOff>
    </xdr:from>
    <xdr:to>
      <xdr:col>10</xdr:col>
      <xdr:colOff>745275</xdr:colOff>
      <xdr:row>3</xdr:row>
      <xdr:rowOff>9525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ShapeType="1"/>
        </xdr:cNvSpPr>
      </xdr:nvSpPr>
      <xdr:spPr bwMode="auto">
        <a:xfrm flipH="1">
          <a:off x="190500" y="466725"/>
          <a:ext cx="730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65399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BA55EFE-58DA-4458-9D10-BF763A8A5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200" y="120650"/>
          <a:ext cx="184149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00024" y="495300"/>
    <xdr:ext cx="7704000" cy="9525"/>
    <xdr:sp macro="" textlink="">
      <xdr:nvSpPr>
        <xdr:cNvPr id="3" name="Line 8">
          <a:extLst>
            <a:ext uri="{FF2B5EF4-FFF2-40B4-BE49-F238E27FC236}">
              <a16:creationId xmlns:a16="http://schemas.microsoft.com/office/drawing/2014/main" id="{DD808A1B-637E-49A0-9B3F-DE1FFEC744CE}"/>
            </a:ext>
          </a:extLst>
        </xdr:cNvPr>
        <xdr:cNvSpPr>
          <a:spLocks noChangeShapeType="1"/>
        </xdr:cNvSpPr>
      </xdr:nvSpPr>
      <xdr:spPr bwMode="auto">
        <a:xfrm flipH="1" flipV="1">
          <a:off x="200024" y="495300"/>
          <a:ext cx="7704000" cy="9525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 editAs="oneCell">
    <xdr:from>
      <xdr:col>2</xdr:col>
      <xdr:colOff>28575</xdr:colOff>
      <xdr:row>1</xdr:row>
      <xdr:rowOff>123825</xdr:rowOff>
    </xdr:from>
    <xdr:to>
      <xdr:col>4</xdr:col>
      <xdr:colOff>131444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067006B-9AA2-4202-99DE-36455673D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200024" y="495300"/>
    <xdr:ext cx="5580000" cy="0"/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ShapeType="1"/>
        </xdr:cNvSpPr>
      </xdr:nvSpPr>
      <xdr:spPr bwMode="auto">
        <a:xfrm flipH="1">
          <a:off x="200024" y="495300"/>
          <a:ext cx="5580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 editAs="oneCell">
    <xdr:from>
      <xdr:col>2</xdr:col>
      <xdr:colOff>38100</xdr:colOff>
      <xdr:row>1</xdr:row>
      <xdr:rowOff>133350</xdr:rowOff>
    </xdr:from>
    <xdr:to>
      <xdr:col>4</xdr:col>
      <xdr:colOff>133349</xdr:colOff>
      <xdr:row>2</xdr:row>
      <xdr:rowOff>87624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5FF1BC4B-2F3F-49AF-BC0F-C83FAD0EC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4287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19050</xdr:colOff>
      <xdr:row>6</xdr:row>
      <xdr:rowOff>9525</xdr:rowOff>
    </xdr:from>
    <xdr:to>
      <xdr:col>4</xdr:col>
      <xdr:colOff>3908425</xdr:colOff>
      <xdr:row>21</xdr:row>
      <xdr:rowOff>9525</xdr:rowOff>
    </xdr:to>
    <xdr:graphicFrame macro="">
      <xdr:nvGraphicFramePr>
        <xdr:cNvPr id="7" name="Graf3_and">
          <a:extLst>
            <a:ext uri="{FF2B5EF4-FFF2-40B4-BE49-F238E27FC236}">
              <a16:creationId xmlns:a16="http://schemas.microsoft.com/office/drawing/2014/main" id="{6F987AC8-21FA-423C-8FBF-B74C02D452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1508124</xdr:colOff>
      <xdr:row>10</xdr:row>
      <xdr:rowOff>130175</xdr:rowOff>
    </xdr:from>
    <xdr:to>
      <xdr:col>4</xdr:col>
      <xdr:colOff>2593973</xdr:colOff>
      <xdr:row>16</xdr:row>
      <xdr:rowOff>130175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F3A5E5AA-0C4A-499B-8C11-64D8EC47A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3889375</xdr:colOff>
      <xdr:row>38</xdr:row>
      <xdr:rowOff>0</xdr:rowOff>
    </xdr:to>
    <xdr:graphicFrame macro="">
      <xdr:nvGraphicFramePr>
        <xdr:cNvPr id="9" name="Graf3_and">
          <a:extLst>
            <a:ext uri="{FF2B5EF4-FFF2-40B4-BE49-F238E27FC236}">
              <a16:creationId xmlns:a16="http://schemas.microsoft.com/office/drawing/2014/main" id="{E44A95AA-1F53-4D42-B9B5-F2B706D8FC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1495425</xdr:colOff>
      <xdr:row>27</xdr:row>
      <xdr:rowOff>104775</xdr:rowOff>
    </xdr:from>
    <xdr:to>
      <xdr:col>4</xdr:col>
      <xdr:colOff>2581274</xdr:colOff>
      <xdr:row>33</xdr:row>
      <xdr:rowOff>104775</xdr:rowOff>
    </xdr:to>
    <xdr:graphicFrame macro="">
      <xdr:nvGraphicFramePr>
        <xdr:cNvPr id="11" name="Graf3_and">
          <a:extLst>
            <a:ext uri="{FF2B5EF4-FFF2-40B4-BE49-F238E27FC236}">
              <a16:creationId xmlns:a16="http://schemas.microsoft.com/office/drawing/2014/main" id="{DDBC1733-BD3E-4AEA-877A-4B11C6FEDD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200023" y="490171"/>
    <xdr:ext cx="8705613" cy="0"/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28548079-1BF3-4B21-ABF3-3CD8492B7AFC}"/>
            </a:ext>
          </a:extLst>
        </xdr:cNvPr>
        <xdr:cNvSpPr>
          <a:spLocks noChangeShapeType="1"/>
        </xdr:cNvSpPr>
      </xdr:nvSpPr>
      <xdr:spPr bwMode="auto">
        <a:xfrm flipH="1">
          <a:off x="200023" y="490171"/>
          <a:ext cx="8705613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1</xdr:rowOff>
    </xdr:from>
    <xdr:to>
      <xdr:col>5</xdr:col>
      <xdr:colOff>0</xdr:colOff>
      <xdr:row>24</xdr:row>
      <xdr:rowOff>0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230C8224-B287-40B9-B39E-4E86D9C5E5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38100</xdr:colOff>
      <xdr:row>1</xdr:row>
      <xdr:rowOff>123825</xdr:rowOff>
    </xdr:from>
    <xdr:to>
      <xdr:col>4</xdr:col>
      <xdr:colOff>137159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EC8647D-5B8C-4B96-8E73-D65022D4C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200023" y="490171"/>
    <xdr:ext cx="8705613" cy="0"/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 noChangeShapeType="1"/>
        </xdr:cNvSpPr>
      </xdr:nvSpPr>
      <xdr:spPr bwMode="auto">
        <a:xfrm flipH="1">
          <a:off x="200023" y="490171"/>
          <a:ext cx="8705613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1</xdr:rowOff>
    </xdr:from>
    <xdr:to>
      <xdr:col>5</xdr:col>
      <xdr:colOff>0</xdr:colOff>
      <xdr:row>24</xdr:row>
      <xdr:rowOff>0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38100</xdr:colOff>
      <xdr:row>1</xdr:row>
      <xdr:rowOff>123825</xdr:rowOff>
    </xdr:from>
    <xdr:to>
      <xdr:col>4</xdr:col>
      <xdr:colOff>133349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A7C4B017-3165-4D21-9E84-1E7CFF5EC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200024" y="495300"/>
    <xdr:ext cx="5580000" cy="0"/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ShapeType="1"/>
        </xdr:cNvSpPr>
      </xdr:nvSpPr>
      <xdr:spPr bwMode="auto">
        <a:xfrm flipH="1">
          <a:off x="200024" y="495300"/>
          <a:ext cx="5580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0</xdr:rowOff>
    </xdr:from>
    <xdr:to>
      <xdr:col>4</xdr:col>
      <xdr:colOff>3914775</xdr:colOff>
      <xdr:row>22</xdr:row>
      <xdr:rowOff>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3905250</xdr:colOff>
      <xdr:row>39</xdr:row>
      <xdr:rowOff>0</xdr:rowOff>
    </xdr:to>
    <xdr:graphicFrame macro="">
      <xdr:nvGraphicFramePr>
        <xdr:cNvPr id="5" name="Graf3_and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47625</xdr:colOff>
      <xdr:row>1</xdr:row>
      <xdr:rowOff>123825</xdr:rowOff>
    </xdr:from>
    <xdr:to>
      <xdr:col>4</xdr:col>
      <xdr:colOff>146049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166A40C-C5EB-40FA-A0C9-45EE1492C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1514475</xdr:colOff>
      <xdr:row>11</xdr:row>
      <xdr:rowOff>38100</xdr:rowOff>
    </xdr:from>
    <xdr:to>
      <xdr:col>4</xdr:col>
      <xdr:colOff>2600324</xdr:colOff>
      <xdr:row>17</xdr:row>
      <xdr:rowOff>38100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36795096-4057-444F-ADB0-B4F0CD9D9D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1504950</xdr:colOff>
      <xdr:row>28</xdr:row>
      <xdr:rowOff>28575</xdr:rowOff>
    </xdr:from>
    <xdr:to>
      <xdr:col>4</xdr:col>
      <xdr:colOff>2590799</xdr:colOff>
      <xdr:row>34</xdr:row>
      <xdr:rowOff>28575</xdr:rowOff>
    </xdr:to>
    <xdr:graphicFrame macro="">
      <xdr:nvGraphicFramePr>
        <xdr:cNvPr id="9" name="Graf3_and">
          <a:extLst>
            <a:ext uri="{FF2B5EF4-FFF2-40B4-BE49-F238E27FC236}">
              <a16:creationId xmlns:a16="http://schemas.microsoft.com/office/drawing/2014/main" id="{128389D5-ECCB-40A0-83A3-26545E5168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200023" y="495300"/>
    <xdr:ext cx="8701950" cy="0"/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>
          <a:spLocks noChangeShapeType="1"/>
        </xdr:cNvSpPr>
      </xdr:nvSpPr>
      <xdr:spPr bwMode="auto">
        <a:xfrm flipH="1">
          <a:off x="200023" y="495300"/>
          <a:ext cx="87019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9526</xdr:rowOff>
    </xdr:from>
    <xdr:to>
      <xdr:col>5</xdr:col>
      <xdr:colOff>0</xdr:colOff>
      <xdr:row>23</xdr:row>
      <xdr:rowOff>161926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28575</xdr:colOff>
      <xdr:row>1</xdr:row>
      <xdr:rowOff>123825</xdr:rowOff>
    </xdr:from>
    <xdr:to>
      <xdr:col>4</xdr:col>
      <xdr:colOff>131444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E011151C-71A4-4DF0-8BA0-9FD9F1261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autoPageBreaks="0" fitToPage="1"/>
  </sheetPr>
  <dimension ref="B1:O18"/>
  <sheetViews>
    <sheetView showGridLines="0" showRowColHeaders="0" tabSelected="1" showOutlineSymbols="0" zoomScaleNormal="100" workbookViewId="0">
      <selection activeCell="B2" sqref="B2"/>
    </sheetView>
  </sheetViews>
  <sheetFormatPr baseColWidth="10" defaultColWidth="11.42578125" defaultRowHeight="12.75"/>
  <cols>
    <col min="1" max="1" width="0.140625" style="81" customWidth="1"/>
    <col min="2" max="2" width="2.5703125" style="81" customWidth="1"/>
    <col min="3" max="3" width="16.42578125" style="81" customWidth="1"/>
    <col min="4" max="4" width="4.5703125" style="81" customWidth="1"/>
    <col min="5" max="5" width="95.5703125" style="81" customWidth="1"/>
    <col min="6" max="16384" width="11.42578125" style="81"/>
  </cols>
  <sheetData>
    <row r="1" spans="2:15" ht="0.75" customHeight="1"/>
    <row r="2" spans="2:15" ht="21" customHeight="1">
      <c r="B2" s="81" t="s">
        <v>42</v>
      </c>
      <c r="C2" s="82"/>
      <c r="D2" s="82"/>
      <c r="E2" s="27" t="s">
        <v>19</v>
      </c>
    </row>
    <row r="3" spans="2:15" ht="15" customHeight="1">
      <c r="C3" s="82"/>
      <c r="D3" s="82"/>
      <c r="E3" s="43" t="str">
        <f>Dat_01!A2</f>
        <v>Septiembre 2025</v>
      </c>
    </row>
    <row r="4" spans="2:15" s="84" customFormat="1" ht="20.25" customHeight="1">
      <c r="B4" s="83"/>
      <c r="C4" s="25" t="s">
        <v>39</v>
      </c>
    </row>
    <row r="5" spans="2:15" s="84" customFormat="1" ht="8.25" customHeight="1">
      <c r="B5" s="83"/>
      <c r="C5" s="85"/>
    </row>
    <row r="6" spans="2:15" s="84" customFormat="1" ht="3" customHeight="1">
      <c r="B6" s="83"/>
      <c r="C6" s="85"/>
    </row>
    <row r="7" spans="2:15" s="84" customFormat="1" ht="7.5" customHeight="1">
      <c r="B7" s="83"/>
      <c r="C7" s="86"/>
      <c r="D7" s="87"/>
      <c r="E7" s="87"/>
    </row>
    <row r="8" spans="2:15" ht="12.6" customHeight="1">
      <c r="D8" s="88" t="s">
        <v>43</v>
      </c>
      <c r="E8" s="89" t="str">
        <f>'SN1'!C7</f>
        <v>Componentes de la variación de la demanda Islas Baleares</v>
      </c>
    </row>
    <row r="9" spans="2:15" s="84" customFormat="1" ht="12.6" customHeight="1">
      <c r="B9" s="83"/>
      <c r="C9" s="90"/>
      <c r="D9" s="88" t="s">
        <v>43</v>
      </c>
      <c r="E9" s="89" t="str">
        <f>'SN2'!C7</f>
        <v>Componentes de la variación de la demanda Islas Canarias</v>
      </c>
      <c r="F9" s="81"/>
      <c r="G9" s="81"/>
      <c r="H9" s="81"/>
      <c r="I9" s="81"/>
      <c r="J9" s="81"/>
      <c r="K9" s="81"/>
      <c r="L9" s="81"/>
      <c r="M9" s="81"/>
      <c r="N9" s="81"/>
      <c r="O9" s="81"/>
    </row>
    <row r="10" spans="2:15" s="84" customFormat="1" ht="12.6" customHeight="1">
      <c r="B10" s="83"/>
      <c r="C10" s="90"/>
      <c r="D10" s="88" t="s">
        <v>43</v>
      </c>
      <c r="E10" s="89" t="s">
        <v>45</v>
      </c>
      <c r="F10" s="81"/>
      <c r="G10" s="81"/>
      <c r="H10" s="81"/>
      <c r="I10" s="81"/>
      <c r="J10" s="81"/>
      <c r="K10" s="81"/>
      <c r="L10" s="81"/>
      <c r="M10" s="81"/>
      <c r="N10" s="81"/>
      <c r="O10" s="81"/>
    </row>
    <row r="11" spans="2:15" ht="12.6" customHeight="1">
      <c r="D11" s="88" t="s">
        <v>43</v>
      </c>
      <c r="E11" s="89" t="str">
        <f>'SN4'!C7</f>
        <v>Estructura de potencia instalada de generación Islas Baleares</v>
      </c>
    </row>
    <row r="12" spans="2:15" ht="12.6" customHeight="1">
      <c r="D12" s="88" t="s">
        <v>43</v>
      </c>
      <c r="E12" s="89" t="str">
        <f>'SN4'!C24</f>
        <v>Estructura de generación mensual Islas Baleares</v>
      </c>
    </row>
    <row r="13" spans="2:15" ht="12.6" customHeight="1">
      <c r="D13" s="88" t="s">
        <v>43</v>
      </c>
      <c r="E13" s="89" t="str">
        <f>'SN5 FUEL GAS'!C7</f>
        <v xml:space="preserve">Evolución de la estructura de generación de las Islas Baleares
</v>
      </c>
    </row>
    <row r="14" spans="2:15" ht="12.6" customHeight="1">
      <c r="D14" s="88" t="s">
        <v>43</v>
      </c>
      <c r="E14" s="89" t="str">
        <f>'SN6'!C7</f>
        <v>Estructura de potencia instalada de generación Islas Canarias</v>
      </c>
    </row>
    <row r="15" spans="2:15" ht="12.6" customHeight="1">
      <c r="D15" s="88" t="s">
        <v>43</v>
      </c>
      <c r="E15" s="89" t="str">
        <f>'SN6'!C24</f>
        <v>Estructura de generación mensual Islas Canarias</v>
      </c>
    </row>
    <row r="16" spans="2:15" ht="12.75" customHeight="1">
      <c r="D16" s="88" t="s">
        <v>43</v>
      </c>
      <c r="E16" s="89" t="str">
        <f>'SN7'!C7</f>
        <v xml:space="preserve">Evolución de la estructura de generación de las Islas Canarias
</v>
      </c>
    </row>
    <row r="17" spans="2:5" s="84" customFormat="1" ht="7.5" customHeight="1">
      <c r="B17" s="83"/>
      <c r="C17" s="86"/>
      <c r="D17" s="87"/>
      <c r="E17" s="87"/>
    </row>
    <row r="18" spans="2:5" ht="12.75" customHeight="1"/>
  </sheetData>
  <hyperlinks>
    <hyperlink ref="E10" location="'SN3'!A1" display="'SN3'!A1" xr:uid="{00000000-0004-0000-0000-000000000000}"/>
    <hyperlink ref="E13" location="'SN5'!A1" display="'SN5'!A1" xr:uid="{00000000-0004-0000-0000-000001000000}"/>
    <hyperlink ref="E11" location="'SN4'!A1" display="'SN4'!A1" xr:uid="{00000000-0004-0000-0000-000002000000}"/>
    <hyperlink ref="E9" location="'SN2'!A1" display="'SN2'!A1" xr:uid="{00000000-0004-0000-0000-000003000000}"/>
    <hyperlink ref="E8" location="'SN1'!A1" display="'SN1'!A1" xr:uid="{00000000-0004-0000-0000-000004000000}"/>
    <hyperlink ref="E16" location="'SN7 A'!A1" display="'SN7 A'!A1" xr:uid="{00000000-0004-0000-0000-000005000000}"/>
    <hyperlink ref="E12" location="'SN4'!A1" display="'SN4'!A1" xr:uid="{00000000-0004-0000-0000-000006000000}"/>
    <hyperlink ref="E14" location="'SN6'!A1" display="'SN6'!A1" xr:uid="{00000000-0004-0000-0000-000007000000}"/>
    <hyperlink ref="E15" location="'SN6'!A1" display="'SN6'!A1" xr:uid="{00000000-0004-0000-0000-000008000000}"/>
  </hyperlinks>
  <printOptions horizontalCentered="1" verticalCentered="1"/>
  <pageMargins left="0.39370078740157483" right="0.78740157480314965" top="0.39370078740157483" bottom="0.98425196850393704" header="0" footer="0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8B9B1-B8B6-4809-BDB4-4BCAA12D470B}">
  <sheetPr codeName="Hoja13"/>
  <dimension ref="A1:T45"/>
  <sheetViews>
    <sheetView showGridLines="0" showRowColHeaders="0" zoomScaleNormal="100" workbookViewId="0">
      <selection activeCell="E34" sqref="E34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Septiembre 2025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44" t="s">
        <v>114</v>
      </c>
      <c r="D7" s="55"/>
      <c r="E7" s="59"/>
    </row>
    <row r="8" spans="1:20" ht="12.75" customHeight="1">
      <c r="A8" s="58"/>
      <c r="B8" s="57"/>
      <c r="C8" s="244"/>
      <c r="D8" s="55"/>
      <c r="E8" s="59"/>
      <c r="F8" s="54"/>
    </row>
    <row r="9" spans="1:20" ht="12.75" customHeight="1">
      <c r="A9" s="58"/>
      <c r="B9" s="57"/>
      <c r="C9" s="173"/>
      <c r="D9" s="55"/>
      <c r="E9" s="59"/>
      <c r="F9" s="54"/>
    </row>
    <row r="10" spans="1:20" ht="12.75" customHeight="1">
      <c r="A10" s="58"/>
      <c r="B10" s="57"/>
      <c r="C10" s="32"/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/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79</v>
      </c>
      <c r="F25" s="53"/>
      <c r="G25" s="53"/>
    </row>
    <row r="26" spans="1:7" ht="12.75" customHeight="1">
      <c r="E26" s="48" t="s">
        <v>44</v>
      </c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2" spans="5:5" ht="12.75" customHeight="1"/>
    <row r="43" spans="5:5" ht="12.75" customHeight="1"/>
    <row r="44" spans="5:5" ht="12.75" customHeight="1">
      <c r="E44" s="48"/>
    </row>
    <row r="45" spans="5:5">
      <c r="E45" s="48"/>
    </row>
  </sheetData>
  <mergeCells count="1">
    <mergeCell ref="C7:C8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F5EF5-C999-4B61-BB40-CF54795A1F78}">
  <sheetPr codeName="Hoja14">
    <pageSetUpPr fitToPage="1"/>
  </sheetPr>
  <dimension ref="A1:H40"/>
  <sheetViews>
    <sheetView showGridLines="0" showRowColHeaders="0" workbookViewId="0">
      <selection activeCell="B2" sqref="B2"/>
    </sheetView>
  </sheetViews>
  <sheetFormatPr baseColWidth="10" defaultRowHeight="12.75"/>
  <cols>
    <col min="1" max="1" width="0.425781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5703125" style="29" customWidth="1"/>
    <col min="6" max="7" width="11.5703125" style="28"/>
    <col min="8" max="8" width="15.5703125" style="28" customWidth="1"/>
    <col min="9" max="252" width="11.5703125" style="28"/>
    <col min="253" max="253" width="0.42578125" style="28" customWidth="1"/>
    <col min="254" max="254" width="2.5703125" style="28" customWidth="1"/>
    <col min="255" max="255" width="18.5703125" style="28" customWidth="1"/>
    <col min="256" max="256" width="1.42578125" style="28" customWidth="1"/>
    <col min="257" max="257" width="58.5703125" style="28" customWidth="1"/>
    <col min="258" max="259" width="11.5703125" style="28"/>
    <col min="260" max="260" width="2.42578125" style="28" customWidth="1"/>
    <col min="261" max="261" width="11.5703125" style="28"/>
    <col min="262" max="262" width="9.5703125" style="28" customWidth="1"/>
    <col min="263" max="508" width="11.5703125" style="28"/>
    <col min="509" max="509" width="0.42578125" style="28" customWidth="1"/>
    <col min="510" max="510" width="2.5703125" style="28" customWidth="1"/>
    <col min="511" max="511" width="18.5703125" style="28" customWidth="1"/>
    <col min="512" max="512" width="1.42578125" style="28" customWidth="1"/>
    <col min="513" max="513" width="58.5703125" style="28" customWidth="1"/>
    <col min="514" max="515" width="11.5703125" style="28"/>
    <col min="516" max="516" width="2.42578125" style="28" customWidth="1"/>
    <col min="517" max="517" width="11.5703125" style="28"/>
    <col min="518" max="518" width="9.5703125" style="28" customWidth="1"/>
    <col min="519" max="764" width="11.5703125" style="28"/>
    <col min="765" max="765" width="0.42578125" style="28" customWidth="1"/>
    <col min="766" max="766" width="2.5703125" style="28" customWidth="1"/>
    <col min="767" max="767" width="18.5703125" style="28" customWidth="1"/>
    <col min="768" max="768" width="1.42578125" style="28" customWidth="1"/>
    <col min="769" max="769" width="58.5703125" style="28" customWidth="1"/>
    <col min="770" max="771" width="11.5703125" style="28"/>
    <col min="772" max="772" width="2.42578125" style="28" customWidth="1"/>
    <col min="773" max="773" width="11.5703125" style="28"/>
    <col min="774" max="774" width="9.5703125" style="28" customWidth="1"/>
    <col min="775" max="1020" width="11.5703125" style="28"/>
    <col min="1021" max="1021" width="0.42578125" style="28" customWidth="1"/>
    <col min="1022" max="1022" width="2.5703125" style="28" customWidth="1"/>
    <col min="1023" max="1023" width="18.5703125" style="28" customWidth="1"/>
    <col min="1024" max="1024" width="1.42578125" style="28" customWidth="1"/>
    <col min="1025" max="1025" width="58.5703125" style="28" customWidth="1"/>
    <col min="1026" max="1027" width="11.5703125" style="28"/>
    <col min="1028" max="1028" width="2.42578125" style="28" customWidth="1"/>
    <col min="1029" max="1029" width="11.5703125" style="28"/>
    <col min="1030" max="1030" width="9.5703125" style="28" customWidth="1"/>
    <col min="1031" max="1276" width="11.5703125" style="28"/>
    <col min="1277" max="1277" width="0.42578125" style="28" customWidth="1"/>
    <col min="1278" max="1278" width="2.5703125" style="28" customWidth="1"/>
    <col min="1279" max="1279" width="18.5703125" style="28" customWidth="1"/>
    <col min="1280" max="1280" width="1.42578125" style="28" customWidth="1"/>
    <col min="1281" max="1281" width="58.5703125" style="28" customWidth="1"/>
    <col min="1282" max="1283" width="11.5703125" style="28"/>
    <col min="1284" max="1284" width="2.42578125" style="28" customWidth="1"/>
    <col min="1285" max="1285" width="11.5703125" style="28"/>
    <col min="1286" max="1286" width="9.5703125" style="28" customWidth="1"/>
    <col min="1287" max="1532" width="11.5703125" style="28"/>
    <col min="1533" max="1533" width="0.42578125" style="28" customWidth="1"/>
    <col min="1534" max="1534" width="2.5703125" style="28" customWidth="1"/>
    <col min="1535" max="1535" width="18.5703125" style="28" customWidth="1"/>
    <col min="1536" max="1536" width="1.42578125" style="28" customWidth="1"/>
    <col min="1537" max="1537" width="58.5703125" style="28" customWidth="1"/>
    <col min="1538" max="1539" width="11.5703125" style="28"/>
    <col min="1540" max="1540" width="2.42578125" style="28" customWidth="1"/>
    <col min="1541" max="1541" width="11.5703125" style="28"/>
    <col min="1542" max="1542" width="9.5703125" style="28" customWidth="1"/>
    <col min="1543" max="1788" width="11.5703125" style="28"/>
    <col min="1789" max="1789" width="0.42578125" style="28" customWidth="1"/>
    <col min="1790" max="1790" width="2.5703125" style="28" customWidth="1"/>
    <col min="1791" max="1791" width="18.5703125" style="28" customWidth="1"/>
    <col min="1792" max="1792" width="1.42578125" style="28" customWidth="1"/>
    <col min="1793" max="1793" width="58.5703125" style="28" customWidth="1"/>
    <col min="1794" max="1795" width="11.5703125" style="28"/>
    <col min="1796" max="1796" width="2.42578125" style="28" customWidth="1"/>
    <col min="1797" max="1797" width="11.5703125" style="28"/>
    <col min="1798" max="1798" width="9.5703125" style="28" customWidth="1"/>
    <col min="1799" max="2044" width="11.5703125" style="28"/>
    <col min="2045" max="2045" width="0.42578125" style="28" customWidth="1"/>
    <col min="2046" max="2046" width="2.5703125" style="28" customWidth="1"/>
    <col min="2047" max="2047" width="18.5703125" style="28" customWidth="1"/>
    <col min="2048" max="2048" width="1.42578125" style="28" customWidth="1"/>
    <col min="2049" max="2049" width="58.5703125" style="28" customWidth="1"/>
    <col min="2050" max="2051" width="11.5703125" style="28"/>
    <col min="2052" max="2052" width="2.42578125" style="28" customWidth="1"/>
    <col min="2053" max="2053" width="11.5703125" style="28"/>
    <col min="2054" max="2054" width="9.5703125" style="28" customWidth="1"/>
    <col min="2055" max="2300" width="11.5703125" style="28"/>
    <col min="2301" max="2301" width="0.42578125" style="28" customWidth="1"/>
    <col min="2302" max="2302" width="2.5703125" style="28" customWidth="1"/>
    <col min="2303" max="2303" width="18.5703125" style="28" customWidth="1"/>
    <col min="2304" max="2304" width="1.42578125" style="28" customWidth="1"/>
    <col min="2305" max="2305" width="58.5703125" style="28" customWidth="1"/>
    <col min="2306" max="2307" width="11.5703125" style="28"/>
    <col min="2308" max="2308" width="2.42578125" style="28" customWidth="1"/>
    <col min="2309" max="2309" width="11.5703125" style="28"/>
    <col min="2310" max="2310" width="9.5703125" style="28" customWidth="1"/>
    <col min="2311" max="2556" width="11.5703125" style="28"/>
    <col min="2557" max="2557" width="0.42578125" style="28" customWidth="1"/>
    <col min="2558" max="2558" width="2.5703125" style="28" customWidth="1"/>
    <col min="2559" max="2559" width="18.5703125" style="28" customWidth="1"/>
    <col min="2560" max="2560" width="1.42578125" style="28" customWidth="1"/>
    <col min="2561" max="2561" width="58.5703125" style="28" customWidth="1"/>
    <col min="2562" max="2563" width="11.5703125" style="28"/>
    <col min="2564" max="2564" width="2.42578125" style="28" customWidth="1"/>
    <col min="2565" max="2565" width="11.5703125" style="28"/>
    <col min="2566" max="2566" width="9.5703125" style="28" customWidth="1"/>
    <col min="2567" max="2812" width="11.5703125" style="28"/>
    <col min="2813" max="2813" width="0.42578125" style="28" customWidth="1"/>
    <col min="2814" max="2814" width="2.5703125" style="28" customWidth="1"/>
    <col min="2815" max="2815" width="18.5703125" style="28" customWidth="1"/>
    <col min="2816" max="2816" width="1.42578125" style="28" customWidth="1"/>
    <col min="2817" max="2817" width="58.5703125" style="28" customWidth="1"/>
    <col min="2818" max="2819" width="11.5703125" style="28"/>
    <col min="2820" max="2820" width="2.42578125" style="28" customWidth="1"/>
    <col min="2821" max="2821" width="11.5703125" style="28"/>
    <col min="2822" max="2822" width="9.5703125" style="28" customWidth="1"/>
    <col min="2823" max="3068" width="11.5703125" style="28"/>
    <col min="3069" max="3069" width="0.42578125" style="28" customWidth="1"/>
    <col min="3070" max="3070" width="2.5703125" style="28" customWidth="1"/>
    <col min="3071" max="3071" width="18.5703125" style="28" customWidth="1"/>
    <col min="3072" max="3072" width="1.42578125" style="28" customWidth="1"/>
    <col min="3073" max="3073" width="58.5703125" style="28" customWidth="1"/>
    <col min="3074" max="3075" width="11.5703125" style="28"/>
    <col min="3076" max="3076" width="2.42578125" style="28" customWidth="1"/>
    <col min="3077" max="3077" width="11.5703125" style="28"/>
    <col min="3078" max="3078" width="9.5703125" style="28" customWidth="1"/>
    <col min="3079" max="3324" width="11.5703125" style="28"/>
    <col min="3325" max="3325" width="0.42578125" style="28" customWidth="1"/>
    <col min="3326" max="3326" width="2.5703125" style="28" customWidth="1"/>
    <col min="3327" max="3327" width="18.5703125" style="28" customWidth="1"/>
    <col min="3328" max="3328" width="1.42578125" style="28" customWidth="1"/>
    <col min="3329" max="3329" width="58.5703125" style="28" customWidth="1"/>
    <col min="3330" max="3331" width="11.5703125" style="28"/>
    <col min="3332" max="3332" width="2.42578125" style="28" customWidth="1"/>
    <col min="3333" max="3333" width="11.5703125" style="28"/>
    <col min="3334" max="3334" width="9.5703125" style="28" customWidth="1"/>
    <col min="3335" max="3580" width="11.5703125" style="28"/>
    <col min="3581" max="3581" width="0.42578125" style="28" customWidth="1"/>
    <col min="3582" max="3582" width="2.5703125" style="28" customWidth="1"/>
    <col min="3583" max="3583" width="18.5703125" style="28" customWidth="1"/>
    <col min="3584" max="3584" width="1.42578125" style="28" customWidth="1"/>
    <col min="3585" max="3585" width="58.5703125" style="28" customWidth="1"/>
    <col min="3586" max="3587" width="11.5703125" style="28"/>
    <col min="3588" max="3588" width="2.42578125" style="28" customWidth="1"/>
    <col min="3589" max="3589" width="11.5703125" style="28"/>
    <col min="3590" max="3590" width="9.5703125" style="28" customWidth="1"/>
    <col min="3591" max="3836" width="11.5703125" style="28"/>
    <col min="3837" max="3837" width="0.42578125" style="28" customWidth="1"/>
    <col min="3838" max="3838" width="2.5703125" style="28" customWidth="1"/>
    <col min="3839" max="3839" width="18.5703125" style="28" customWidth="1"/>
    <col min="3840" max="3840" width="1.42578125" style="28" customWidth="1"/>
    <col min="3841" max="3841" width="58.5703125" style="28" customWidth="1"/>
    <col min="3842" max="3843" width="11.5703125" style="28"/>
    <col min="3844" max="3844" width="2.42578125" style="28" customWidth="1"/>
    <col min="3845" max="3845" width="11.5703125" style="28"/>
    <col min="3846" max="3846" width="9.5703125" style="28" customWidth="1"/>
    <col min="3847" max="4092" width="11.5703125" style="28"/>
    <col min="4093" max="4093" width="0.42578125" style="28" customWidth="1"/>
    <col min="4094" max="4094" width="2.5703125" style="28" customWidth="1"/>
    <col min="4095" max="4095" width="18.5703125" style="28" customWidth="1"/>
    <col min="4096" max="4096" width="1.42578125" style="28" customWidth="1"/>
    <col min="4097" max="4097" width="58.5703125" style="28" customWidth="1"/>
    <col min="4098" max="4099" width="11.5703125" style="28"/>
    <col min="4100" max="4100" width="2.42578125" style="28" customWidth="1"/>
    <col min="4101" max="4101" width="11.5703125" style="28"/>
    <col min="4102" max="4102" width="9.5703125" style="28" customWidth="1"/>
    <col min="4103" max="4348" width="11.5703125" style="28"/>
    <col min="4349" max="4349" width="0.42578125" style="28" customWidth="1"/>
    <col min="4350" max="4350" width="2.5703125" style="28" customWidth="1"/>
    <col min="4351" max="4351" width="18.5703125" style="28" customWidth="1"/>
    <col min="4352" max="4352" width="1.42578125" style="28" customWidth="1"/>
    <col min="4353" max="4353" width="58.5703125" style="28" customWidth="1"/>
    <col min="4354" max="4355" width="11.5703125" style="28"/>
    <col min="4356" max="4356" width="2.42578125" style="28" customWidth="1"/>
    <col min="4357" max="4357" width="11.5703125" style="28"/>
    <col min="4358" max="4358" width="9.5703125" style="28" customWidth="1"/>
    <col min="4359" max="4604" width="11.5703125" style="28"/>
    <col min="4605" max="4605" width="0.42578125" style="28" customWidth="1"/>
    <col min="4606" max="4606" width="2.5703125" style="28" customWidth="1"/>
    <col min="4607" max="4607" width="18.5703125" style="28" customWidth="1"/>
    <col min="4608" max="4608" width="1.42578125" style="28" customWidth="1"/>
    <col min="4609" max="4609" width="58.5703125" style="28" customWidth="1"/>
    <col min="4610" max="4611" width="11.5703125" style="28"/>
    <col min="4612" max="4612" width="2.42578125" style="28" customWidth="1"/>
    <col min="4613" max="4613" width="11.5703125" style="28"/>
    <col min="4614" max="4614" width="9.5703125" style="28" customWidth="1"/>
    <col min="4615" max="4860" width="11.5703125" style="28"/>
    <col min="4861" max="4861" width="0.42578125" style="28" customWidth="1"/>
    <col min="4862" max="4862" width="2.5703125" style="28" customWidth="1"/>
    <col min="4863" max="4863" width="18.5703125" style="28" customWidth="1"/>
    <col min="4864" max="4864" width="1.42578125" style="28" customWidth="1"/>
    <col min="4865" max="4865" width="58.5703125" style="28" customWidth="1"/>
    <col min="4866" max="4867" width="11.5703125" style="28"/>
    <col min="4868" max="4868" width="2.42578125" style="28" customWidth="1"/>
    <col min="4869" max="4869" width="11.5703125" style="28"/>
    <col min="4870" max="4870" width="9.5703125" style="28" customWidth="1"/>
    <col min="4871" max="5116" width="11.5703125" style="28"/>
    <col min="5117" max="5117" width="0.42578125" style="28" customWidth="1"/>
    <col min="5118" max="5118" width="2.5703125" style="28" customWidth="1"/>
    <col min="5119" max="5119" width="18.5703125" style="28" customWidth="1"/>
    <col min="5120" max="5120" width="1.42578125" style="28" customWidth="1"/>
    <col min="5121" max="5121" width="58.5703125" style="28" customWidth="1"/>
    <col min="5122" max="5123" width="11.5703125" style="28"/>
    <col min="5124" max="5124" width="2.42578125" style="28" customWidth="1"/>
    <col min="5125" max="5125" width="11.5703125" style="28"/>
    <col min="5126" max="5126" width="9.5703125" style="28" customWidth="1"/>
    <col min="5127" max="5372" width="11.5703125" style="28"/>
    <col min="5373" max="5373" width="0.42578125" style="28" customWidth="1"/>
    <col min="5374" max="5374" width="2.5703125" style="28" customWidth="1"/>
    <col min="5375" max="5375" width="18.5703125" style="28" customWidth="1"/>
    <col min="5376" max="5376" width="1.42578125" style="28" customWidth="1"/>
    <col min="5377" max="5377" width="58.5703125" style="28" customWidth="1"/>
    <col min="5378" max="5379" width="11.5703125" style="28"/>
    <col min="5380" max="5380" width="2.42578125" style="28" customWidth="1"/>
    <col min="5381" max="5381" width="11.5703125" style="28"/>
    <col min="5382" max="5382" width="9.5703125" style="28" customWidth="1"/>
    <col min="5383" max="5628" width="11.5703125" style="28"/>
    <col min="5629" max="5629" width="0.42578125" style="28" customWidth="1"/>
    <col min="5630" max="5630" width="2.5703125" style="28" customWidth="1"/>
    <col min="5631" max="5631" width="18.5703125" style="28" customWidth="1"/>
    <col min="5632" max="5632" width="1.42578125" style="28" customWidth="1"/>
    <col min="5633" max="5633" width="58.5703125" style="28" customWidth="1"/>
    <col min="5634" max="5635" width="11.5703125" style="28"/>
    <col min="5636" max="5636" width="2.42578125" style="28" customWidth="1"/>
    <col min="5637" max="5637" width="11.5703125" style="28"/>
    <col min="5638" max="5638" width="9.5703125" style="28" customWidth="1"/>
    <col min="5639" max="5884" width="11.5703125" style="28"/>
    <col min="5885" max="5885" width="0.42578125" style="28" customWidth="1"/>
    <col min="5886" max="5886" width="2.5703125" style="28" customWidth="1"/>
    <col min="5887" max="5887" width="18.5703125" style="28" customWidth="1"/>
    <col min="5888" max="5888" width="1.42578125" style="28" customWidth="1"/>
    <col min="5889" max="5889" width="58.5703125" style="28" customWidth="1"/>
    <col min="5890" max="5891" width="11.5703125" style="28"/>
    <col min="5892" max="5892" width="2.42578125" style="28" customWidth="1"/>
    <col min="5893" max="5893" width="11.5703125" style="28"/>
    <col min="5894" max="5894" width="9.5703125" style="28" customWidth="1"/>
    <col min="5895" max="6140" width="11.5703125" style="28"/>
    <col min="6141" max="6141" width="0.42578125" style="28" customWidth="1"/>
    <col min="6142" max="6142" width="2.5703125" style="28" customWidth="1"/>
    <col min="6143" max="6143" width="18.5703125" style="28" customWidth="1"/>
    <col min="6144" max="6144" width="1.42578125" style="28" customWidth="1"/>
    <col min="6145" max="6145" width="58.5703125" style="28" customWidth="1"/>
    <col min="6146" max="6147" width="11.5703125" style="28"/>
    <col min="6148" max="6148" width="2.42578125" style="28" customWidth="1"/>
    <col min="6149" max="6149" width="11.5703125" style="28"/>
    <col min="6150" max="6150" width="9.5703125" style="28" customWidth="1"/>
    <col min="6151" max="6396" width="11.5703125" style="28"/>
    <col min="6397" max="6397" width="0.42578125" style="28" customWidth="1"/>
    <col min="6398" max="6398" width="2.5703125" style="28" customWidth="1"/>
    <col min="6399" max="6399" width="18.5703125" style="28" customWidth="1"/>
    <col min="6400" max="6400" width="1.42578125" style="28" customWidth="1"/>
    <col min="6401" max="6401" width="58.5703125" style="28" customWidth="1"/>
    <col min="6402" max="6403" width="11.5703125" style="28"/>
    <col min="6404" max="6404" width="2.42578125" style="28" customWidth="1"/>
    <col min="6405" max="6405" width="11.5703125" style="28"/>
    <col min="6406" max="6406" width="9.5703125" style="28" customWidth="1"/>
    <col min="6407" max="6652" width="11.5703125" style="28"/>
    <col min="6653" max="6653" width="0.42578125" style="28" customWidth="1"/>
    <col min="6654" max="6654" width="2.5703125" style="28" customWidth="1"/>
    <col min="6655" max="6655" width="18.5703125" style="28" customWidth="1"/>
    <col min="6656" max="6656" width="1.42578125" style="28" customWidth="1"/>
    <col min="6657" max="6657" width="58.5703125" style="28" customWidth="1"/>
    <col min="6658" max="6659" width="11.5703125" style="28"/>
    <col min="6660" max="6660" width="2.42578125" style="28" customWidth="1"/>
    <col min="6661" max="6661" width="11.5703125" style="28"/>
    <col min="6662" max="6662" width="9.5703125" style="28" customWidth="1"/>
    <col min="6663" max="6908" width="11.5703125" style="28"/>
    <col min="6909" max="6909" width="0.42578125" style="28" customWidth="1"/>
    <col min="6910" max="6910" width="2.5703125" style="28" customWidth="1"/>
    <col min="6911" max="6911" width="18.5703125" style="28" customWidth="1"/>
    <col min="6912" max="6912" width="1.42578125" style="28" customWidth="1"/>
    <col min="6913" max="6913" width="58.5703125" style="28" customWidth="1"/>
    <col min="6914" max="6915" width="11.5703125" style="28"/>
    <col min="6916" max="6916" width="2.42578125" style="28" customWidth="1"/>
    <col min="6917" max="6917" width="11.5703125" style="28"/>
    <col min="6918" max="6918" width="9.5703125" style="28" customWidth="1"/>
    <col min="6919" max="7164" width="11.5703125" style="28"/>
    <col min="7165" max="7165" width="0.42578125" style="28" customWidth="1"/>
    <col min="7166" max="7166" width="2.5703125" style="28" customWidth="1"/>
    <col min="7167" max="7167" width="18.5703125" style="28" customWidth="1"/>
    <col min="7168" max="7168" width="1.42578125" style="28" customWidth="1"/>
    <col min="7169" max="7169" width="58.5703125" style="28" customWidth="1"/>
    <col min="7170" max="7171" width="11.5703125" style="28"/>
    <col min="7172" max="7172" width="2.42578125" style="28" customWidth="1"/>
    <col min="7173" max="7173" width="11.5703125" style="28"/>
    <col min="7174" max="7174" width="9.5703125" style="28" customWidth="1"/>
    <col min="7175" max="7420" width="11.5703125" style="28"/>
    <col min="7421" max="7421" width="0.42578125" style="28" customWidth="1"/>
    <col min="7422" max="7422" width="2.5703125" style="28" customWidth="1"/>
    <col min="7423" max="7423" width="18.5703125" style="28" customWidth="1"/>
    <col min="7424" max="7424" width="1.42578125" style="28" customWidth="1"/>
    <col min="7425" max="7425" width="58.5703125" style="28" customWidth="1"/>
    <col min="7426" max="7427" width="11.5703125" style="28"/>
    <col min="7428" max="7428" width="2.42578125" style="28" customWidth="1"/>
    <col min="7429" max="7429" width="11.5703125" style="28"/>
    <col min="7430" max="7430" width="9.5703125" style="28" customWidth="1"/>
    <col min="7431" max="7676" width="11.5703125" style="28"/>
    <col min="7677" max="7677" width="0.42578125" style="28" customWidth="1"/>
    <col min="7678" max="7678" width="2.5703125" style="28" customWidth="1"/>
    <col min="7679" max="7679" width="18.5703125" style="28" customWidth="1"/>
    <col min="7680" max="7680" width="1.42578125" style="28" customWidth="1"/>
    <col min="7681" max="7681" width="58.5703125" style="28" customWidth="1"/>
    <col min="7682" max="7683" width="11.5703125" style="28"/>
    <col min="7684" max="7684" width="2.42578125" style="28" customWidth="1"/>
    <col min="7685" max="7685" width="11.5703125" style="28"/>
    <col min="7686" max="7686" width="9.5703125" style="28" customWidth="1"/>
    <col min="7687" max="7932" width="11.5703125" style="28"/>
    <col min="7933" max="7933" width="0.42578125" style="28" customWidth="1"/>
    <col min="7934" max="7934" width="2.5703125" style="28" customWidth="1"/>
    <col min="7935" max="7935" width="18.5703125" style="28" customWidth="1"/>
    <col min="7936" max="7936" width="1.42578125" style="28" customWidth="1"/>
    <col min="7937" max="7937" width="58.5703125" style="28" customWidth="1"/>
    <col min="7938" max="7939" width="11.5703125" style="28"/>
    <col min="7940" max="7940" width="2.42578125" style="28" customWidth="1"/>
    <col min="7941" max="7941" width="11.5703125" style="28"/>
    <col min="7942" max="7942" width="9.5703125" style="28" customWidth="1"/>
    <col min="7943" max="8188" width="11.5703125" style="28"/>
    <col min="8189" max="8189" width="0.42578125" style="28" customWidth="1"/>
    <col min="8190" max="8190" width="2.5703125" style="28" customWidth="1"/>
    <col min="8191" max="8191" width="18.5703125" style="28" customWidth="1"/>
    <col min="8192" max="8192" width="1.42578125" style="28" customWidth="1"/>
    <col min="8193" max="8193" width="58.5703125" style="28" customWidth="1"/>
    <col min="8194" max="8195" width="11.5703125" style="28"/>
    <col min="8196" max="8196" width="2.42578125" style="28" customWidth="1"/>
    <col min="8197" max="8197" width="11.5703125" style="28"/>
    <col min="8198" max="8198" width="9.5703125" style="28" customWidth="1"/>
    <col min="8199" max="8444" width="11.5703125" style="28"/>
    <col min="8445" max="8445" width="0.42578125" style="28" customWidth="1"/>
    <col min="8446" max="8446" width="2.5703125" style="28" customWidth="1"/>
    <col min="8447" max="8447" width="18.5703125" style="28" customWidth="1"/>
    <col min="8448" max="8448" width="1.42578125" style="28" customWidth="1"/>
    <col min="8449" max="8449" width="58.5703125" style="28" customWidth="1"/>
    <col min="8450" max="8451" width="11.5703125" style="28"/>
    <col min="8452" max="8452" width="2.42578125" style="28" customWidth="1"/>
    <col min="8453" max="8453" width="11.5703125" style="28"/>
    <col min="8454" max="8454" width="9.5703125" style="28" customWidth="1"/>
    <col min="8455" max="8700" width="11.5703125" style="28"/>
    <col min="8701" max="8701" width="0.42578125" style="28" customWidth="1"/>
    <col min="8702" max="8702" width="2.5703125" style="28" customWidth="1"/>
    <col min="8703" max="8703" width="18.5703125" style="28" customWidth="1"/>
    <col min="8704" max="8704" width="1.42578125" style="28" customWidth="1"/>
    <col min="8705" max="8705" width="58.5703125" style="28" customWidth="1"/>
    <col min="8706" max="8707" width="11.5703125" style="28"/>
    <col min="8708" max="8708" width="2.42578125" style="28" customWidth="1"/>
    <col min="8709" max="8709" width="11.5703125" style="28"/>
    <col min="8710" max="8710" width="9.5703125" style="28" customWidth="1"/>
    <col min="8711" max="8956" width="11.5703125" style="28"/>
    <col min="8957" max="8957" width="0.42578125" style="28" customWidth="1"/>
    <col min="8958" max="8958" width="2.5703125" style="28" customWidth="1"/>
    <col min="8959" max="8959" width="18.5703125" style="28" customWidth="1"/>
    <col min="8960" max="8960" width="1.42578125" style="28" customWidth="1"/>
    <col min="8961" max="8961" width="58.5703125" style="28" customWidth="1"/>
    <col min="8962" max="8963" width="11.5703125" style="28"/>
    <col min="8964" max="8964" width="2.42578125" style="28" customWidth="1"/>
    <col min="8965" max="8965" width="11.5703125" style="28"/>
    <col min="8966" max="8966" width="9.5703125" style="28" customWidth="1"/>
    <col min="8967" max="9212" width="11.5703125" style="28"/>
    <col min="9213" max="9213" width="0.42578125" style="28" customWidth="1"/>
    <col min="9214" max="9214" width="2.5703125" style="28" customWidth="1"/>
    <col min="9215" max="9215" width="18.5703125" style="28" customWidth="1"/>
    <col min="9216" max="9216" width="1.42578125" style="28" customWidth="1"/>
    <col min="9217" max="9217" width="58.5703125" style="28" customWidth="1"/>
    <col min="9218" max="9219" width="11.5703125" style="28"/>
    <col min="9220" max="9220" width="2.42578125" style="28" customWidth="1"/>
    <col min="9221" max="9221" width="11.5703125" style="28"/>
    <col min="9222" max="9222" width="9.5703125" style="28" customWidth="1"/>
    <col min="9223" max="9468" width="11.5703125" style="28"/>
    <col min="9469" max="9469" width="0.42578125" style="28" customWidth="1"/>
    <col min="9470" max="9470" width="2.5703125" style="28" customWidth="1"/>
    <col min="9471" max="9471" width="18.5703125" style="28" customWidth="1"/>
    <col min="9472" max="9472" width="1.42578125" style="28" customWidth="1"/>
    <col min="9473" max="9473" width="58.5703125" style="28" customWidth="1"/>
    <col min="9474" max="9475" width="11.5703125" style="28"/>
    <col min="9476" max="9476" width="2.42578125" style="28" customWidth="1"/>
    <col min="9477" max="9477" width="11.5703125" style="28"/>
    <col min="9478" max="9478" width="9.5703125" style="28" customWidth="1"/>
    <col min="9479" max="9724" width="11.5703125" style="28"/>
    <col min="9725" max="9725" width="0.42578125" style="28" customWidth="1"/>
    <col min="9726" max="9726" width="2.5703125" style="28" customWidth="1"/>
    <col min="9727" max="9727" width="18.5703125" style="28" customWidth="1"/>
    <col min="9728" max="9728" width="1.42578125" style="28" customWidth="1"/>
    <col min="9729" max="9729" width="58.5703125" style="28" customWidth="1"/>
    <col min="9730" max="9731" width="11.5703125" style="28"/>
    <col min="9732" max="9732" width="2.42578125" style="28" customWidth="1"/>
    <col min="9733" max="9733" width="11.5703125" style="28"/>
    <col min="9734" max="9734" width="9.5703125" style="28" customWidth="1"/>
    <col min="9735" max="9980" width="11.5703125" style="28"/>
    <col min="9981" max="9981" width="0.42578125" style="28" customWidth="1"/>
    <col min="9982" max="9982" width="2.5703125" style="28" customWidth="1"/>
    <col min="9983" max="9983" width="18.5703125" style="28" customWidth="1"/>
    <col min="9984" max="9984" width="1.42578125" style="28" customWidth="1"/>
    <col min="9985" max="9985" width="58.5703125" style="28" customWidth="1"/>
    <col min="9986" max="9987" width="11.5703125" style="28"/>
    <col min="9988" max="9988" width="2.42578125" style="28" customWidth="1"/>
    <col min="9989" max="9989" width="11.5703125" style="28"/>
    <col min="9990" max="9990" width="9.5703125" style="28" customWidth="1"/>
    <col min="9991" max="10236" width="11.5703125" style="28"/>
    <col min="10237" max="10237" width="0.42578125" style="28" customWidth="1"/>
    <col min="10238" max="10238" width="2.5703125" style="28" customWidth="1"/>
    <col min="10239" max="10239" width="18.5703125" style="28" customWidth="1"/>
    <col min="10240" max="10240" width="1.42578125" style="28" customWidth="1"/>
    <col min="10241" max="10241" width="58.5703125" style="28" customWidth="1"/>
    <col min="10242" max="10243" width="11.5703125" style="28"/>
    <col min="10244" max="10244" width="2.42578125" style="28" customWidth="1"/>
    <col min="10245" max="10245" width="11.5703125" style="28"/>
    <col min="10246" max="10246" width="9.5703125" style="28" customWidth="1"/>
    <col min="10247" max="10492" width="11.5703125" style="28"/>
    <col min="10493" max="10493" width="0.42578125" style="28" customWidth="1"/>
    <col min="10494" max="10494" width="2.5703125" style="28" customWidth="1"/>
    <col min="10495" max="10495" width="18.5703125" style="28" customWidth="1"/>
    <col min="10496" max="10496" width="1.42578125" style="28" customWidth="1"/>
    <col min="10497" max="10497" width="58.5703125" style="28" customWidth="1"/>
    <col min="10498" max="10499" width="11.5703125" style="28"/>
    <col min="10500" max="10500" width="2.42578125" style="28" customWidth="1"/>
    <col min="10501" max="10501" width="11.5703125" style="28"/>
    <col min="10502" max="10502" width="9.5703125" style="28" customWidth="1"/>
    <col min="10503" max="10748" width="11.5703125" style="28"/>
    <col min="10749" max="10749" width="0.42578125" style="28" customWidth="1"/>
    <col min="10750" max="10750" width="2.5703125" style="28" customWidth="1"/>
    <col min="10751" max="10751" width="18.5703125" style="28" customWidth="1"/>
    <col min="10752" max="10752" width="1.42578125" style="28" customWidth="1"/>
    <col min="10753" max="10753" width="58.5703125" style="28" customWidth="1"/>
    <col min="10754" max="10755" width="11.5703125" style="28"/>
    <col min="10756" max="10756" width="2.42578125" style="28" customWidth="1"/>
    <col min="10757" max="10757" width="11.5703125" style="28"/>
    <col min="10758" max="10758" width="9.5703125" style="28" customWidth="1"/>
    <col min="10759" max="11004" width="11.5703125" style="28"/>
    <col min="11005" max="11005" width="0.42578125" style="28" customWidth="1"/>
    <col min="11006" max="11006" width="2.5703125" style="28" customWidth="1"/>
    <col min="11007" max="11007" width="18.5703125" style="28" customWidth="1"/>
    <col min="11008" max="11008" width="1.42578125" style="28" customWidth="1"/>
    <col min="11009" max="11009" width="58.5703125" style="28" customWidth="1"/>
    <col min="11010" max="11011" width="11.5703125" style="28"/>
    <col min="11012" max="11012" width="2.42578125" style="28" customWidth="1"/>
    <col min="11013" max="11013" width="11.5703125" style="28"/>
    <col min="11014" max="11014" width="9.5703125" style="28" customWidth="1"/>
    <col min="11015" max="11260" width="11.5703125" style="28"/>
    <col min="11261" max="11261" width="0.42578125" style="28" customWidth="1"/>
    <col min="11262" max="11262" width="2.5703125" style="28" customWidth="1"/>
    <col min="11263" max="11263" width="18.5703125" style="28" customWidth="1"/>
    <col min="11264" max="11264" width="1.42578125" style="28" customWidth="1"/>
    <col min="11265" max="11265" width="58.5703125" style="28" customWidth="1"/>
    <col min="11266" max="11267" width="11.5703125" style="28"/>
    <col min="11268" max="11268" width="2.42578125" style="28" customWidth="1"/>
    <col min="11269" max="11269" width="11.5703125" style="28"/>
    <col min="11270" max="11270" width="9.5703125" style="28" customWidth="1"/>
    <col min="11271" max="11516" width="11.5703125" style="28"/>
    <col min="11517" max="11517" width="0.42578125" style="28" customWidth="1"/>
    <col min="11518" max="11518" width="2.5703125" style="28" customWidth="1"/>
    <col min="11519" max="11519" width="18.5703125" style="28" customWidth="1"/>
    <col min="11520" max="11520" width="1.42578125" style="28" customWidth="1"/>
    <col min="11521" max="11521" width="58.5703125" style="28" customWidth="1"/>
    <col min="11522" max="11523" width="11.5703125" style="28"/>
    <col min="11524" max="11524" width="2.42578125" style="28" customWidth="1"/>
    <col min="11525" max="11525" width="11.5703125" style="28"/>
    <col min="11526" max="11526" width="9.5703125" style="28" customWidth="1"/>
    <col min="11527" max="11772" width="11.5703125" style="28"/>
    <col min="11773" max="11773" width="0.42578125" style="28" customWidth="1"/>
    <col min="11774" max="11774" width="2.5703125" style="28" customWidth="1"/>
    <col min="11775" max="11775" width="18.5703125" style="28" customWidth="1"/>
    <col min="11776" max="11776" width="1.42578125" style="28" customWidth="1"/>
    <col min="11777" max="11777" width="58.5703125" style="28" customWidth="1"/>
    <col min="11778" max="11779" width="11.5703125" style="28"/>
    <col min="11780" max="11780" width="2.42578125" style="28" customWidth="1"/>
    <col min="11781" max="11781" width="11.5703125" style="28"/>
    <col min="11782" max="11782" width="9.5703125" style="28" customWidth="1"/>
    <col min="11783" max="12028" width="11.5703125" style="28"/>
    <col min="12029" max="12029" width="0.42578125" style="28" customWidth="1"/>
    <col min="12030" max="12030" width="2.5703125" style="28" customWidth="1"/>
    <col min="12031" max="12031" width="18.5703125" style="28" customWidth="1"/>
    <col min="12032" max="12032" width="1.42578125" style="28" customWidth="1"/>
    <col min="12033" max="12033" width="58.5703125" style="28" customWidth="1"/>
    <col min="12034" max="12035" width="11.5703125" style="28"/>
    <col min="12036" max="12036" width="2.42578125" style="28" customWidth="1"/>
    <col min="12037" max="12037" width="11.5703125" style="28"/>
    <col min="12038" max="12038" width="9.5703125" style="28" customWidth="1"/>
    <col min="12039" max="12284" width="11.5703125" style="28"/>
    <col min="12285" max="12285" width="0.42578125" style="28" customWidth="1"/>
    <col min="12286" max="12286" width="2.5703125" style="28" customWidth="1"/>
    <col min="12287" max="12287" width="18.5703125" style="28" customWidth="1"/>
    <col min="12288" max="12288" width="1.42578125" style="28" customWidth="1"/>
    <col min="12289" max="12289" width="58.5703125" style="28" customWidth="1"/>
    <col min="12290" max="12291" width="11.5703125" style="28"/>
    <col min="12292" max="12292" width="2.42578125" style="28" customWidth="1"/>
    <col min="12293" max="12293" width="11.5703125" style="28"/>
    <col min="12294" max="12294" width="9.5703125" style="28" customWidth="1"/>
    <col min="12295" max="12540" width="11.5703125" style="28"/>
    <col min="12541" max="12541" width="0.42578125" style="28" customWidth="1"/>
    <col min="12542" max="12542" width="2.5703125" style="28" customWidth="1"/>
    <col min="12543" max="12543" width="18.5703125" style="28" customWidth="1"/>
    <col min="12544" max="12544" width="1.42578125" style="28" customWidth="1"/>
    <col min="12545" max="12545" width="58.5703125" style="28" customWidth="1"/>
    <col min="12546" max="12547" width="11.5703125" style="28"/>
    <col min="12548" max="12548" width="2.42578125" style="28" customWidth="1"/>
    <col min="12549" max="12549" width="11.5703125" style="28"/>
    <col min="12550" max="12550" width="9.5703125" style="28" customWidth="1"/>
    <col min="12551" max="12796" width="11.5703125" style="28"/>
    <col min="12797" max="12797" width="0.42578125" style="28" customWidth="1"/>
    <col min="12798" max="12798" width="2.5703125" style="28" customWidth="1"/>
    <col min="12799" max="12799" width="18.5703125" style="28" customWidth="1"/>
    <col min="12800" max="12800" width="1.42578125" style="28" customWidth="1"/>
    <col min="12801" max="12801" width="58.5703125" style="28" customWidth="1"/>
    <col min="12802" max="12803" width="11.5703125" style="28"/>
    <col min="12804" max="12804" width="2.42578125" style="28" customWidth="1"/>
    <col min="12805" max="12805" width="11.5703125" style="28"/>
    <col min="12806" max="12806" width="9.5703125" style="28" customWidth="1"/>
    <col min="12807" max="13052" width="11.5703125" style="28"/>
    <col min="13053" max="13053" width="0.42578125" style="28" customWidth="1"/>
    <col min="13054" max="13054" width="2.5703125" style="28" customWidth="1"/>
    <col min="13055" max="13055" width="18.5703125" style="28" customWidth="1"/>
    <col min="13056" max="13056" width="1.42578125" style="28" customWidth="1"/>
    <col min="13057" max="13057" width="58.5703125" style="28" customWidth="1"/>
    <col min="13058" max="13059" width="11.5703125" style="28"/>
    <col min="13060" max="13060" width="2.42578125" style="28" customWidth="1"/>
    <col min="13061" max="13061" width="11.5703125" style="28"/>
    <col min="13062" max="13062" width="9.5703125" style="28" customWidth="1"/>
    <col min="13063" max="13308" width="11.5703125" style="28"/>
    <col min="13309" max="13309" width="0.42578125" style="28" customWidth="1"/>
    <col min="13310" max="13310" width="2.5703125" style="28" customWidth="1"/>
    <col min="13311" max="13311" width="18.5703125" style="28" customWidth="1"/>
    <col min="13312" max="13312" width="1.42578125" style="28" customWidth="1"/>
    <col min="13313" max="13313" width="58.5703125" style="28" customWidth="1"/>
    <col min="13314" max="13315" width="11.5703125" style="28"/>
    <col min="13316" max="13316" width="2.42578125" style="28" customWidth="1"/>
    <col min="13317" max="13317" width="11.5703125" style="28"/>
    <col min="13318" max="13318" width="9.5703125" style="28" customWidth="1"/>
    <col min="13319" max="13564" width="11.5703125" style="28"/>
    <col min="13565" max="13565" width="0.42578125" style="28" customWidth="1"/>
    <col min="13566" max="13566" width="2.5703125" style="28" customWidth="1"/>
    <col min="13567" max="13567" width="18.5703125" style="28" customWidth="1"/>
    <col min="13568" max="13568" width="1.42578125" style="28" customWidth="1"/>
    <col min="13569" max="13569" width="58.5703125" style="28" customWidth="1"/>
    <col min="13570" max="13571" width="11.5703125" style="28"/>
    <col min="13572" max="13572" width="2.42578125" style="28" customWidth="1"/>
    <col min="13573" max="13573" width="11.5703125" style="28"/>
    <col min="13574" max="13574" width="9.5703125" style="28" customWidth="1"/>
    <col min="13575" max="13820" width="11.5703125" style="28"/>
    <col min="13821" max="13821" width="0.42578125" style="28" customWidth="1"/>
    <col min="13822" max="13822" width="2.5703125" style="28" customWidth="1"/>
    <col min="13823" max="13823" width="18.5703125" style="28" customWidth="1"/>
    <col min="13824" max="13824" width="1.42578125" style="28" customWidth="1"/>
    <col min="13825" max="13825" width="58.5703125" style="28" customWidth="1"/>
    <col min="13826" max="13827" width="11.5703125" style="28"/>
    <col min="13828" max="13828" width="2.42578125" style="28" customWidth="1"/>
    <col min="13829" max="13829" width="11.5703125" style="28"/>
    <col min="13830" max="13830" width="9.5703125" style="28" customWidth="1"/>
    <col min="13831" max="14076" width="11.5703125" style="28"/>
    <col min="14077" max="14077" width="0.42578125" style="28" customWidth="1"/>
    <col min="14078" max="14078" width="2.5703125" style="28" customWidth="1"/>
    <col min="14079" max="14079" width="18.5703125" style="28" customWidth="1"/>
    <col min="14080" max="14080" width="1.42578125" style="28" customWidth="1"/>
    <col min="14081" max="14081" width="58.5703125" style="28" customWidth="1"/>
    <col min="14082" max="14083" width="11.5703125" style="28"/>
    <col min="14084" max="14084" width="2.42578125" style="28" customWidth="1"/>
    <col min="14085" max="14085" width="11.5703125" style="28"/>
    <col min="14086" max="14086" width="9.5703125" style="28" customWidth="1"/>
    <col min="14087" max="14332" width="11.5703125" style="28"/>
    <col min="14333" max="14333" width="0.42578125" style="28" customWidth="1"/>
    <col min="14334" max="14334" width="2.5703125" style="28" customWidth="1"/>
    <col min="14335" max="14335" width="18.5703125" style="28" customWidth="1"/>
    <col min="14336" max="14336" width="1.42578125" style="28" customWidth="1"/>
    <col min="14337" max="14337" width="58.5703125" style="28" customWidth="1"/>
    <col min="14338" max="14339" width="11.5703125" style="28"/>
    <col min="14340" max="14340" width="2.42578125" style="28" customWidth="1"/>
    <col min="14341" max="14341" width="11.5703125" style="28"/>
    <col min="14342" max="14342" width="9.5703125" style="28" customWidth="1"/>
    <col min="14343" max="14588" width="11.5703125" style="28"/>
    <col min="14589" max="14589" width="0.42578125" style="28" customWidth="1"/>
    <col min="14590" max="14590" width="2.5703125" style="28" customWidth="1"/>
    <col min="14591" max="14591" width="18.5703125" style="28" customWidth="1"/>
    <col min="14592" max="14592" width="1.42578125" style="28" customWidth="1"/>
    <col min="14593" max="14593" width="58.5703125" style="28" customWidth="1"/>
    <col min="14594" max="14595" width="11.5703125" style="28"/>
    <col min="14596" max="14596" width="2.42578125" style="28" customWidth="1"/>
    <col min="14597" max="14597" width="11.5703125" style="28"/>
    <col min="14598" max="14598" width="9.5703125" style="28" customWidth="1"/>
    <col min="14599" max="14844" width="11.5703125" style="28"/>
    <col min="14845" max="14845" width="0.42578125" style="28" customWidth="1"/>
    <col min="14846" max="14846" width="2.5703125" style="28" customWidth="1"/>
    <col min="14847" max="14847" width="18.5703125" style="28" customWidth="1"/>
    <col min="14848" max="14848" width="1.42578125" style="28" customWidth="1"/>
    <col min="14849" max="14849" width="58.5703125" style="28" customWidth="1"/>
    <col min="14850" max="14851" width="11.5703125" style="28"/>
    <col min="14852" max="14852" width="2.42578125" style="28" customWidth="1"/>
    <col min="14853" max="14853" width="11.5703125" style="28"/>
    <col min="14854" max="14854" width="9.5703125" style="28" customWidth="1"/>
    <col min="14855" max="15100" width="11.5703125" style="28"/>
    <col min="15101" max="15101" width="0.42578125" style="28" customWidth="1"/>
    <col min="15102" max="15102" width="2.5703125" style="28" customWidth="1"/>
    <col min="15103" max="15103" width="18.5703125" style="28" customWidth="1"/>
    <col min="15104" max="15104" width="1.42578125" style="28" customWidth="1"/>
    <col min="15105" max="15105" width="58.5703125" style="28" customWidth="1"/>
    <col min="15106" max="15107" width="11.5703125" style="28"/>
    <col min="15108" max="15108" width="2.42578125" style="28" customWidth="1"/>
    <col min="15109" max="15109" width="11.5703125" style="28"/>
    <col min="15110" max="15110" width="9.5703125" style="28" customWidth="1"/>
    <col min="15111" max="15356" width="11.5703125" style="28"/>
    <col min="15357" max="15357" width="0.42578125" style="28" customWidth="1"/>
    <col min="15358" max="15358" width="2.5703125" style="28" customWidth="1"/>
    <col min="15359" max="15359" width="18.5703125" style="28" customWidth="1"/>
    <col min="15360" max="15360" width="1.42578125" style="28" customWidth="1"/>
    <col min="15361" max="15361" width="58.5703125" style="28" customWidth="1"/>
    <col min="15362" max="15363" width="11.5703125" style="28"/>
    <col min="15364" max="15364" width="2.42578125" style="28" customWidth="1"/>
    <col min="15365" max="15365" width="11.5703125" style="28"/>
    <col min="15366" max="15366" width="9.5703125" style="28" customWidth="1"/>
    <col min="15367" max="15612" width="11.5703125" style="28"/>
    <col min="15613" max="15613" width="0.42578125" style="28" customWidth="1"/>
    <col min="15614" max="15614" width="2.5703125" style="28" customWidth="1"/>
    <col min="15615" max="15615" width="18.5703125" style="28" customWidth="1"/>
    <col min="15616" max="15616" width="1.42578125" style="28" customWidth="1"/>
    <col min="15617" max="15617" width="58.5703125" style="28" customWidth="1"/>
    <col min="15618" max="15619" width="11.5703125" style="28"/>
    <col min="15620" max="15620" width="2.42578125" style="28" customWidth="1"/>
    <col min="15621" max="15621" width="11.5703125" style="28"/>
    <col min="15622" max="15622" width="9.5703125" style="28" customWidth="1"/>
    <col min="15623" max="15868" width="11.5703125" style="28"/>
    <col min="15869" max="15869" width="0.42578125" style="28" customWidth="1"/>
    <col min="15870" max="15870" width="2.5703125" style="28" customWidth="1"/>
    <col min="15871" max="15871" width="18.5703125" style="28" customWidth="1"/>
    <col min="15872" max="15872" width="1.42578125" style="28" customWidth="1"/>
    <col min="15873" max="15873" width="58.5703125" style="28" customWidth="1"/>
    <col min="15874" max="15875" width="11.5703125" style="28"/>
    <col min="15876" max="15876" width="2.42578125" style="28" customWidth="1"/>
    <col min="15877" max="15877" width="11.5703125" style="28"/>
    <col min="15878" max="15878" width="9.5703125" style="28" customWidth="1"/>
    <col min="15879" max="16124" width="11.5703125" style="28"/>
    <col min="16125" max="16125" width="0.42578125" style="28" customWidth="1"/>
    <col min="16126" max="16126" width="2.5703125" style="28" customWidth="1"/>
    <col min="16127" max="16127" width="18.5703125" style="28" customWidth="1"/>
    <col min="16128" max="16128" width="1.42578125" style="28" customWidth="1"/>
    <col min="16129" max="16129" width="58.5703125" style="28" customWidth="1"/>
    <col min="16130" max="16131" width="11.5703125" style="28"/>
    <col min="16132" max="16132" width="2.42578125" style="28" customWidth="1"/>
    <col min="16133" max="16133" width="11.5703125" style="28"/>
    <col min="16134" max="16134" width="9.5703125" style="28" customWidth="1"/>
    <col min="16135" max="16384" width="11.5703125" style="28"/>
  </cols>
  <sheetData>
    <row r="1" spans="2:6" s="29" customFormat="1" ht="0.75" customHeight="1"/>
    <row r="2" spans="2:6" s="29" customFormat="1" ht="21" customHeight="1">
      <c r="E2" s="27" t="s">
        <v>19</v>
      </c>
    </row>
    <row r="3" spans="2:6" s="29" customFormat="1" ht="15" customHeight="1">
      <c r="E3" s="43" t="s">
        <v>129</v>
      </c>
    </row>
    <row r="4" spans="2:6" s="31" customFormat="1" ht="20.25" customHeight="1">
      <c r="B4" s="39"/>
      <c r="C4" s="25" t="s">
        <v>39</v>
      </c>
    </row>
    <row r="5" spans="2:6" s="31" customFormat="1" ht="12.75" customHeight="1">
      <c r="B5" s="39"/>
      <c r="C5" s="42"/>
    </row>
    <row r="6" spans="2:6" s="31" customFormat="1" ht="13.5" customHeight="1">
      <c r="B6" s="39"/>
      <c r="C6" s="38"/>
      <c r="D6" s="37"/>
      <c r="E6" s="37"/>
    </row>
    <row r="7" spans="2:6" s="31" customFormat="1" ht="12.75" customHeight="1">
      <c r="B7" s="39"/>
      <c r="C7" s="243" t="s">
        <v>132</v>
      </c>
      <c r="D7" s="37"/>
      <c r="E7" s="41"/>
    </row>
    <row r="8" spans="2:6" s="31" customFormat="1" ht="12.75" customHeight="1">
      <c r="B8" s="39"/>
      <c r="C8" s="243"/>
      <c r="D8" s="37"/>
      <c r="E8" s="41"/>
    </row>
    <row r="9" spans="2:6" s="31" customFormat="1" ht="12.75" customHeight="1">
      <c r="B9" s="39"/>
      <c r="C9" s="243"/>
      <c r="D9" s="37"/>
      <c r="E9" s="41"/>
    </row>
    <row r="10" spans="2:6" s="31" customFormat="1" ht="12.75" customHeight="1">
      <c r="B10" s="39"/>
      <c r="C10" s="183" t="str">
        <f>CONCATENATE(TEXT(Dat_01!B47,"0,0")," MW")</f>
        <v>1,2 MW</v>
      </c>
      <c r="D10" s="37"/>
      <c r="E10" s="41"/>
      <c r="F10" s="44"/>
    </row>
    <row r="11" spans="2:6" s="31" customFormat="1" ht="12.75" customHeight="1">
      <c r="B11" s="39"/>
      <c r="C11" s="32"/>
      <c r="D11" s="37"/>
      <c r="E11" s="41"/>
      <c r="F11" s="44"/>
    </row>
    <row r="12" spans="2:6" s="31" customFormat="1" ht="12.75" customHeight="1">
      <c r="B12" s="39"/>
      <c r="D12" s="37"/>
      <c r="E12" s="37"/>
      <c r="F12" s="44"/>
    </row>
    <row r="13" spans="2:6" s="31" customFormat="1" ht="12.75" customHeight="1">
      <c r="B13" s="39"/>
      <c r="C13" s="40"/>
      <c r="D13" s="37"/>
      <c r="E13" s="37"/>
      <c r="F13" s="44"/>
    </row>
    <row r="14" spans="2:6" s="31" customFormat="1" ht="12.75" customHeight="1">
      <c r="B14" s="39"/>
      <c r="C14" s="40"/>
      <c r="D14" s="37"/>
      <c r="E14" s="37"/>
      <c r="F14" s="44"/>
    </row>
    <row r="15" spans="2:6" s="31" customFormat="1" ht="12.75" customHeight="1">
      <c r="B15" s="39"/>
      <c r="C15" s="40"/>
      <c r="D15" s="37"/>
      <c r="E15" s="37"/>
      <c r="F15" s="44"/>
    </row>
    <row r="16" spans="2:6" s="31" customFormat="1" ht="12.75" customHeight="1">
      <c r="B16" s="39"/>
      <c r="C16" s="40"/>
      <c r="D16" s="37"/>
      <c r="E16" s="37"/>
      <c r="F16" s="44"/>
    </row>
    <row r="17" spans="2:6" s="31" customFormat="1" ht="12.75" customHeight="1">
      <c r="B17" s="39"/>
      <c r="D17" s="37"/>
      <c r="E17" s="37"/>
      <c r="F17" s="44"/>
    </row>
    <row r="18" spans="2:6" s="31" customFormat="1" ht="12.75" customHeight="1">
      <c r="B18" s="39"/>
      <c r="D18" s="37"/>
      <c r="E18" s="37"/>
      <c r="F18" s="44"/>
    </row>
    <row r="19" spans="2:6" s="31" customFormat="1" ht="12.75" customHeight="1">
      <c r="B19" s="39"/>
      <c r="C19" s="40"/>
      <c r="D19" s="37"/>
      <c r="E19" s="37"/>
      <c r="F19" s="44"/>
    </row>
    <row r="20" spans="2:6" s="31" customFormat="1" ht="12.75" customHeight="1">
      <c r="B20" s="39"/>
      <c r="C20" s="38"/>
      <c r="D20" s="37"/>
      <c r="E20" s="37"/>
      <c r="F20" s="44"/>
    </row>
    <row r="21" spans="2:6" s="31" customFormat="1" ht="12.75" customHeight="1">
      <c r="B21" s="39"/>
      <c r="C21" s="38"/>
      <c r="D21" s="37"/>
      <c r="E21" s="37"/>
      <c r="F21" s="44"/>
    </row>
    <row r="22" spans="2:6" s="31" customFormat="1" ht="12.75" customHeight="1">
      <c r="B22" s="39"/>
      <c r="C22" s="38"/>
      <c r="D22" s="37"/>
      <c r="E22" s="37"/>
    </row>
    <row r="23" spans="2:6" ht="12.75" customHeight="1">
      <c r="C23" s="33"/>
      <c r="E23" s="36"/>
    </row>
    <row r="24" spans="2:6" ht="12.75" customHeight="1">
      <c r="C24" s="33"/>
      <c r="E24" s="35"/>
    </row>
    <row r="25" spans="2:6" ht="12.75" customHeight="1">
      <c r="C25" s="33"/>
      <c r="E25" s="34"/>
    </row>
    <row r="26" spans="2:6" ht="12.75" customHeight="1">
      <c r="C26" s="33"/>
    </row>
    <row r="27" spans="2:6">
      <c r="C27" s="33"/>
    </row>
    <row r="28" spans="2:6">
      <c r="C28" s="64"/>
      <c r="F28" s="44"/>
    </row>
    <row r="29" spans="2:6">
      <c r="C29" s="64"/>
      <c r="F29" s="44"/>
    </row>
    <row r="30" spans="2:6">
      <c r="C30" s="32"/>
      <c r="F30" s="44"/>
    </row>
    <row r="31" spans="2:6">
      <c r="F31" s="44"/>
    </row>
    <row r="32" spans="2:6" ht="12.75" customHeight="1">
      <c r="F32" s="44"/>
    </row>
    <row r="33" spans="5:8">
      <c r="F33" s="44"/>
    </row>
    <row r="34" spans="5:8">
      <c r="F34" s="44"/>
    </row>
    <row r="35" spans="5:8">
      <c r="F35" s="44"/>
    </row>
    <row r="36" spans="5:8">
      <c r="F36" s="44"/>
    </row>
    <row r="37" spans="5:8">
      <c r="F37" s="44"/>
    </row>
    <row r="38" spans="5:8">
      <c r="F38" s="44"/>
    </row>
    <row r="39" spans="5:8">
      <c r="E39" s="36"/>
      <c r="F39" s="44"/>
    </row>
    <row r="40" spans="5:8">
      <c r="F40" s="44"/>
      <c r="H40" s="184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4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153A0-52DF-4522-AC17-9688E9B2634F}">
  <sheetPr codeName="Hoja15">
    <pageSetUpPr fitToPage="1"/>
  </sheetPr>
  <dimension ref="A1:M43"/>
  <sheetViews>
    <sheetView showGridLines="0" showRowColHeaders="0" zoomScaleNormal="100" workbookViewId="0"/>
  </sheetViews>
  <sheetFormatPr baseColWidth="10" defaultColWidth="11.42578125" defaultRowHeight="12.75"/>
  <cols>
    <col min="1" max="1" width="2.7109375" style="3" customWidth="1"/>
    <col min="2" max="2" width="23.7109375" style="3" customWidth="1"/>
    <col min="3" max="3" width="1.28515625" style="3" customWidth="1"/>
    <col min="4" max="4" width="105.7109375" style="3" customWidth="1"/>
    <col min="5" max="5" width="11.42578125" style="198"/>
    <col min="6" max="6" width="7.7109375" style="3" bestFit="1" customWidth="1"/>
    <col min="7" max="7" width="11.42578125" style="187"/>
    <col min="8" max="8" width="15.7109375" style="187" customWidth="1"/>
    <col min="9" max="16384" width="11.42578125" style="187"/>
  </cols>
  <sheetData>
    <row r="1" spans="1:13" s="3" customFormat="1" ht="21" customHeight="1">
      <c r="D1" s="27" t="s">
        <v>19</v>
      </c>
    </row>
    <row r="2" spans="1:13" s="3" customFormat="1" ht="15" customHeight="1">
      <c r="D2" s="26" t="s">
        <v>147</v>
      </c>
    </row>
    <row r="3" spans="1:13" s="185" customFormat="1" ht="20.25" customHeight="1">
      <c r="A3" s="3"/>
      <c r="B3" s="25" t="s">
        <v>131</v>
      </c>
      <c r="D3" s="65"/>
      <c r="E3" s="3"/>
      <c r="F3" s="3"/>
    </row>
    <row r="4" spans="1:13">
      <c r="A4" s="186"/>
      <c r="B4" s="54"/>
      <c r="C4" s="185"/>
      <c r="D4" s="185"/>
      <c r="E4" s="185"/>
      <c r="F4" s="186"/>
    </row>
    <row r="5" spans="1:13">
      <c r="A5" s="186"/>
      <c r="B5" s="188"/>
      <c r="C5" s="185"/>
      <c r="D5" s="185"/>
      <c r="E5" s="185"/>
      <c r="F5" s="186"/>
    </row>
    <row r="6" spans="1:13">
      <c r="A6" s="186"/>
      <c r="B6" s="189"/>
      <c r="C6" s="190"/>
      <c r="D6" s="190"/>
      <c r="E6" s="185"/>
      <c r="F6" s="187"/>
      <c r="G6" s="191"/>
      <c r="H6" s="192"/>
      <c r="I6" s="192"/>
      <c r="J6" s="192"/>
      <c r="K6" s="192"/>
      <c r="L6" s="192"/>
      <c r="M6" s="192"/>
    </row>
    <row r="7" spans="1:13" ht="12.75" customHeight="1">
      <c r="A7" s="186"/>
      <c r="B7" s="243" t="s">
        <v>137</v>
      </c>
      <c r="C7" s="190"/>
      <c r="D7" s="193"/>
      <c r="E7" s="185"/>
      <c r="F7" s="194"/>
    </row>
    <row r="8" spans="1:13" ht="12.75" customHeight="1">
      <c r="A8" s="186"/>
      <c r="B8" s="243"/>
      <c r="C8" s="190"/>
      <c r="D8" s="193"/>
      <c r="E8" s="185"/>
      <c r="F8" s="194"/>
    </row>
    <row r="9" spans="1:13">
      <c r="A9" s="187"/>
      <c r="B9" s="243"/>
      <c r="C9" s="190"/>
      <c r="D9" s="193"/>
      <c r="E9" s="185"/>
      <c r="F9" s="195"/>
    </row>
    <row r="10" spans="1:13">
      <c r="A10" s="187"/>
      <c r="B10" s="33" t="s">
        <v>93</v>
      </c>
      <c r="C10" s="190"/>
      <c r="D10" s="193"/>
      <c r="E10" s="185"/>
      <c r="F10" s="195"/>
    </row>
    <row r="11" spans="1:13">
      <c r="A11" s="187"/>
      <c r="B11" s="196"/>
      <c r="C11" s="190"/>
      <c r="D11" s="190"/>
      <c r="E11" s="185"/>
      <c r="F11" s="195"/>
    </row>
    <row r="12" spans="1:13">
      <c r="A12" s="187"/>
      <c r="B12" s="196"/>
      <c r="C12" s="190"/>
      <c r="D12" s="190"/>
      <c r="E12" s="185"/>
      <c r="F12" s="195"/>
    </row>
    <row r="13" spans="1:13">
      <c r="A13" s="187"/>
      <c r="B13" s="196"/>
      <c r="C13" s="190"/>
      <c r="D13" s="190"/>
      <c r="E13" s="185"/>
      <c r="F13" s="195"/>
    </row>
    <row r="14" spans="1:13">
      <c r="A14" s="187"/>
      <c r="B14" s="189"/>
      <c r="C14" s="190"/>
      <c r="D14" s="190"/>
      <c r="E14" s="185"/>
      <c r="F14" s="195"/>
    </row>
    <row r="15" spans="1:13">
      <c r="A15" s="187"/>
      <c r="B15" s="189"/>
      <c r="C15" s="190"/>
      <c r="D15" s="190"/>
      <c r="E15" s="185"/>
      <c r="F15" s="195"/>
    </row>
    <row r="16" spans="1:13">
      <c r="A16" s="187"/>
      <c r="B16" s="189"/>
      <c r="C16" s="190"/>
      <c r="D16" s="190"/>
      <c r="E16" s="185"/>
      <c r="F16" s="195"/>
    </row>
    <row r="17" spans="1:6">
      <c r="A17" s="187"/>
      <c r="B17" s="189"/>
      <c r="C17" s="190"/>
      <c r="D17" s="190"/>
      <c r="E17" s="185"/>
      <c r="F17" s="195"/>
    </row>
    <row r="18" spans="1:6">
      <c r="A18" s="187"/>
      <c r="B18" s="189"/>
      <c r="C18" s="190"/>
      <c r="D18" s="190"/>
      <c r="E18" s="185"/>
      <c r="F18" s="195"/>
    </row>
    <row r="19" spans="1:6">
      <c r="A19" s="187"/>
      <c r="B19" s="189"/>
      <c r="C19" s="190"/>
      <c r="D19" s="190"/>
      <c r="E19" s="185"/>
      <c r="F19" s="195"/>
    </row>
    <row r="20" spans="1:6">
      <c r="A20" s="187"/>
      <c r="B20" s="189"/>
      <c r="C20" s="190"/>
      <c r="D20" s="190"/>
      <c r="E20" s="185"/>
      <c r="F20" s="195"/>
    </row>
    <row r="21" spans="1:6">
      <c r="A21" s="187"/>
      <c r="B21" s="189"/>
      <c r="C21" s="190"/>
      <c r="D21" s="190"/>
      <c r="E21" s="185"/>
      <c r="F21" s="195"/>
    </row>
    <row r="28" spans="1:6">
      <c r="D28" s="197"/>
    </row>
    <row r="30" spans="1:6">
      <c r="E30" s="199"/>
    </row>
    <row r="31" spans="1:6">
      <c r="E31" s="199"/>
    </row>
    <row r="32" spans="1:6">
      <c r="E32" s="199"/>
    </row>
    <row r="33" spans="5:11">
      <c r="E33" s="199"/>
    </row>
    <row r="34" spans="5:11">
      <c r="E34" s="199"/>
    </row>
    <row r="35" spans="5:11">
      <c r="E35" s="199"/>
    </row>
    <row r="40" spans="5:11">
      <c r="E40" s="3"/>
    </row>
    <row r="41" spans="5:11">
      <c r="E41" s="3"/>
    </row>
    <row r="42" spans="5:11">
      <c r="E42" s="3"/>
      <c r="K42" s="200"/>
    </row>
    <row r="43" spans="5:11">
      <c r="E43" s="3"/>
    </row>
  </sheetData>
  <mergeCells count="1">
    <mergeCell ref="B7:B9"/>
  </mergeCells>
  <printOptions horizontalCentered="1" verticalCentered="1"/>
  <pageMargins left="0.78740157480314965" right="0.78740157480314965" top="0.98425196850393704" bottom="0.98425196850393704" header="0" footer="0"/>
  <pageSetup paperSize="9" scale="61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9D56C-9EFA-48D2-ADF4-8229016A2F99}">
  <sheetPr>
    <pageSetUpPr autoPageBreaks="0"/>
  </sheetPr>
  <dimension ref="A1:N24"/>
  <sheetViews>
    <sheetView showGridLines="0" workbookViewId="0">
      <selection activeCell="B2" sqref="B2"/>
    </sheetView>
  </sheetViews>
  <sheetFormatPr baseColWidth="10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26.7109375" style="206" customWidth="1"/>
    <col min="6" max="6" width="26.7109375" style="213" customWidth="1"/>
    <col min="7" max="8" width="11.42578125" style="206"/>
    <col min="9" max="12" width="11.5703125" style="206" bestFit="1" customWidth="1"/>
    <col min="13" max="13" width="12.42578125" style="206" bestFit="1" customWidth="1"/>
    <col min="14" max="14" width="11.5703125" style="206" bestFit="1" customWidth="1"/>
    <col min="15" max="241" width="11.42578125" style="206"/>
    <col min="242" max="242" width="0.42578125" style="206" customWidth="1"/>
    <col min="243" max="243" width="2.5703125" style="206" customWidth="1"/>
    <col min="244" max="244" width="15.42578125" style="206" customWidth="1"/>
    <col min="245" max="245" width="1.42578125" style="206" customWidth="1"/>
    <col min="246" max="246" width="27.5703125" style="206" customWidth="1"/>
    <col min="247" max="247" width="6.5703125" style="206" customWidth="1"/>
    <col min="248" max="248" width="1.5703125" style="206" customWidth="1"/>
    <col min="249" max="249" width="10.5703125" style="206" customWidth="1"/>
    <col min="250" max="250" width="5.5703125" style="206" customWidth="1"/>
    <col min="251" max="251" width="1.5703125" style="206" customWidth="1"/>
    <col min="252" max="252" width="10.5703125" style="206" customWidth="1"/>
    <col min="253" max="253" width="6.5703125" style="206" customWidth="1"/>
    <col min="254" max="254" width="1.5703125" style="206" customWidth="1"/>
    <col min="255" max="255" width="10.5703125" style="206" customWidth="1"/>
    <col min="256" max="256" width="9.5703125" style="206" customWidth="1"/>
    <col min="257" max="257" width="13.42578125" style="206" bestFit="1" customWidth="1"/>
    <col min="258" max="258" width="7.5703125" style="206" customWidth="1"/>
    <col min="259" max="259" width="11.42578125" style="206"/>
    <col min="260" max="260" width="13.42578125" style="206" bestFit="1" customWidth="1"/>
    <col min="261" max="497" width="11.42578125" style="206"/>
    <col min="498" max="498" width="0.42578125" style="206" customWidth="1"/>
    <col min="499" max="499" width="2.5703125" style="206" customWidth="1"/>
    <col min="500" max="500" width="15.42578125" style="206" customWidth="1"/>
    <col min="501" max="501" width="1.42578125" style="206" customWidth="1"/>
    <col min="502" max="502" width="27.5703125" style="206" customWidth="1"/>
    <col min="503" max="503" width="6.5703125" style="206" customWidth="1"/>
    <col min="504" max="504" width="1.5703125" style="206" customWidth="1"/>
    <col min="505" max="505" width="10.5703125" style="206" customWidth="1"/>
    <col min="506" max="506" width="5.5703125" style="206" customWidth="1"/>
    <col min="507" max="507" width="1.5703125" style="206" customWidth="1"/>
    <col min="508" max="508" width="10.5703125" style="206" customWidth="1"/>
    <col min="509" max="509" width="6.5703125" style="206" customWidth="1"/>
    <col min="510" max="510" width="1.5703125" style="206" customWidth="1"/>
    <col min="511" max="511" width="10.5703125" style="206" customWidth="1"/>
    <col min="512" max="512" width="9.5703125" style="206" customWidth="1"/>
    <col min="513" max="513" width="13.42578125" style="206" bestFit="1" customWidth="1"/>
    <col min="514" max="514" width="7.5703125" style="206" customWidth="1"/>
    <col min="515" max="515" width="11.42578125" style="206"/>
    <col min="516" max="516" width="13.42578125" style="206" bestFit="1" customWidth="1"/>
    <col min="517" max="753" width="11.42578125" style="206"/>
    <col min="754" max="754" width="0.42578125" style="206" customWidth="1"/>
    <col min="755" max="755" width="2.5703125" style="206" customWidth="1"/>
    <col min="756" max="756" width="15.42578125" style="206" customWidth="1"/>
    <col min="757" max="757" width="1.42578125" style="206" customWidth="1"/>
    <col min="758" max="758" width="27.5703125" style="206" customWidth="1"/>
    <col min="759" max="759" width="6.5703125" style="206" customWidth="1"/>
    <col min="760" max="760" width="1.5703125" style="206" customWidth="1"/>
    <col min="761" max="761" width="10.5703125" style="206" customWidth="1"/>
    <col min="762" max="762" width="5.5703125" style="206" customWidth="1"/>
    <col min="763" max="763" width="1.5703125" style="206" customWidth="1"/>
    <col min="764" max="764" width="10.5703125" style="206" customWidth="1"/>
    <col min="765" max="765" width="6.5703125" style="206" customWidth="1"/>
    <col min="766" max="766" width="1.5703125" style="206" customWidth="1"/>
    <col min="767" max="767" width="10.5703125" style="206" customWidth="1"/>
    <col min="768" max="768" width="9.5703125" style="206" customWidth="1"/>
    <col min="769" max="769" width="13.42578125" style="206" bestFit="1" customWidth="1"/>
    <col min="770" max="770" width="7.5703125" style="206" customWidth="1"/>
    <col min="771" max="771" width="11.42578125" style="206"/>
    <col min="772" max="772" width="13.42578125" style="206" bestFit="1" customWidth="1"/>
    <col min="773" max="1009" width="11.42578125" style="206"/>
    <col min="1010" max="1010" width="0.42578125" style="206" customWidth="1"/>
    <col min="1011" max="1011" width="2.5703125" style="206" customWidth="1"/>
    <col min="1012" max="1012" width="15.42578125" style="206" customWidth="1"/>
    <col min="1013" max="1013" width="1.42578125" style="206" customWidth="1"/>
    <col min="1014" max="1014" width="27.5703125" style="206" customWidth="1"/>
    <col min="1015" max="1015" width="6.5703125" style="206" customWidth="1"/>
    <col min="1016" max="1016" width="1.5703125" style="206" customWidth="1"/>
    <col min="1017" max="1017" width="10.5703125" style="206" customWidth="1"/>
    <col min="1018" max="1018" width="5.5703125" style="206" customWidth="1"/>
    <col min="1019" max="1019" width="1.5703125" style="206" customWidth="1"/>
    <col min="1020" max="1020" width="10.5703125" style="206" customWidth="1"/>
    <col min="1021" max="1021" width="6.5703125" style="206" customWidth="1"/>
    <col min="1022" max="1022" width="1.5703125" style="206" customWidth="1"/>
    <col min="1023" max="1023" width="10.5703125" style="206" customWidth="1"/>
    <col min="1024" max="1024" width="9.5703125" style="206" customWidth="1"/>
    <col min="1025" max="1025" width="13.42578125" style="206" bestFit="1" customWidth="1"/>
    <col min="1026" max="1026" width="7.5703125" style="206" customWidth="1"/>
    <col min="1027" max="1027" width="11.42578125" style="206"/>
    <col min="1028" max="1028" width="13.42578125" style="206" bestFit="1" customWidth="1"/>
    <col min="1029" max="1265" width="11.42578125" style="206"/>
    <col min="1266" max="1266" width="0.42578125" style="206" customWidth="1"/>
    <col min="1267" max="1267" width="2.5703125" style="206" customWidth="1"/>
    <col min="1268" max="1268" width="15.42578125" style="206" customWidth="1"/>
    <col min="1269" max="1269" width="1.42578125" style="206" customWidth="1"/>
    <col min="1270" max="1270" width="27.5703125" style="206" customWidth="1"/>
    <col min="1271" max="1271" width="6.5703125" style="206" customWidth="1"/>
    <col min="1272" max="1272" width="1.5703125" style="206" customWidth="1"/>
    <col min="1273" max="1273" width="10.5703125" style="206" customWidth="1"/>
    <col min="1274" max="1274" width="5.5703125" style="206" customWidth="1"/>
    <col min="1275" max="1275" width="1.5703125" style="206" customWidth="1"/>
    <col min="1276" max="1276" width="10.5703125" style="206" customWidth="1"/>
    <col min="1277" max="1277" width="6.5703125" style="206" customWidth="1"/>
    <col min="1278" max="1278" width="1.5703125" style="206" customWidth="1"/>
    <col min="1279" max="1279" width="10.5703125" style="206" customWidth="1"/>
    <col min="1280" max="1280" width="9.5703125" style="206" customWidth="1"/>
    <col min="1281" max="1281" width="13.42578125" style="206" bestFit="1" customWidth="1"/>
    <col min="1282" max="1282" width="7.5703125" style="206" customWidth="1"/>
    <col min="1283" max="1283" width="11.42578125" style="206"/>
    <col min="1284" max="1284" width="13.42578125" style="206" bestFit="1" customWidth="1"/>
    <col min="1285" max="1521" width="11.42578125" style="206"/>
    <col min="1522" max="1522" width="0.42578125" style="206" customWidth="1"/>
    <col min="1523" max="1523" width="2.5703125" style="206" customWidth="1"/>
    <col min="1524" max="1524" width="15.42578125" style="206" customWidth="1"/>
    <col min="1525" max="1525" width="1.42578125" style="206" customWidth="1"/>
    <col min="1526" max="1526" width="27.5703125" style="206" customWidth="1"/>
    <col min="1527" max="1527" width="6.5703125" style="206" customWidth="1"/>
    <col min="1528" max="1528" width="1.5703125" style="206" customWidth="1"/>
    <col min="1529" max="1529" width="10.5703125" style="206" customWidth="1"/>
    <col min="1530" max="1530" width="5.5703125" style="206" customWidth="1"/>
    <col min="1531" max="1531" width="1.5703125" style="206" customWidth="1"/>
    <col min="1532" max="1532" width="10.5703125" style="206" customWidth="1"/>
    <col min="1533" max="1533" width="6.5703125" style="206" customWidth="1"/>
    <col min="1534" max="1534" width="1.5703125" style="206" customWidth="1"/>
    <col min="1535" max="1535" width="10.5703125" style="206" customWidth="1"/>
    <col min="1536" max="1536" width="9.5703125" style="206" customWidth="1"/>
    <col min="1537" max="1537" width="13.42578125" style="206" bestFit="1" customWidth="1"/>
    <col min="1538" max="1538" width="7.5703125" style="206" customWidth="1"/>
    <col min="1539" max="1539" width="11.42578125" style="206"/>
    <col min="1540" max="1540" width="13.42578125" style="206" bestFit="1" customWidth="1"/>
    <col min="1541" max="1777" width="11.42578125" style="206"/>
    <col min="1778" max="1778" width="0.42578125" style="206" customWidth="1"/>
    <col min="1779" max="1779" width="2.5703125" style="206" customWidth="1"/>
    <col min="1780" max="1780" width="15.42578125" style="206" customWidth="1"/>
    <col min="1781" max="1781" width="1.42578125" style="206" customWidth="1"/>
    <col min="1782" max="1782" width="27.5703125" style="206" customWidth="1"/>
    <col min="1783" max="1783" width="6.5703125" style="206" customWidth="1"/>
    <col min="1784" max="1784" width="1.5703125" style="206" customWidth="1"/>
    <col min="1785" max="1785" width="10.5703125" style="206" customWidth="1"/>
    <col min="1786" max="1786" width="5.5703125" style="206" customWidth="1"/>
    <col min="1787" max="1787" width="1.5703125" style="206" customWidth="1"/>
    <col min="1788" max="1788" width="10.5703125" style="206" customWidth="1"/>
    <col min="1789" max="1789" width="6.5703125" style="206" customWidth="1"/>
    <col min="1790" max="1790" width="1.5703125" style="206" customWidth="1"/>
    <col min="1791" max="1791" width="10.5703125" style="206" customWidth="1"/>
    <col min="1792" max="1792" width="9.5703125" style="206" customWidth="1"/>
    <col min="1793" max="1793" width="13.42578125" style="206" bestFit="1" customWidth="1"/>
    <col min="1794" max="1794" width="7.5703125" style="206" customWidth="1"/>
    <col min="1795" max="1795" width="11.42578125" style="206"/>
    <col min="1796" max="1796" width="13.42578125" style="206" bestFit="1" customWidth="1"/>
    <col min="1797" max="2033" width="11.42578125" style="206"/>
    <col min="2034" max="2034" width="0.42578125" style="206" customWidth="1"/>
    <col min="2035" max="2035" width="2.5703125" style="206" customWidth="1"/>
    <col min="2036" max="2036" width="15.42578125" style="206" customWidth="1"/>
    <col min="2037" max="2037" width="1.42578125" style="206" customWidth="1"/>
    <col min="2038" max="2038" width="27.5703125" style="206" customWidth="1"/>
    <col min="2039" max="2039" width="6.5703125" style="206" customWidth="1"/>
    <col min="2040" max="2040" width="1.5703125" style="206" customWidth="1"/>
    <col min="2041" max="2041" width="10.5703125" style="206" customWidth="1"/>
    <col min="2042" max="2042" width="5.5703125" style="206" customWidth="1"/>
    <col min="2043" max="2043" width="1.5703125" style="206" customWidth="1"/>
    <col min="2044" max="2044" width="10.5703125" style="206" customWidth="1"/>
    <col min="2045" max="2045" width="6.5703125" style="206" customWidth="1"/>
    <col min="2046" max="2046" width="1.5703125" style="206" customWidth="1"/>
    <col min="2047" max="2047" width="10.5703125" style="206" customWidth="1"/>
    <col min="2048" max="2048" width="9.5703125" style="206" customWidth="1"/>
    <col min="2049" max="2049" width="13.42578125" style="206" bestFit="1" customWidth="1"/>
    <col min="2050" max="2050" width="7.5703125" style="206" customWidth="1"/>
    <col min="2051" max="2051" width="11.42578125" style="206"/>
    <col min="2052" max="2052" width="13.42578125" style="206" bestFit="1" customWidth="1"/>
    <col min="2053" max="2289" width="11.42578125" style="206"/>
    <col min="2290" max="2290" width="0.42578125" style="206" customWidth="1"/>
    <col min="2291" max="2291" width="2.5703125" style="206" customWidth="1"/>
    <col min="2292" max="2292" width="15.42578125" style="206" customWidth="1"/>
    <col min="2293" max="2293" width="1.42578125" style="206" customWidth="1"/>
    <col min="2294" max="2294" width="27.5703125" style="206" customWidth="1"/>
    <col min="2295" max="2295" width="6.5703125" style="206" customWidth="1"/>
    <col min="2296" max="2296" width="1.5703125" style="206" customWidth="1"/>
    <col min="2297" max="2297" width="10.5703125" style="206" customWidth="1"/>
    <col min="2298" max="2298" width="5.5703125" style="206" customWidth="1"/>
    <col min="2299" max="2299" width="1.5703125" style="206" customWidth="1"/>
    <col min="2300" max="2300" width="10.5703125" style="206" customWidth="1"/>
    <col min="2301" max="2301" width="6.5703125" style="206" customWidth="1"/>
    <col min="2302" max="2302" width="1.5703125" style="206" customWidth="1"/>
    <col min="2303" max="2303" width="10.5703125" style="206" customWidth="1"/>
    <col min="2304" max="2304" width="9.5703125" style="206" customWidth="1"/>
    <col min="2305" max="2305" width="13.42578125" style="206" bestFit="1" customWidth="1"/>
    <col min="2306" max="2306" width="7.5703125" style="206" customWidth="1"/>
    <col min="2307" max="2307" width="11.42578125" style="206"/>
    <col min="2308" max="2308" width="13.42578125" style="206" bestFit="1" customWidth="1"/>
    <col min="2309" max="2545" width="11.42578125" style="206"/>
    <col min="2546" max="2546" width="0.42578125" style="206" customWidth="1"/>
    <col min="2547" max="2547" width="2.5703125" style="206" customWidth="1"/>
    <col min="2548" max="2548" width="15.42578125" style="206" customWidth="1"/>
    <col min="2549" max="2549" width="1.42578125" style="206" customWidth="1"/>
    <col min="2550" max="2550" width="27.5703125" style="206" customWidth="1"/>
    <col min="2551" max="2551" width="6.5703125" style="206" customWidth="1"/>
    <col min="2552" max="2552" width="1.5703125" style="206" customWidth="1"/>
    <col min="2553" max="2553" width="10.5703125" style="206" customWidth="1"/>
    <col min="2554" max="2554" width="5.5703125" style="206" customWidth="1"/>
    <col min="2555" max="2555" width="1.5703125" style="206" customWidth="1"/>
    <col min="2556" max="2556" width="10.5703125" style="206" customWidth="1"/>
    <col min="2557" max="2557" width="6.5703125" style="206" customWidth="1"/>
    <col min="2558" max="2558" width="1.5703125" style="206" customWidth="1"/>
    <col min="2559" max="2559" width="10.5703125" style="206" customWidth="1"/>
    <col min="2560" max="2560" width="9.5703125" style="206" customWidth="1"/>
    <col min="2561" max="2561" width="13.42578125" style="206" bestFit="1" customWidth="1"/>
    <col min="2562" max="2562" width="7.5703125" style="206" customWidth="1"/>
    <col min="2563" max="2563" width="11.42578125" style="206"/>
    <col min="2564" max="2564" width="13.42578125" style="206" bestFit="1" customWidth="1"/>
    <col min="2565" max="2801" width="11.42578125" style="206"/>
    <col min="2802" max="2802" width="0.42578125" style="206" customWidth="1"/>
    <col min="2803" max="2803" width="2.5703125" style="206" customWidth="1"/>
    <col min="2804" max="2804" width="15.42578125" style="206" customWidth="1"/>
    <col min="2805" max="2805" width="1.42578125" style="206" customWidth="1"/>
    <col min="2806" max="2806" width="27.5703125" style="206" customWidth="1"/>
    <col min="2807" max="2807" width="6.5703125" style="206" customWidth="1"/>
    <col min="2808" max="2808" width="1.5703125" style="206" customWidth="1"/>
    <col min="2809" max="2809" width="10.5703125" style="206" customWidth="1"/>
    <col min="2810" max="2810" width="5.5703125" style="206" customWidth="1"/>
    <col min="2811" max="2811" width="1.5703125" style="206" customWidth="1"/>
    <col min="2812" max="2812" width="10.5703125" style="206" customWidth="1"/>
    <col min="2813" max="2813" width="6.5703125" style="206" customWidth="1"/>
    <col min="2814" max="2814" width="1.5703125" style="206" customWidth="1"/>
    <col min="2815" max="2815" width="10.5703125" style="206" customWidth="1"/>
    <col min="2816" max="2816" width="9.5703125" style="206" customWidth="1"/>
    <col min="2817" max="2817" width="13.42578125" style="206" bestFit="1" customWidth="1"/>
    <col min="2818" max="2818" width="7.5703125" style="206" customWidth="1"/>
    <col min="2819" max="2819" width="11.42578125" style="206"/>
    <col min="2820" max="2820" width="13.42578125" style="206" bestFit="1" customWidth="1"/>
    <col min="2821" max="3057" width="11.42578125" style="206"/>
    <col min="3058" max="3058" width="0.42578125" style="206" customWidth="1"/>
    <col min="3059" max="3059" width="2.5703125" style="206" customWidth="1"/>
    <col min="3060" max="3060" width="15.42578125" style="206" customWidth="1"/>
    <col min="3061" max="3061" width="1.42578125" style="206" customWidth="1"/>
    <col min="3062" max="3062" width="27.5703125" style="206" customWidth="1"/>
    <col min="3063" max="3063" width="6.5703125" style="206" customWidth="1"/>
    <col min="3064" max="3064" width="1.5703125" style="206" customWidth="1"/>
    <col min="3065" max="3065" width="10.5703125" style="206" customWidth="1"/>
    <col min="3066" max="3066" width="5.5703125" style="206" customWidth="1"/>
    <col min="3067" max="3067" width="1.5703125" style="206" customWidth="1"/>
    <col min="3068" max="3068" width="10.5703125" style="206" customWidth="1"/>
    <col min="3069" max="3069" width="6.5703125" style="206" customWidth="1"/>
    <col min="3070" max="3070" width="1.5703125" style="206" customWidth="1"/>
    <col min="3071" max="3071" width="10.5703125" style="206" customWidth="1"/>
    <col min="3072" max="3072" width="9.5703125" style="206" customWidth="1"/>
    <col min="3073" max="3073" width="13.42578125" style="206" bestFit="1" customWidth="1"/>
    <col min="3074" max="3074" width="7.5703125" style="206" customWidth="1"/>
    <col min="3075" max="3075" width="11.42578125" style="206"/>
    <col min="3076" max="3076" width="13.42578125" style="206" bestFit="1" customWidth="1"/>
    <col min="3077" max="3313" width="11.42578125" style="206"/>
    <col min="3314" max="3314" width="0.42578125" style="206" customWidth="1"/>
    <col min="3315" max="3315" width="2.5703125" style="206" customWidth="1"/>
    <col min="3316" max="3316" width="15.42578125" style="206" customWidth="1"/>
    <col min="3317" max="3317" width="1.42578125" style="206" customWidth="1"/>
    <col min="3318" max="3318" width="27.5703125" style="206" customWidth="1"/>
    <col min="3319" max="3319" width="6.5703125" style="206" customWidth="1"/>
    <col min="3320" max="3320" width="1.5703125" style="206" customWidth="1"/>
    <col min="3321" max="3321" width="10.5703125" style="206" customWidth="1"/>
    <col min="3322" max="3322" width="5.5703125" style="206" customWidth="1"/>
    <col min="3323" max="3323" width="1.5703125" style="206" customWidth="1"/>
    <col min="3324" max="3324" width="10.5703125" style="206" customWidth="1"/>
    <col min="3325" max="3325" width="6.5703125" style="206" customWidth="1"/>
    <col min="3326" max="3326" width="1.5703125" style="206" customWidth="1"/>
    <col min="3327" max="3327" width="10.5703125" style="206" customWidth="1"/>
    <col min="3328" max="3328" width="9.5703125" style="206" customWidth="1"/>
    <col min="3329" max="3329" width="13.42578125" style="206" bestFit="1" customWidth="1"/>
    <col min="3330" max="3330" width="7.5703125" style="206" customWidth="1"/>
    <col min="3331" max="3331" width="11.42578125" style="206"/>
    <col min="3332" max="3332" width="13.42578125" style="206" bestFit="1" customWidth="1"/>
    <col min="3333" max="3569" width="11.42578125" style="206"/>
    <col min="3570" max="3570" width="0.42578125" style="206" customWidth="1"/>
    <col min="3571" max="3571" width="2.5703125" style="206" customWidth="1"/>
    <col min="3572" max="3572" width="15.42578125" style="206" customWidth="1"/>
    <col min="3573" max="3573" width="1.42578125" style="206" customWidth="1"/>
    <col min="3574" max="3574" width="27.5703125" style="206" customWidth="1"/>
    <col min="3575" max="3575" width="6.5703125" style="206" customWidth="1"/>
    <col min="3576" max="3576" width="1.5703125" style="206" customWidth="1"/>
    <col min="3577" max="3577" width="10.5703125" style="206" customWidth="1"/>
    <col min="3578" max="3578" width="5.5703125" style="206" customWidth="1"/>
    <col min="3579" max="3579" width="1.5703125" style="206" customWidth="1"/>
    <col min="3580" max="3580" width="10.5703125" style="206" customWidth="1"/>
    <col min="3581" max="3581" width="6.5703125" style="206" customWidth="1"/>
    <col min="3582" max="3582" width="1.5703125" style="206" customWidth="1"/>
    <col min="3583" max="3583" width="10.5703125" style="206" customWidth="1"/>
    <col min="3584" max="3584" width="9.5703125" style="206" customWidth="1"/>
    <col min="3585" max="3585" width="13.42578125" style="206" bestFit="1" customWidth="1"/>
    <col min="3586" max="3586" width="7.5703125" style="206" customWidth="1"/>
    <col min="3587" max="3587" width="11.42578125" style="206"/>
    <col min="3588" max="3588" width="13.42578125" style="206" bestFit="1" customWidth="1"/>
    <col min="3589" max="3825" width="11.42578125" style="206"/>
    <col min="3826" max="3826" width="0.42578125" style="206" customWidth="1"/>
    <col min="3827" max="3827" width="2.5703125" style="206" customWidth="1"/>
    <col min="3828" max="3828" width="15.42578125" style="206" customWidth="1"/>
    <col min="3829" max="3829" width="1.42578125" style="206" customWidth="1"/>
    <col min="3830" max="3830" width="27.5703125" style="206" customWidth="1"/>
    <col min="3831" max="3831" width="6.5703125" style="206" customWidth="1"/>
    <col min="3832" max="3832" width="1.5703125" style="206" customWidth="1"/>
    <col min="3833" max="3833" width="10.5703125" style="206" customWidth="1"/>
    <col min="3834" max="3834" width="5.5703125" style="206" customWidth="1"/>
    <col min="3835" max="3835" width="1.5703125" style="206" customWidth="1"/>
    <col min="3836" max="3836" width="10.5703125" style="206" customWidth="1"/>
    <col min="3837" max="3837" width="6.5703125" style="206" customWidth="1"/>
    <col min="3838" max="3838" width="1.5703125" style="206" customWidth="1"/>
    <col min="3839" max="3839" width="10.5703125" style="206" customWidth="1"/>
    <col min="3840" max="3840" width="9.5703125" style="206" customWidth="1"/>
    <col min="3841" max="3841" width="13.42578125" style="206" bestFit="1" customWidth="1"/>
    <col min="3842" max="3842" width="7.5703125" style="206" customWidth="1"/>
    <col min="3843" max="3843" width="11.42578125" style="206"/>
    <col min="3844" max="3844" width="13.42578125" style="206" bestFit="1" customWidth="1"/>
    <col min="3845" max="4081" width="11.42578125" style="206"/>
    <col min="4082" max="4082" width="0.42578125" style="206" customWidth="1"/>
    <col min="4083" max="4083" width="2.5703125" style="206" customWidth="1"/>
    <col min="4084" max="4084" width="15.42578125" style="206" customWidth="1"/>
    <col min="4085" max="4085" width="1.42578125" style="206" customWidth="1"/>
    <col min="4086" max="4086" width="27.5703125" style="206" customWidth="1"/>
    <col min="4087" max="4087" width="6.5703125" style="206" customWidth="1"/>
    <col min="4088" max="4088" width="1.5703125" style="206" customWidth="1"/>
    <col min="4089" max="4089" width="10.5703125" style="206" customWidth="1"/>
    <col min="4090" max="4090" width="5.5703125" style="206" customWidth="1"/>
    <col min="4091" max="4091" width="1.5703125" style="206" customWidth="1"/>
    <col min="4092" max="4092" width="10.5703125" style="206" customWidth="1"/>
    <col min="4093" max="4093" width="6.5703125" style="206" customWidth="1"/>
    <col min="4094" max="4094" width="1.5703125" style="206" customWidth="1"/>
    <col min="4095" max="4095" width="10.5703125" style="206" customWidth="1"/>
    <col min="4096" max="4096" width="9.5703125" style="206" customWidth="1"/>
    <col min="4097" max="4097" width="13.42578125" style="206" bestFit="1" customWidth="1"/>
    <col min="4098" max="4098" width="7.5703125" style="206" customWidth="1"/>
    <col min="4099" max="4099" width="11.42578125" style="206"/>
    <col min="4100" max="4100" width="13.42578125" style="206" bestFit="1" customWidth="1"/>
    <col min="4101" max="4337" width="11.42578125" style="206"/>
    <col min="4338" max="4338" width="0.42578125" style="206" customWidth="1"/>
    <col min="4339" max="4339" width="2.5703125" style="206" customWidth="1"/>
    <col min="4340" max="4340" width="15.42578125" style="206" customWidth="1"/>
    <col min="4341" max="4341" width="1.42578125" style="206" customWidth="1"/>
    <col min="4342" max="4342" width="27.5703125" style="206" customWidth="1"/>
    <col min="4343" max="4343" width="6.5703125" style="206" customWidth="1"/>
    <col min="4344" max="4344" width="1.5703125" style="206" customWidth="1"/>
    <col min="4345" max="4345" width="10.5703125" style="206" customWidth="1"/>
    <col min="4346" max="4346" width="5.5703125" style="206" customWidth="1"/>
    <col min="4347" max="4347" width="1.5703125" style="206" customWidth="1"/>
    <col min="4348" max="4348" width="10.5703125" style="206" customWidth="1"/>
    <col min="4349" max="4349" width="6.5703125" style="206" customWidth="1"/>
    <col min="4350" max="4350" width="1.5703125" style="206" customWidth="1"/>
    <col min="4351" max="4351" width="10.5703125" style="206" customWidth="1"/>
    <col min="4352" max="4352" width="9.5703125" style="206" customWidth="1"/>
    <col min="4353" max="4353" width="13.42578125" style="206" bestFit="1" customWidth="1"/>
    <col min="4354" max="4354" width="7.5703125" style="206" customWidth="1"/>
    <col min="4355" max="4355" width="11.42578125" style="206"/>
    <col min="4356" max="4356" width="13.42578125" style="206" bestFit="1" customWidth="1"/>
    <col min="4357" max="4593" width="11.42578125" style="206"/>
    <col min="4594" max="4594" width="0.42578125" style="206" customWidth="1"/>
    <col min="4595" max="4595" width="2.5703125" style="206" customWidth="1"/>
    <col min="4596" max="4596" width="15.42578125" style="206" customWidth="1"/>
    <col min="4597" max="4597" width="1.42578125" style="206" customWidth="1"/>
    <col min="4598" max="4598" width="27.5703125" style="206" customWidth="1"/>
    <col min="4599" max="4599" width="6.5703125" style="206" customWidth="1"/>
    <col min="4600" max="4600" width="1.5703125" style="206" customWidth="1"/>
    <col min="4601" max="4601" width="10.5703125" style="206" customWidth="1"/>
    <col min="4602" max="4602" width="5.5703125" style="206" customWidth="1"/>
    <col min="4603" max="4603" width="1.5703125" style="206" customWidth="1"/>
    <col min="4604" max="4604" width="10.5703125" style="206" customWidth="1"/>
    <col min="4605" max="4605" width="6.5703125" style="206" customWidth="1"/>
    <col min="4606" max="4606" width="1.5703125" style="206" customWidth="1"/>
    <col min="4607" max="4607" width="10.5703125" style="206" customWidth="1"/>
    <col min="4608" max="4608" width="9.5703125" style="206" customWidth="1"/>
    <col min="4609" max="4609" width="13.42578125" style="206" bestFit="1" customWidth="1"/>
    <col min="4610" max="4610" width="7.5703125" style="206" customWidth="1"/>
    <col min="4611" max="4611" width="11.42578125" style="206"/>
    <col min="4612" max="4612" width="13.42578125" style="206" bestFit="1" customWidth="1"/>
    <col min="4613" max="4849" width="11.42578125" style="206"/>
    <col min="4850" max="4850" width="0.42578125" style="206" customWidth="1"/>
    <col min="4851" max="4851" width="2.5703125" style="206" customWidth="1"/>
    <col min="4852" max="4852" width="15.42578125" style="206" customWidth="1"/>
    <col min="4853" max="4853" width="1.42578125" style="206" customWidth="1"/>
    <col min="4854" max="4854" width="27.5703125" style="206" customWidth="1"/>
    <col min="4855" max="4855" width="6.5703125" style="206" customWidth="1"/>
    <col min="4856" max="4856" width="1.5703125" style="206" customWidth="1"/>
    <col min="4857" max="4857" width="10.5703125" style="206" customWidth="1"/>
    <col min="4858" max="4858" width="5.5703125" style="206" customWidth="1"/>
    <col min="4859" max="4859" width="1.5703125" style="206" customWidth="1"/>
    <col min="4860" max="4860" width="10.5703125" style="206" customWidth="1"/>
    <col min="4861" max="4861" width="6.5703125" style="206" customWidth="1"/>
    <col min="4862" max="4862" width="1.5703125" style="206" customWidth="1"/>
    <col min="4863" max="4863" width="10.5703125" style="206" customWidth="1"/>
    <col min="4864" max="4864" width="9.5703125" style="206" customWidth="1"/>
    <col min="4865" max="4865" width="13.42578125" style="206" bestFit="1" customWidth="1"/>
    <col min="4866" max="4866" width="7.5703125" style="206" customWidth="1"/>
    <col min="4867" max="4867" width="11.42578125" style="206"/>
    <col min="4868" max="4868" width="13.42578125" style="206" bestFit="1" customWidth="1"/>
    <col min="4869" max="5105" width="11.42578125" style="206"/>
    <col min="5106" max="5106" width="0.42578125" style="206" customWidth="1"/>
    <col min="5107" max="5107" width="2.5703125" style="206" customWidth="1"/>
    <col min="5108" max="5108" width="15.42578125" style="206" customWidth="1"/>
    <col min="5109" max="5109" width="1.42578125" style="206" customWidth="1"/>
    <col min="5110" max="5110" width="27.5703125" style="206" customWidth="1"/>
    <col min="5111" max="5111" width="6.5703125" style="206" customWidth="1"/>
    <col min="5112" max="5112" width="1.5703125" style="206" customWidth="1"/>
    <col min="5113" max="5113" width="10.5703125" style="206" customWidth="1"/>
    <col min="5114" max="5114" width="5.5703125" style="206" customWidth="1"/>
    <col min="5115" max="5115" width="1.5703125" style="206" customWidth="1"/>
    <col min="5116" max="5116" width="10.5703125" style="206" customWidth="1"/>
    <col min="5117" max="5117" width="6.5703125" style="206" customWidth="1"/>
    <col min="5118" max="5118" width="1.5703125" style="206" customWidth="1"/>
    <col min="5119" max="5119" width="10.5703125" style="206" customWidth="1"/>
    <col min="5120" max="5120" width="9.5703125" style="206" customWidth="1"/>
    <col min="5121" max="5121" width="13.42578125" style="206" bestFit="1" customWidth="1"/>
    <col min="5122" max="5122" width="7.5703125" style="206" customWidth="1"/>
    <col min="5123" max="5123" width="11.42578125" style="206"/>
    <col min="5124" max="5124" width="13.42578125" style="206" bestFit="1" customWidth="1"/>
    <col min="5125" max="5361" width="11.42578125" style="206"/>
    <col min="5362" max="5362" width="0.42578125" style="206" customWidth="1"/>
    <col min="5363" max="5363" width="2.5703125" style="206" customWidth="1"/>
    <col min="5364" max="5364" width="15.42578125" style="206" customWidth="1"/>
    <col min="5365" max="5365" width="1.42578125" style="206" customWidth="1"/>
    <col min="5366" max="5366" width="27.5703125" style="206" customWidth="1"/>
    <col min="5367" max="5367" width="6.5703125" style="206" customWidth="1"/>
    <col min="5368" max="5368" width="1.5703125" style="206" customWidth="1"/>
    <col min="5369" max="5369" width="10.5703125" style="206" customWidth="1"/>
    <col min="5370" max="5370" width="5.5703125" style="206" customWidth="1"/>
    <col min="5371" max="5371" width="1.5703125" style="206" customWidth="1"/>
    <col min="5372" max="5372" width="10.5703125" style="206" customWidth="1"/>
    <col min="5373" max="5373" width="6.5703125" style="206" customWidth="1"/>
    <col min="5374" max="5374" width="1.5703125" style="206" customWidth="1"/>
    <col min="5375" max="5375" width="10.5703125" style="206" customWidth="1"/>
    <col min="5376" max="5376" width="9.5703125" style="206" customWidth="1"/>
    <col min="5377" max="5377" width="13.42578125" style="206" bestFit="1" customWidth="1"/>
    <col min="5378" max="5378" width="7.5703125" style="206" customWidth="1"/>
    <col min="5379" max="5379" width="11.42578125" style="206"/>
    <col min="5380" max="5380" width="13.42578125" style="206" bestFit="1" customWidth="1"/>
    <col min="5381" max="5617" width="11.42578125" style="206"/>
    <col min="5618" max="5618" width="0.42578125" style="206" customWidth="1"/>
    <col min="5619" max="5619" width="2.5703125" style="206" customWidth="1"/>
    <col min="5620" max="5620" width="15.42578125" style="206" customWidth="1"/>
    <col min="5621" max="5621" width="1.42578125" style="206" customWidth="1"/>
    <col min="5622" max="5622" width="27.5703125" style="206" customWidth="1"/>
    <col min="5623" max="5623" width="6.5703125" style="206" customWidth="1"/>
    <col min="5624" max="5624" width="1.5703125" style="206" customWidth="1"/>
    <col min="5625" max="5625" width="10.5703125" style="206" customWidth="1"/>
    <col min="5626" max="5626" width="5.5703125" style="206" customWidth="1"/>
    <col min="5627" max="5627" width="1.5703125" style="206" customWidth="1"/>
    <col min="5628" max="5628" width="10.5703125" style="206" customWidth="1"/>
    <col min="5629" max="5629" width="6.5703125" style="206" customWidth="1"/>
    <col min="5630" max="5630" width="1.5703125" style="206" customWidth="1"/>
    <col min="5631" max="5631" width="10.5703125" style="206" customWidth="1"/>
    <col min="5632" max="5632" width="9.5703125" style="206" customWidth="1"/>
    <col min="5633" max="5633" width="13.42578125" style="206" bestFit="1" customWidth="1"/>
    <col min="5634" max="5634" width="7.5703125" style="206" customWidth="1"/>
    <col min="5635" max="5635" width="11.42578125" style="206"/>
    <col min="5636" max="5636" width="13.42578125" style="206" bestFit="1" customWidth="1"/>
    <col min="5637" max="5873" width="11.42578125" style="206"/>
    <col min="5874" max="5874" width="0.42578125" style="206" customWidth="1"/>
    <col min="5875" max="5875" width="2.5703125" style="206" customWidth="1"/>
    <col min="5876" max="5876" width="15.42578125" style="206" customWidth="1"/>
    <col min="5877" max="5877" width="1.42578125" style="206" customWidth="1"/>
    <col min="5878" max="5878" width="27.5703125" style="206" customWidth="1"/>
    <col min="5879" max="5879" width="6.5703125" style="206" customWidth="1"/>
    <col min="5880" max="5880" width="1.5703125" style="206" customWidth="1"/>
    <col min="5881" max="5881" width="10.5703125" style="206" customWidth="1"/>
    <col min="5882" max="5882" width="5.5703125" style="206" customWidth="1"/>
    <col min="5883" max="5883" width="1.5703125" style="206" customWidth="1"/>
    <col min="5884" max="5884" width="10.5703125" style="206" customWidth="1"/>
    <col min="5885" max="5885" width="6.5703125" style="206" customWidth="1"/>
    <col min="5886" max="5886" width="1.5703125" style="206" customWidth="1"/>
    <col min="5887" max="5887" width="10.5703125" style="206" customWidth="1"/>
    <col min="5888" max="5888" width="9.5703125" style="206" customWidth="1"/>
    <col min="5889" max="5889" width="13.42578125" style="206" bestFit="1" customWidth="1"/>
    <col min="5890" max="5890" width="7.5703125" style="206" customWidth="1"/>
    <col min="5891" max="5891" width="11.42578125" style="206"/>
    <col min="5892" max="5892" width="13.42578125" style="206" bestFit="1" customWidth="1"/>
    <col min="5893" max="6129" width="11.42578125" style="206"/>
    <col min="6130" max="6130" width="0.42578125" style="206" customWidth="1"/>
    <col min="6131" max="6131" width="2.5703125" style="206" customWidth="1"/>
    <col min="6132" max="6132" width="15.42578125" style="206" customWidth="1"/>
    <col min="6133" max="6133" width="1.42578125" style="206" customWidth="1"/>
    <col min="6134" max="6134" width="27.5703125" style="206" customWidth="1"/>
    <col min="6135" max="6135" width="6.5703125" style="206" customWidth="1"/>
    <col min="6136" max="6136" width="1.5703125" style="206" customWidth="1"/>
    <col min="6137" max="6137" width="10.5703125" style="206" customWidth="1"/>
    <col min="6138" max="6138" width="5.5703125" style="206" customWidth="1"/>
    <col min="6139" max="6139" width="1.5703125" style="206" customWidth="1"/>
    <col min="6140" max="6140" width="10.5703125" style="206" customWidth="1"/>
    <col min="6141" max="6141" width="6.5703125" style="206" customWidth="1"/>
    <col min="6142" max="6142" width="1.5703125" style="206" customWidth="1"/>
    <col min="6143" max="6143" width="10.5703125" style="206" customWidth="1"/>
    <col min="6144" max="6144" width="9.5703125" style="206" customWidth="1"/>
    <col min="6145" max="6145" width="13.42578125" style="206" bestFit="1" customWidth="1"/>
    <col min="6146" max="6146" width="7.5703125" style="206" customWidth="1"/>
    <col min="6147" max="6147" width="11.42578125" style="206"/>
    <col min="6148" max="6148" width="13.42578125" style="206" bestFit="1" customWidth="1"/>
    <col min="6149" max="6385" width="11.42578125" style="206"/>
    <col min="6386" max="6386" width="0.42578125" style="206" customWidth="1"/>
    <col min="6387" max="6387" width="2.5703125" style="206" customWidth="1"/>
    <col min="6388" max="6388" width="15.42578125" style="206" customWidth="1"/>
    <col min="6389" max="6389" width="1.42578125" style="206" customWidth="1"/>
    <col min="6390" max="6390" width="27.5703125" style="206" customWidth="1"/>
    <col min="6391" max="6391" width="6.5703125" style="206" customWidth="1"/>
    <col min="6392" max="6392" width="1.5703125" style="206" customWidth="1"/>
    <col min="6393" max="6393" width="10.5703125" style="206" customWidth="1"/>
    <col min="6394" max="6394" width="5.5703125" style="206" customWidth="1"/>
    <col min="6395" max="6395" width="1.5703125" style="206" customWidth="1"/>
    <col min="6396" max="6396" width="10.5703125" style="206" customWidth="1"/>
    <col min="6397" max="6397" width="6.5703125" style="206" customWidth="1"/>
    <col min="6398" max="6398" width="1.5703125" style="206" customWidth="1"/>
    <col min="6399" max="6399" width="10.5703125" style="206" customWidth="1"/>
    <col min="6400" max="6400" width="9.5703125" style="206" customWidth="1"/>
    <col min="6401" max="6401" width="13.42578125" style="206" bestFit="1" customWidth="1"/>
    <col min="6402" max="6402" width="7.5703125" style="206" customWidth="1"/>
    <col min="6403" max="6403" width="11.42578125" style="206"/>
    <col min="6404" max="6404" width="13.42578125" style="206" bestFit="1" customWidth="1"/>
    <col min="6405" max="6641" width="11.42578125" style="206"/>
    <col min="6642" max="6642" width="0.42578125" style="206" customWidth="1"/>
    <col min="6643" max="6643" width="2.5703125" style="206" customWidth="1"/>
    <col min="6644" max="6644" width="15.42578125" style="206" customWidth="1"/>
    <col min="6645" max="6645" width="1.42578125" style="206" customWidth="1"/>
    <col min="6646" max="6646" width="27.5703125" style="206" customWidth="1"/>
    <col min="6647" max="6647" width="6.5703125" style="206" customWidth="1"/>
    <col min="6648" max="6648" width="1.5703125" style="206" customWidth="1"/>
    <col min="6649" max="6649" width="10.5703125" style="206" customWidth="1"/>
    <col min="6650" max="6650" width="5.5703125" style="206" customWidth="1"/>
    <col min="6651" max="6651" width="1.5703125" style="206" customWidth="1"/>
    <col min="6652" max="6652" width="10.5703125" style="206" customWidth="1"/>
    <col min="6653" max="6653" width="6.5703125" style="206" customWidth="1"/>
    <col min="6654" max="6654" width="1.5703125" style="206" customWidth="1"/>
    <col min="6655" max="6655" width="10.5703125" style="206" customWidth="1"/>
    <col min="6656" max="6656" width="9.5703125" style="206" customWidth="1"/>
    <col min="6657" max="6657" width="13.42578125" style="206" bestFit="1" customWidth="1"/>
    <col min="6658" max="6658" width="7.5703125" style="206" customWidth="1"/>
    <col min="6659" max="6659" width="11.42578125" style="206"/>
    <col min="6660" max="6660" width="13.42578125" style="206" bestFit="1" customWidth="1"/>
    <col min="6661" max="6897" width="11.42578125" style="206"/>
    <col min="6898" max="6898" width="0.42578125" style="206" customWidth="1"/>
    <col min="6899" max="6899" width="2.5703125" style="206" customWidth="1"/>
    <col min="6900" max="6900" width="15.42578125" style="206" customWidth="1"/>
    <col min="6901" max="6901" width="1.42578125" style="206" customWidth="1"/>
    <col min="6902" max="6902" width="27.5703125" style="206" customWidth="1"/>
    <col min="6903" max="6903" width="6.5703125" style="206" customWidth="1"/>
    <col min="6904" max="6904" width="1.5703125" style="206" customWidth="1"/>
    <col min="6905" max="6905" width="10.5703125" style="206" customWidth="1"/>
    <col min="6906" max="6906" width="5.5703125" style="206" customWidth="1"/>
    <col min="6907" max="6907" width="1.5703125" style="206" customWidth="1"/>
    <col min="6908" max="6908" width="10.5703125" style="206" customWidth="1"/>
    <col min="6909" max="6909" width="6.5703125" style="206" customWidth="1"/>
    <col min="6910" max="6910" width="1.5703125" style="206" customWidth="1"/>
    <col min="6911" max="6911" width="10.5703125" style="206" customWidth="1"/>
    <col min="6912" max="6912" width="9.5703125" style="206" customWidth="1"/>
    <col min="6913" max="6913" width="13.42578125" style="206" bestFit="1" customWidth="1"/>
    <col min="6914" max="6914" width="7.5703125" style="206" customWidth="1"/>
    <col min="6915" max="6915" width="11.42578125" style="206"/>
    <col min="6916" max="6916" width="13.42578125" style="206" bestFit="1" customWidth="1"/>
    <col min="6917" max="7153" width="11.42578125" style="206"/>
    <col min="7154" max="7154" width="0.42578125" style="206" customWidth="1"/>
    <col min="7155" max="7155" width="2.5703125" style="206" customWidth="1"/>
    <col min="7156" max="7156" width="15.42578125" style="206" customWidth="1"/>
    <col min="7157" max="7157" width="1.42578125" style="206" customWidth="1"/>
    <col min="7158" max="7158" width="27.5703125" style="206" customWidth="1"/>
    <col min="7159" max="7159" width="6.5703125" style="206" customWidth="1"/>
    <col min="7160" max="7160" width="1.5703125" style="206" customWidth="1"/>
    <col min="7161" max="7161" width="10.5703125" style="206" customWidth="1"/>
    <col min="7162" max="7162" width="5.5703125" style="206" customWidth="1"/>
    <col min="7163" max="7163" width="1.5703125" style="206" customWidth="1"/>
    <col min="7164" max="7164" width="10.5703125" style="206" customWidth="1"/>
    <col min="7165" max="7165" width="6.5703125" style="206" customWidth="1"/>
    <col min="7166" max="7166" width="1.5703125" style="206" customWidth="1"/>
    <col min="7167" max="7167" width="10.5703125" style="206" customWidth="1"/>
    <col min="7168" max="7168" width="9.5703125" style="206" customWidth="1"/>
    <col min="7169" max="7169" width="13.42578125" style="206" bestFit="1" customWidth="1"/>
    <col min="7170" max="7170" width="7.5703125" style="206" customWidth="1"/>
    <col min="7171" max="7171" width="11.42578125" style="206"/>
    <col min="7172" max="7172" width="13.42578125" style="206" bestFit="1" customWidth="1"/>
    <col min="7173" max="7409" width="11.42578125" style="206"/>
    <col min="7410" max="7410" width="0.42578125" style="206" customWidth="1"/>
    <col min="7411" max="7411" width="2.5703125" style="206" customWidth="1"/>
    <col min="7412" max="7412" width="15.42578125" style="206" customWidth="1"/>
    <col min="7413" max="7413" width="1.42578125" style="206" customWidth="1"/>
    <col min="7414" max="7414" width="27.5703125" style="206" customWidth="1"/>
    <col min="7415" max="7415" width="6.5703125" style="206" customWidth="1"/>
    <col min="7416" max="7416" width="1.5703125" style="206" customWidth="1"/>
    <col min="7417" max="7417" width="10.5703125" style="206" customWidth="1"/>
    <col min="7418" max="7418" width="5.5703125" style="206" customWidth="1"/>
    <col min="7419" max="7419" width="1.5703125" style="206" customWidth="1"/>
    <col min="7420" max="7420" width="10.5703125" style="206" customWidth="1"/>
    <col min="7421" max="7421" width="6.5703125" style="206" customWidth="1"/>
    <col min="7422" max="7422" width="1.5703125" style="206" customWidth="1"/>
    <col min="7423" max="7423" width="10.5703125" style="206" customWidth="1"/>
    <col min="7424" max="7424" width="9.5703125" style="206" customWidth="1"/>
    <col min="7425" max="7425" width="13.42578125" style="206" bestFit="1" customWidth="1"/>
    <col min="7426" max="7426" width="7.5703125" style="206" customWidth="1"/>
    <col min="7427" max="7427" width="11.42578125" style="206"/>
    <col min="7428" max="7428" width="13.42578125" style="206" bestFit="1" customWidth="1"/>
    <col min="7429" max="7665" width="11.42578125" style="206"/>
    <col min="7666" max="7666" width="0.42578125" style="206" customWidth="1"/>
    <col min="7667" max="7667" width="2.5703125" style="206" customWidth="1"/>
    <col min="7668" max="7668" width="15.42578125" style="206" customWidth="1"/>
    <col min="7669" max="7669" width="1.42578125" style="206" customWidth="1"/>
    <col min="7670" max="7670" width="27.5703125" style="206" customWidth="1"/>
    <col min="7671" max="7671" width="6.5703125" style="206" customWidth="1"/>
    <col min="7672" max="7672" width="1.5703125" style="206" customWidth="1"/>
    <col min="7673" max="7673" width="10.5703125" style="206" customWidth="1"/>
    <col min="7674" max="7674" width="5.5703125" style="206" customWidth="1"/>
    <col min="7675" max="7675" width="1.5703125" style="206" customWidth="1"/>
    <col min="7676" max="7676" width="10.5703125" style="206" customWidth="1"/>
    <col min="7677" max="7677" width="6.5703125" style="206" customWidth="1"/>
    <col min="7678" max="7678" width="1.5703125" style="206" customWidth="1"/>
    <col min="7679" max="7679" width="10.5703125" style="206" customWidth="1"/>
    <col min="7680" max="7680" width="9.5703125" style="206" customWidth="1"/>
    <col min="7681" max="7681" width="13.42578125" style="206" bestFit="1" customWidth="1"/>
    <col min="7682" max="7682" width="7.5703125" style="206" customWidth="1"/>
    <col min="7683" max="7683" width="11.42578125" style="206"/>
    <col min="7684" max="7684" width="13.42578125" style="206" bestFit="1" customWidth="1"/>
    <col min="7685" max="7921" width="11.42578125" style="206"/>
    <col min="7922" max="7922" width="0.42578125" style="206" customWidth="1"/>
    <col min="7923" max="7923" width="2.5703125" style="206" customWidth="1"/>
    <col min="7924" max="7924" width="15.42578125" style="206" customWidth="1"/>
    <col min="7925" max="7925" width="1.42578125" style="206" customWidth="1"/>
    <col min="7926" max="7926" width="27.5703125" style="206" customWidth="1"/>
    <col min="7927" max="7927" width="6.5703125" style="206" customWidth="1"/>
    <col min="7928" max="7928" width="1.5703125" style="206" customWidth="1"/>
    <col min="7929" max="7929" width="10.5703125" style="206" customWidth="1"/>
    <col min="7930" max="7930" width="5.5703125" style="206" customWidth="1"/>
    <col min="7931" max="7931" width="1.5703125" style="206" customWidth="1"/>
    <col min="7932" max="7932" width="10.5703125" style="206" customWidth="1"/>
    <col min="7933" max="7933" width="6.5703125" style="206" customWidth="1"/>
    <col min="7934" max="7934" width="1.5703125" style="206" customWidth="1"/>
    <col min="7935" max="7935" width="10.5703125" style="206" customWidth="1"/>
    <col min="7936" max="7936" width="9.5703125" style="206" customWidth="1"/>
    <col min="7937" max="7937" width="13.42578125" style="206" bestFit="1" customWidth="1"/>
    <col min="7938" max="7938" width="7.5703125" style="206" customWidth="1"/>
    <col min="7939" max="7939" width="11.42578125" style="206"/>
    <col min="7940" max="7940" width="13.42578125" style="206" bestFit="1" customWidth="1"/>
    <col min="7941" max="8177" width="11.42578125" style="206"/>
    <col min="8178" max="8178" width="0.42578125" style="206" customWidth="1"/>
    <col min="8179" max="8179" width="2.5703125" style="206" customWidth="1"/>
    <col min="8180" max="8180" width="15.42578125" style="206" customWidth="1"/>
    <col min="8181" max="8181" width="1.42578125" style="206" customWidth="1"/>
    <col min="8182" max="8182" width="27.5703125" style="206" customWidth="1"/>
    <col min="8183" max="8183" width="6.5703125" style="206" customWidth="1"/>
    <col min="8184" max="8184" width="1.5703125" style="206" customWidth="1"/>
    <col min="8185" max="8185" width="10.5703125" style="206" customWidth="1"/>
    <col min="8186" max="8186" width="5.5703125" style="206" customWidth="1"/>
    <col min="8187" max="8187" width="1.5703125" style="206" customWidth="1"/>
    <col min="8188" max="8188" width="10.5703125" style="206" customWidth="1"/>
    <col min="8189" max="8189" width="6.5703125" style="206" customWidth="1"/>
    <col min="8190" max="8190" width="1.5703125" style="206" customWidth="1"/>
    <col min="8191" max="8191" width="10.5703125" style="206" customWidth="1"/>
    <col min="8192" max="8192" width="9.5703125" style="206" customWidth="1"/>
    <col min="8193" max="8193" width="13.42578125" style="206" bestFit="1" customWidth="1"/>
    <col min="8194" max="8194" width="7.5703125" style="206" customWidth="1"/>
    <col min="8195" max="8195" width="11.42578125" style="206"/>
    <col min="8196" max="8196" width="13.42578125" style="206" bestFit="1" customWidth="1"/>
    <col min="8197" max="8433" width="11.42578125" style="206"/>
    <col min="8434" max="8434" width="0.42578125" style="206" customWidth="1"/>
    <col min="8435" max="8435" width="2.5703125" style="206" customWidth="1"/>
    <col min="8436" max="8436" width="15.42578125" style="206" customWidth="1"/>
    <col min="8437" max="8437" width="1.42578125" style="206" customWidth="1"/>
    <col min="8438" max="8438" width="27.5703125" style="206" customWidth="1"/>
    <col min="8439" max="8439" width="6.5703125" style="206" customWidth="1"/>
    <col min="8440" max="8440" width="1.5703125" style="206" customWidth="1"/>
    <col min="8441" max="8441" width="10.5703125" style="206" customWidth="1"/>
    <col min="8442" max="8442" width="5.5703125" style="206" customWidth="1"/>
    <col min="8443" max="8443" width="1.5703125" style="206" customWidth="1"/>
    <col min="8444" max="8444" width="10.5703125" style="206" customWidth="1"/>
    <col min="8445" max="8445" width="6.5703125" style="206" customWidth="1"/>
    <col min="8446" max="8446" width="1.5703125" style="206" customWidth="1"/>
    <col min="8447" max="8447" width="10.5703125" style="206" customWidth="1"/>
    <col min="8448" max="8448" width="9.5703125" style="206" customWidth="1"/>
    <col min="8449" max="8449" width="13.42578125" style="206" bestFit="1" customWidth="1"/>
    <col min="8450" max="8450" width="7.5703125" style="206" customWidth="1"/>
    <col min="8451" max="8451" width="11.42578125" style="206"/>
    <col min="8452" max="8452" width="13.42578125" style="206" bestFit="1" customWidth="1"/>
    <col min="8453" max="8689" width="11.42578125" style="206"/>
    <col min="8690" max="8690" width="0.42578125" style="206" customWidth="1"/>
    <col min="8691" max="8691" width="2.5703125" style="206" customWidth="1"/>
    <col min="8692" max="8692" width="15.42578125" style="206" customWidth="1"/>
    <col min="8693" max="8693" width="1.42578125" style="206" customWidth="1"/>
    <col min="8694" max="8694" width="27.5703125" style="206" customWidth="1"/>
    <col min="8695" max="8695" width="6.5703125" style="206" customWidth="1"/>
    <col min="8696" max="8696" width="1.5703125" style="206" customWidth="1"/>
    <col min="8697" max="8697" width="10.5703125" style="206" customWidth="1"/>
    <col min="8698" max="8698" width="5.5703125" style="206" customWidth="1"/>
    <col min="8699" max="8699" width="1.5703125" style="206" customWidth="1"/>
    <col min="8700" max="8700" width="10.5703125" style="206" customWidth="1"/>
    <col min="8701" max="8701" width="6.5703125" style="206" customWidth="1"/>
    <col min="8702" max="8702" width="1.5703125" style="206" customWidth="1"/>
    <col min="8703" max="8703" width="10.5703125" style="206" customWidth="1"/>
    <col min="8704" max="8704" width="9.5703125" style="206" customWidth="1"/>
    <col min="8705" max="8705" width="13.42578125" style="206" bestFit="1" customWidth="1"/>
    <col min="8706" max="8706" width="7.5703125" style="206" customWidth="1"/>
    <col min="8707" max="8707" width="11.42578125" style="206"/>
    <col min="8708" max="8708" width="13.42578125" style="206" bestFit="1" customWidth="1"/>
    <col min="8709" max="8945" width="11.42578125" style="206"/>
    <col min="8946" max="8946" width="0.42578125" style="206" customWidth="1"/>
    <col min="8947" max="8947" width="2.5703125" style="206" customWidth="1"/>
    <col min="8948" max="8948" width="15.42578125" style="206" customWidth="1"/>
    <col min="8949" max="8949" width="1.42578125" style="206" customWidth="1"/>
    <col min="8950" max="8950" width="27.5703125" style="206" customWidth="1"/>
    <col min="8951" max="8951" width="6.5703125" style="206" customWidth="1"/>
    <col min="8952" max="8952" width="1.5703125" style="206" customWidth="1"/>
    <col min="8953" max="8953" width="10.5703125" style="206" customWidth="1"/>
    <col min="8954" max="8954" width="5.5703125" style="206" customWidth="1"/>
    <col min="8955" max="8955" width="1.5703125" style="206" customWidth="1"/>
    <col min="8956" max="8956" width="10.5703125" style="206" customWidth="1"/>
    <col min="8957" max="8957" width="6.5703125" style="206" customWidth="1"/>
    <col min="8958" max="8958" width="1.5703125" style="206" customWidth="1"/>
    <col min="8959" max="8959" width="10.5703125" style="206" customWidth="1"/>
    <col min="8960" max="8960" width="9.5703125" style="206" customWidth="1"/>
    <col min="8961" max="8961" width="13.42578125" style="206" bestFit="1" customWidth="1"/>
    <col min="8962" max="8962" width="7.5703125" style="206" customWidth="1"/>
    <col min="8963" max="8963" width="11.42578125" style="206"/>
    <col min="8964" max="8964" width="13.42578125" style="206" bestFit="1" customWidth="1"/>
    <col min="8965" max="9201" width="11.42578125" style="206"/>
    <col min="9202" max="9202" width="0.42578125" style="206" customWidth="1"/>
    <col min="9203" max="9203" width="2.5703125" style="206" customWidth="1"/>
    <col min="9204" max="9204" width="15.42578125" style="206" customWidth="1"/>
    <col min="9205" max="9205" width="1.42578125" style="206" customWidth="1"/>
    <col min="9206" max="9206" width="27.5703125" style="206" customWidth="1"/>
    <col min="9207" max="9207" width="6.5703125" style="206" customWidth="1"/>
    <col min="9208" max="9208" width="1.5703125" style="206" customWidth="1"/>
    <col min="9209" max="9209" width="10.5703125" style="206" customWidth="1"/>
    <col min="9210" max="9210" width="5.5703125" style="206" customWidth="1"/>
    <col min="9211" max="9211" width="1.5703125" style="206" customWidth="1"/>
    <col min="9212" max="9212" width="10.5703125" style="206" customWidth="1"/>
    <col min="9213" max="9213" width="6.5703125" style="206" customWidth="1"/>
    <col min="9214" max="9214" width="1.5703125" style="206" customWidth="1"/>
    <col min="9215" max="9215" width="10.5703125" style="206" customWidth="1"/>
    <col min="9216" max="9216" width="9.5703125" style="206" customWidth="1"/>
    <col min="9217" max="9217" width="13.42578125" style="206" bestFit="1" customWidth="1"/>
    <col min="9218" max="9218" width="7.5703125" style="206" customWidth="1"/>
    <col min="9219" max="9219" width="11.42578125" style="206"/>
    <col min="9220" max="9220" width="13.42578125" style="206" bestFit="1" customWidth="1"/>
    <col min="9221" max="9457" width="11.42578125" style="206"/>
    <col min="9458" max="9458" width="0.42578125" style="206" customWidth="1"/>
    <col min="9459" max="9459" width="2.5703125" style="206" customWidth="1"/>
    <col min="9460" max="9460" width="15.42578125" style="206" customWidth="1"/>
    <col min="9461" max="9461" width="1.42578125" style="206" customWidth="1"/>
    <col min="9462" max="9462" width="27.5703125" style="206" customWidth="1"/>
    <col min="9463" max="9463" width="6.5703125" style="206" customWidth="1"/>
    <col min="9464" max="9464" width="1.5703125" style="206" customWidth="1"/>
    <col min="9465" max="9465" width="10.5703125" style="206" customWidth="1"/>
    <col min="9466" max="9466" width="5.5703125" style="206" customWidth="1"/>
    <col min="9467" max="9467" width="1.5703125" style="206" customWidth="1"/>
    <col min="9468" max="9468" width="10.5703125" style="206" customWidth="1"/>
    <col min="9469" max="9469" width="6.5703125" style="206" customWidth="1"/>
    <col min="9470" max="9470" width="1.5703125" style="206" customWidth="1"/>
    <col min="9471" max="9471" width="10.5703125" style="206" customWidth="1"/>
    <col min="9472" max="9472" width="9.5703125" style="206" customWidth="1"/>
    <col min="9473" max="9473" width="13.42578125" style="206" bestFit="1" customWidth="1"/>
    <col min="9474" max="9474" width="7.5703125" style="206" customWidth="1"/>
    <col min="9475" max="9475" width="11.42578125" style="206"/>
    <col min="9476" max="9476" width="13.42578125" style="206" bestFit="1" customWidth="1"/>
    <col min="9477" max="9713" width="11.42578125" style="206"/>
    <col min="9714" max="9714" width="0.42578125" style="206" customWidth="1"/>
    <col min="9715" max="9715" width="2.5703125" style="206" customWidth="1"/>
    <col min="9716" max="9716" width="15.42578125" style="206" customWidth="1"/>
    <col min="9717" max="9717" width="1.42578125" style="206" customWidth="1"/>
    <col min="9718" max="9718" width="27.5703125" style="206" customWidth="1"/>
    <col min="9719" max="9719" width="6.5703125" style="206" customWidth="1"/>
    <col min="9720" max="9720" width="1.5703125" style="206" customWidth="1"/>
    <col min="9721" max="9721" width="10.5703125" style="206" customWidth="1"/>
    <col min="9722" max="9722" width="5.5703125" style="206" customWidth="1"/>
    <col min="9723" max="9723" width="1.5703125" style="206" customWidth="1"/>
    <col min="9724" max="9724" width="10.5703125" style="206" customWidth="1"/>
    <col min="9725" max="9725" width="6.5703125" style="206" customWidth="1"/>
    <col min="9726" max="9726" width="1.5703125" style="206" customWidth="1"/>
    <col min="9727" max="9727" width="10.5703125" style="206" customWidth="1"/>
    <col min="9728" max="9728" width="9.5703125" style="206" customWidth="1"/>
    <col min="9729" max="9729" width="13.42578125" style="206" bestFit="1" customWidth="1"/>
    <col min="9730" max="9730" width="7.5703125" style="206" customWidth="1"/>
    <col min="9731" max="9731" width="11.42578125" style="206"/>
    <col min="9732" max="9732" width="13.42578125" style="206" bestFit="1" customWidth="1"/>
    <col min="9733" max="9969" width="11.42578125" style="206"/>
    <col min="9970" max="9970" width="0.42578125" style="206" customWidth="1"/>
    <col min="9971" max="9971" width="2.5703125" style="206" customWidth="1"/>
    <col min="9972" max="9972" width="15.42578125" style="206" customWidth="1"/>
    <col min="9973" max="9973" width="1.42578125" style="206" customWidth="1"/>
    <col min="9974" max="9974" width="27.5703125" style="206" customWidth="1"/>
    <col min="9975" max="9975" width="6.5703125" style="206" customWidth="1"/>
    <col min="9976" max="9976" width="1.5703125" style="206" customWidth="1"/>
    <col min="9977" max="9977" width="10.5703125" style="206" customWidth="1"/>
    <col min="9978" max="9978" width="5.5703125" style="206" customWidth="1"/>
    <col min="9979" max="9979" width="1.5703125" style="206" customWidth="1"/>
    <col min="9980" max="9980" width="10.5703125" style="206" customWidth="1"/>
    <col min="9981" max="9981" width="6.5703125" style="206" customWidth="1"/>
    <col min="9982" max="9982" width="1.5703125" style="206" customWidth="1"/>
    <col min="9983" max="9983" width="10.5703125" style="206" customWidth="1"/>
    <col min="9984" max="9984" width="9.5703125" style="206" customWidth="1"/>
    <col min="9985" max="9985" width="13.42578125" style="206" bestFit="1" customWidth="1"/>
    <col min="9986" max="9986" width="7.5703125" style="206" customWidth="1"/>
    <col min="9987" max="9987" width="11.42578125" style="206"/>
    <col min="9988" max="9988" width="13.42578125" style="206" bestFit="1" customWidth="1"/>
    <col min="9989" max="10225" width="11.42578125" style="206"/>
    <col min="10226" max="10226" width="0.42578125" style="206" customWidth="1"/>
    <col min="10227" max="10227" width="2.5703125" style="206" customWidth="1"/>
    <col min="10228" max="10228" width="15.42578125" style="206" customWidth="1"/>
    <col min="10229" max="10229" width="1.42578125" style="206" customWidth="1"/>
    <col min="10230" max="10230" width="27.5703125" style="206" customWidth="1"/>
    <col min="10231" max="10231" width="6.5703125" style="206" customWidth="1"/>
    <col min="10232" max="10232" width="1.5703125" style="206" customWidth="1"/>
    <col min="10233" max="10233" width="10.5703125" style="206" customWidth="1"/>
    <col min="10234" max="10234" width="5.5703125" style="206" customWidth="1"/>
    <col min="10235" max="10235" width="1.5703125" style="206" customWidth="1"/>
    <col min="10236" max="10236" width="10.5703125" style="206" customWidth="1"/>
    <col min="10237" max="10237" width="6.5703125" style="206" customWidth="1"/>
    <col min="10238" max="10238" width="1.5703125" style="206" customWidth="1"/>
    <col min="10239" max="10239" width="10.5703125" style="206" customWidth="1"/>
    <col min="10240" max="10240" width="9.5703125" style="206" customWidth="1"/>
    <col min="10241" max="10241" width="13.42578125" style="206" bestFit="1" customWidth="1"/>
    <col min="10242" max="10242" width="7.5703125" style="206" customWidth="1"/>
    <col min="10243" max="10243" width="11.42578125" style="206"/>
    <col min="10244" max="10244" width="13.42578125" style="206" bestFit="1" customWidth="1"/>
    <col min="10245" max="10481" width="11.42578125" style="206"/>
    <col min="10482" max="10482" width="0.42578125" style="206" customWidth="1"/>
    <col min="10483" max="10483" width="2.5703125" style="206" customWidth="1"/>
    <col min="10484" max="10484" width="15.42578125" style="206" customWidth="1"/>
    <col min="10485" max="10485" width="1.42578125" style="206" customWidth="1"/>
    <col min="10486" max="10486" width="27.5703125" style="206" customWidth="1"/>
    <col min="10487" max="10487" width="6.5703125" style="206" customWidth="1"/>
    <col min="10488" max="10488" width="1.5703125" style="206" customWidth="1"/>
    <col min="10489" max="10489" width="10.5703125" style="206" customWidth="1"/>
    <col min="10490" max="10490" width="5.5703125" style="206" customWidth="1"/>
    <col min="10491" max="10491" width="1.5703125" style="206" customWidth="1"/>
    <col min="10492" max="10492" width="10.5703125" style="206" customWidth="1"/>
    <col min="10493" max="10493" width="6.5703125" style="206" customWidth="1"/>
    <col min="10494" max="10494" width="1.5703125" style="206" customWidth="1"/>
    <col min="10495" max="10495" width="10.5703125" style="206" customWidth="1"/>
    <col min="10496" max="10496" width="9.5703125" style="206" customWidth="1"/>
    <col min="10497" max="10497" width="13.42578125" style="206" bestFit="1" customWidth="1"/>
    <col min="10498" max="10498" width="7.5703125" style="206" customWidth="1"/>
    <col min="10499" max="10499" width="11.42578125" style="206"/>
    <col min="10500" max="10500" width="13.42578125" style="206" bestFit="1" customWidth="1"/>
    <col min="10501" max="10737" width="11.42578125" style="206"/>
    <col min="10738" max="10738" width="0.42578125" style="206" customWidth="1"/>
    <col min="10739" max="10739" width="2.5703125" style="206" customWidth="1"/>
    <col min="10740" max="10740" width="15.42578125" style="206" customWidth="1"/>
    <col min="10741" max="10741" width="1.42578125" style="206" customWidth="1"/>
    <col min="10742" max="10742" width="27.5703125" style="206" customWidth="1"/>
    <col min="10743" max="10743" width="6.5703125" style="206" customWidth="1"/>
    <col min="10744" max="10744" width="1.5703125" style="206" customWidth="1"/>
    <col min="10745" max="10745" width="10.5703125" style="206" customWidth="1"/>
    <col min="10746" max="10746" width="5.5703125" style="206" customWidth="1"/>
    <col min="10747" max="10747" width="1.5703125" style="206" customWidth="1"/>
    <col min="10748" max="10748" width="10.5703125" style="206" customWidth="1"/>
    <col min="10749" max="10749" width="6.5703125" style="206" customWidth="1"/>
    <col min="10750" max="10750" width="1.5703125" style="206" customWidth="1"/>
    <col min="10751" max="10751" width="10.5703125" style="206" customWidth="1"/>
    <col min="10752" max="10752" width="9.5703125" style="206" customWidth="1"/>
    <col min="10753" max="10753" width="13.42578125" style="206" bestFit="1" customWidth="1"/>
    <col min="10754" max="10754" width="7.5703125" style="206" customWidth="1"/>
    <col min="10755" max="10755" width="11.42578125" style="206"/>
    <col min="10756" max="10756" width="13.42578125" style="206" bestFit="1" customWidth="1"/>
    <col min="10757" max="10993" width="11.42578125" style="206"/>
    <col min="10994" max="10994" width="0.42578125" style="206" customWidth="1"/>
    <col min="10995" max="10995" width="2.5703125" style="206" customWidth="1"/>
    <col min="10996" max="10996" width="15.42578125" style="206" customWidth="1"/>
    <col min="10997" max="10997" width="1.42578125" style="206" customWidth="1"/>
    <col min="10998" max="10998" width="27.5703125" style="206" customWidth="1"/>
    <col min="10999" max="10999" width="6.5703125" style="206" customWidth="1"/>
    <col min="11000" max="11000" width="1.5703125" style="206" customWidth="1"/>
    <col min="11001" max="11001" width="10.5703125" style="206" customWidth="1"/>
    <col min="11002" max="11002" width="5.5703125" style="206" customWidth="1"/>
    <col min="11003" max="11003" width="1.5703125" style="206" customWidth="1"/>
    <col min="11004" max="11004" width="10.5703125" style="206" customWidth="1"/>
    <col min="11005" max="11005" width="6.5703125" style="206" customWidth="1"/>
    <col min="11006" max="11006" width="1.5703125" style="206" customWidth="1"/>
    <col min="11007" max="11007" width="10.5703125" style="206" customWidth="1"/>
    <col min="11008" max="11008" width="9.5703125" style="206" customWidth="1"/>
    <col min="11009" max="11009" width="13.42578125" style="206" bestFit="1" customWidth="1"/>
    <col min="11010" max="11010" width="7.5703125" style="206" customWidth="1"/>
    <col min="11011" max="11011" width="11.42578125" style="206"/>
    <col min="11012" max="11012" width="13.42578125" style="206" bestFit="1" customWidth="1"/>
    <col min="11013" max="11249" width="11.42578125" style="206"/>
    <col min="11250" max="11250" width="0.42578125" style="206" customWidth="1"/>
    <col min="11251" max="11251" width="2.5703125" style="206" customWidth="1"/>
    <col min="11252" max="11252" width="15.42578125" style="206" customWidth="1"/>
    <col min="11253" max="11253" width="1.42578125" style="206" customWidth="1"/>
    <col min="11254" max="11254" width="27.5703125" style="206" customWidth="1"/>
    <col min="11255" max="11255" width="6.5703125" style="206" customWidth="1"/>
    <col min="11256" max="11256" width="1.5703125" style="206" customWidth="1"/>
    <col min="11257" max="11257" width="10.5703125" style="206" customWidth="1"/>
    <col min="11258" max="11258" width="5.5703125" style="206" customWidth="1"/>
    <col min="11259" max="11259" width="1.5703125" style="206" customWidth="1"/>
    <col min="11260" max="11260" width="10.5703125" style="206" customWidth="1"/>
    <col min="11261" max="11261" width="6.5703125" style="206" customWidth="1"/>
    <col min="11262" max="11262" width="1.5703125" style="206" customWidth="1"/>
    <col min="11263" max="11263" width="10.5703125" style="206" customWidth="1"/>
    <col min="11264" max="11264" width="9.5703125" style="206" customWidth="1"/>
    <col min="11265" max="11265" width="13.42578125" style="206" bestFit="1" customWidth="1"/>
    <col min="11266" max="11266" width="7.5703125" style="206" customWidth="1"/>
    <col min="11267" max="11267" width="11.42578125" style="206"/>
    <col min="11268" max="11268" width="13.42578125" style="206" bestFit="1" customWidth="1"/>
    <col min="11269" max="11505" width="11.42578125" style="206"/>
    <col min="11506" max="11506" width="0.42578125" style="206" customWidth="1"/>
    <col min="11507" max="11507" width="2.5703125" style="206" customWidth="1"/>
    <col min="11508" max="11508" width="15.42578125" style="206" customWidth="1"/>
    <col min="11509" max="11509" width="1.42578125" style="206" customWidth="1"/>
    <col min="11510" max="11510" width="27.5703125" style="206" customWidth="1"/>
    <col min="11511" max="11511" width="6.5703125" style="206" customWidth="1"/>
    <col min="11512" max="11512" width="1.5703125" style="206" customWidth="1"/>
    <col min="11513" max="11513" width="10.5703125" style="206" customWidth="1"/>
    <col min="11514" max="11514" width="5.5703125" style="206" customWidth="1"/>
    <col min="11515" max="11515" width="1.5703125" style="206" customWidth="1"/>
    <col min="11516" max="11516" width="10.5703125" style="206" customWidth="1"/>
    <col min="11517" max="11517" width="6.5703125" style="206" customWidth="1"/>
    <col min="11518" max="11518" width="1.5703125" style="206" customWidth="1"/>
    <col min="11519" max="11519" width="10.5703125" style="206" customWidth="1"/>
    <col min="11520" max="11520" width="9.5703125" style="206" customWidth="1"/>
    <col min="11521" max="11521" width="13.42578125" style="206" bestFit="1" customWidth="1"/>
    <col min="11522" max="11522" width="7.5703125" style="206" customWidth="1"/>
    <col min="11523" max="11523" width="11.42578125" style="206"/>
    <col min="11524" max="11524" width="13.42578125" style="206" bestFit="1" customWidth="1"/>
    <col min="11525" max="11761" width="11.42578125" style="206"/>
    <col min="11762" max="11762" width="0.42578125" style="206" customWidth="1"/>
    <col min="11763" max="11763" width="2.5703125" style="206" customWidth="1"/>
    <col min="11764" max="11764" width="15.42578125" style="206" customWidth="1"/>
    <col min="11765" max="11765" width="1.42578125" style="206" customWidth="1"/>
    <col min="11766" max="11766" width="27.5703125" style="206" customWidth="1"/>
    <col min="11767" max="11767" width="6.5703125" style="206" customWidth="1"/>
    <col min="11768" max="11768" width="1.5703125" style="206" customWidth="1"/>
    <col min="11769" max="11769" width="10.5703125" style="206" customWidth="1"/>
    <col min="11770" max="11770" width="5.5703125" style="206" customWidth="1"/>
    <col min="11771" max="11771" width="1.5703125" style="206" customWidth="1"/>
    <col min="11772" max="11772" width="10.5703125" style="206" customWidth="1"/>
    <col min="11773" max="11773" width="6.5703125" style="206" customWidth="1"/>
    <col min="11774" max="11774" width="1.5703125" style="206" customWidth="1"/>
    <col min="11775" max="11775" width="10.5703125" style="206" customWidth="1"/>
    <col min="11776" max="11776" width="9.5703125" style="206" customWidth="1"/>
    <col min="11777" max="11777" width="13.42578125" style="206" bestFit="1" customWidth="1"/>
    <col min="11778" max="11778" width="7.5703125" style="206" customWidth="1"/>
    <col min="11779" max="11779" width="11.42578125" style="206"/>
    <col min="11780" max="11780" width="13.42578125" style="206" bestFit="1" customWidth="1"/>
    <col min="11781" max="12017" width="11.42578125" style="206"/>
    <col min="12018" max="12018" width="0.42578125" style="206" customWidth="1"/>
    <col min="12019" max="12019" width="2.5703125" style="206" customWidth="1"/>
    <col min="12020" max="12020" width="15.42578125" style="206" customWidth="1"/>
    <col min="12021" max="12021" width="1.42578125" style="206" customWidth="1"/>
    <col min="12022" max="12022" width="27.5703125" style="206" customWidth="1"/>
    <col min="12023" max="12023" width="6.5703125" style="206" customWidth="1"/>
    <col min="12024" max="12024" width="1.5703125" style="206" customWidth="1"/>
    <col min="12025" max="12025" width="10.5703125" style="206" customWidth="1"/>
    <col min="12026" max="12026" width="5.5703125" style="206" customWidth="1"/>
    <col min="12027" max="12027" width="1.5703125" style="206" customWidth="1"/>
    <col min="12028" max="12028" width="10.5703125" style="206" customWidth="1"/>
    <col min="12029" max="12029" width="6.5703125" style="206" customWidth="1"/>
    <col min="12030" max="12030" width="1.5703125" style="206" customWidth="1"/>
    <col min="12031" max="12031" width="10.5703125" style="206" customWidth="1"/>
    <col min="12032" max="12032" width="9.5703125" style="206" customWidth="1"/>
    <col min="12033" max="12033" width="13.42578125" style="206" bestFit="1" customWidth="1"/>
    <col min="12034" max="12034" width="7.5703125" style="206" customWidth="1"/>
    <col min="12035" max="12035" width="11.42578125" style="206"/>
    <col min="12036" max="12036" width="13.42578125" style="206" bestFit="1" customWidth="1"/>
    <col min="12037" max="12273" width="11.42578125" style="206"/>
    <col min="12274" max="12274" width="0.42578125" style="206" customWidth="1"/>
    <col min="12275" max="12275" width="2.5703125" style="206" customWidth="1"/>
    <col min="12276" max="12276" width="15.42578125" style="206" customWidth="1"/>
    <col min="12277" max="12277" width="1.42578125" style="206" customWidth="1"/>
    <col min="12278" max="12278" width="27.5703125" style="206" customWidth="1"/>
    <col min="12279" max="12279" width="6.5703125" style="206" customWidth="1"/>
    <col min="12280" max="12280" width="1.5703125" style="206" customWidth="1"/>
    <col min="12281" max="12281" width="10.5703125" style="206" customWidth="1"/>
    <col min="12282" max="12282" width="5.5703125" style="206" customWidth="1"/>
    <col min="12283" max="12283" width="1.5703125" style="206" customWidth="1"/>
    <col min="12284" max="12284" width="10.5703125" style="206" customWidth="1"/>
    <col min="12285" max="12285" width="6.5703125" style="206" customWidth="1"/>
    <col min="12286" max="12286" width="1.5703125" style="206" customWidth="1"/>
    <col min="12287" max="12287" width="10.5703125" style="206" customWidth="1"/>
    <col min="12288" max="12288" width="9.5703125" style="206" customWidth="1"/>
    <col min="12289" max="12289" width="13.42578125" style="206" bestFit="1" customWidth="1"/>
    <col min="12290" max="12290" width="7.5703125" style="206" customWidth="1"/>
    <col min="12291" max="12291" width="11.42578125" style="206"/>
    <col min="12292" max="12292" width="13.42578125" style="206" bestFit="1" customWidth="1"/>
    <col min="12293" max="12529" width="11.42578125" style="206"/>
    <col min="12530" max="12530" width="0.42578125" style="206" customWidth="1"/>
    <col min="12531" max="12531" width="2.5703125" style="206" customWidth="1"/>
    <col min="12532" max="12532" width="15.42578125" style="206" customWidth="1"/>
    <col min="12533" max="12533" width="1.42578125" style="206" customWidth="1"/>
    <col min="12534" max="12534" width="27.5703125" style="206" customWidth="1"/>
    <col min="12535" max="12535" width="6.5703125" style="206" customWidth="1"/>
    <col min="12536" max="12536" width="1.5703125" style="206" customWidth="1"/>
    <col min="12537" max="12537" width="10.5703125" style="206" customWidth="1"/>
    <col min="12538" max="12538" width="5.5703125" style="206" customWidth="1"/>
    <col min="12539" max="12539" width="1.5703125" style="206" customWidth="1"/>
    <col min="12540" max="12540" width="10.5703125" style="206" customWidth="1"/>
    <col min="12541" max="12541" width="6.5703125" style="206" customWidth="1"/>
    <col min="12542" max="12542" width="1.5703125" style="206" customWidth="1"/>
    <col min="12543" max="12543" width="10.5703125" style="206" customWidth="1"/>
    <col min="12544" max="12544" width="9.5703125" style="206" customWidth="1"/>
    <col min="12545" max="12545" width="13.42578125" style="206" bestFit="1" customWidth="1"/>
    <col min="12546" max="12546" width="7.5703125" style="206" customWidth="1"/>
    <col min="12547" max="12547" width="11.42578125" style="206"/>
    <col min="12548" max="12548" width="13.42578125" style="206" bestFit="1" customWidth="1"/>
    <col min="12549" max="12785" width="11.42578125" style="206"/>
    <col min="12786" max="12786" width="0.42578125" style="206" customWidth="1"/>
    <col min="12787" max="12787" width="2.5703125" style="206" customWidth="1"/>
    <col min="12788" max="12788" width="15.42578125" style="206" customWidth="1"/>
    <col min="12789" max="12789" width="1.42578125" style="206" customWidth="1"/>
    <col min="12790" max="12790" width="27.5703125" style="206" customWidth="1"/>
    <col min="12791" max="12791" width="6.5703125" style="206" customWidth="1"/>
    <col min="12792" max="12792" width="1.5703125" style="206" customWidth="1"/>
    <col min="12793" max="12793" width="10.5703125" style="206" customWidth="1"/>
    <col min="12794" max="12794" width="5.5703125" style="206" customWidth="1"/>
    <col min="12795" max="12795" width="1.5703125" style="206" customWidth="1"/>
    <col min="12796" max="12796" width="10.5703125" style="206" customWidth="1"/>
    <col min="12797" max="12797" width="6.5703125" style="206" customWidth="1"/>
    <col min="12798" max="12798" width="1.5703125" style="206" customWidth="1"/>
    <col min="12799" max="12799" width="10.5703125" style="206" customWidth="1"/>
    <col min="12800" max="12800" width="9.5703125" style="206" customWidth="1"/>
    <col min="12801" max="12801" width="13.42578125" style="206" bestFit="1" customWidth="1"/>
    <col min="12802" max="12802" width="7.5703125" style="206" customWidth="1"/>
    <col min="12803" max="12803" width="11.42578125" style="206"/>
    <col min="12804" max="12804" width="13.42578125" style="206" bestFit="1" customWidth="1"/>
    <col min="12805" max="13041" width="11.42578125" style="206"/>
    <col min="13042" max="13042" width="0.42578125" style="206" customWidth="1"/>
    <col min="13043" max="13043" width="2.5703125" style="206" customWidth="1"/>
    <col min="13044" max="13044" width="15.42578125" style="206" customWidth="1"/>
    <col min="13045" max="13045" width="1.42578125" style="206" customWidth="1"/>
    <col min="13046" max="13046" width="27.5703125" style="206" customWidth="1"/>
    <col min="13047" max="13047" width="6.5703125" style="206" customWidth="1"/>
    <col min="13048" max="13048" width="1.5703125" style="206" customWidth="1"/>
    <col min="13049" max="13049" width="10.5703125" style="206" customWidth="1"/>
    <col min="13050" max="13050" width="5.5703125" style="206" customWidth="1"/>
    <col min="13051" max="13051" width="1.5703125" style="206" customWidth="1"/>
    <col min="13052" max="13052" width="10.5703125" style="206" customWidth="1"/>
    <col min="13053" max="13053" width="6.5703125" style="206" customWidth="1"/>
    <col min="13054" max="13054" width="1.5703125" style="206" customWidth="1"/>
    <col min="13055" max="13055" width="10.5703125" style="206" customWidth="1"/>
    <col min="13056" max="13056" width="9.5703125" style="206" customWidth="1"/>
    <col min="13057" max="13057" width="13.42578125" style="206" bestFit="1" customWidth="1"/>
    <col min="13058" max="13058" width="7.5703125" style="206" customWidth="1"/>
    <col min="13059" max="13059" width="11.42578125" style="206"/>
    <col min="13060" max="13060" width="13.42578125" style="206" bestFit="1" customWidth="1"/>
    <col min="13061" max="13297" width="11.42578125" style="206"/>
    <col min="13298" max="13298" width="0.42578125" style="206" customWidth="1"/>
    <col min="13299" max="13299" width="2.5703125" style="206" customWidth="1"/>
    <col min="13300" max="13300" width="15.42578125" style="206" customWidth="1"/>
    <col min="13301" max="13301" width="1.42578125" style="206" customWidth="1"/>
    <col min="13302" max="13302" width="27.5703125" style="206" customWidth="1"/>
    <col min="13303" max="13303" width="6.5703125" style="206" customWidth="1"/>
    <col min="13304" max="13304" width="1.5703125" style="206" customWidth="1"/>
    <col min="13305" max="13305" width="10.5703125" style="206" customWidth="1"/>
    <col min="13306" max="13306" width="5.5703125" style="206" customWidth="1"/>
    <col min="13307" max="13307" width="1.5703125" style="206" customWidth="1"/>
    <col min="13308" max="13308" width="10.5703125" style="206" customWidth="1"/>
    <col min="13309" max="13309" width="6.5703125" style="206" customWidth="1"/>
    <col min="13310" max="13310" width="1.5703125" style="206" customWidth="1"/>
    <col min="13311" max="13311" width="10.5703125" style="206" customWidth="1"/>
    <col min="13312" max="13312" width="9.5703125" style="206" customWidth="1"/>
    <col min="13313" max="13313" width="13.42578125" style="206" bestFit="1" customWidth="1"/>
    <col min="13314" max="13314" width="7.5703125" style="206" customWidth="1"/>
    <col min="13315" max="13315" width="11.42578125" style="206"/>
    <col min="13316" max="13316" width="13.42578125" style="206" bestFit="1" customWidth="1"/>
    <col min="13317" max="13553" width="11.42578125" style="206"/>
    <col min="13554" max="13554" width="0.42578125" style="206" customWidth="1"/>
    <col min="13555" max="13555" width="2.5703125" style="206" customWidth="1"/>
    <col min="13556" max="13556" width="15.42578125" style="206" customWidth="1"/>
    <col min="13557" max="13557" width="1.42578125" style="206" customWidth="1"/>
    <col min="13558" max="13558" width="27.5703125" style="206" customWidth="1"/>
    <col min="13559" max="13559" width="6.5703125" style="206" customWidth="1"/>
    <col min="13560" max="13560" width="1.5703125" style="206" customWidth="1"/>
    <col min="13561" max="13561" width="10.5703125" style="206" customWidth="1"/>
    <col min="13562" max="13562" width="5.5703125" style="206" customWidth="1"/>
    <col min="13563" max="13563" width="1.5703125" style="206" customWidth="1"/>
    <col min="13564" max="13564" width="10.5703125" style="206" customWidth="1"/>
    <col min="13565" max="13565" width="6.5703125" style="206" customWidth="1"/>
    <col min="13566" max="13566" width="1.5703125" style="206" customWidth="1"/>
    <col min="13567" max="13567" width="10.5703125" style="206" customWidth="1"/>
    <col min="13568" max="13568" width="9.5703125" style="206" customWidth="1"/>
    <col min="13569" max="13569" width="13.42578125" style="206" bestFit="1" customWidth="1"/>
    <col min="13570" max="13570" width="7.5703125" style="206" customWidth="1"/>
    <col min="13571" max="13571" width="11.42578125" style="206"/>
    <col min="13572" max="13572" width="13.42578125" style="206" bestFit="1" customWidth="1"/>
    <col min="13573" max="13809" width="11.42578125" style="206"/>
    <col min="13810" max="13810" width="0.42578125" style="206" customWidth="1"/>
    <col min="13811" max="13811" width="2.5703125" style="206" customWidth="1"/>
    <col min="13812" max="13812" width="15.42578125" style="206" customWidth="1"/>
    <col min="13813" max="13813" width="1.42578125" style="206" customWidth="1"/>
    <col min="13814" max="13814" width="27.5703125" style="206" customWidth="1"/>
    <col min="13815" max="13815" width="6.5703125" style="206" customWidth="1"/>
    <col min="13816" max="13816" width="1.5703125" style="206" customWidth="1"/>
    <col min="13817" max="13817" width="10.5703125" style="206" customWidth="1"/>
    <col min="13818" max="13818" width="5.5703125" style="206" customWidth="1"/>
    <col min="13819" max="13819" width="1.5703125" style="206" customWidth="1"/>
    <col min="13820" max="13820" width="10.5703125" style="206" customWidth="1"/>
    <col min="13821" max="13821" width="6.5703125" style="206" customWidth="1"/>
    <col min="13822" max="13822" width="1.5703125" style="206" customWidth="1"/>
    <col min="13823" max="13823" width="10.5703125" style="206" customWidth="1"/>
    <col min="13824" max="13824" width="9.5703125" style="206" customWidth="1"/>
    <col min="13825" max="13825" width="13.42578125" style="206" bestFit="1" customWidth="1"/>
    <col min="13826" max="13826" width="7.5703125" style="206" customWidth="1"/>
    <col min="13827" max="13827" width="11.42578125" style="206"/>
    <col min="13828" max="13828" width="13.42578125" style="206" bestFit="1" customWidth="1"/>
    <col min="13829" max="14065" width="11.42578125" style="206"/>
    <col min="14066" max="14066" width="0.42578125" style="206" customWidth="1"/>
    <col min="14067" max="14067" width="2.5703125" style="206" customWidth="1"/>
    <col min="14068" max="14068" width="15.42578125" style="206" customWidth="1"/>
    <col min="14069" max="14069" width="1.42578125" style="206" customWidth="1"/>
    <col min="14070" max="14070" width="27.5703125" style="206" customWidth="1"/>
    <col min="14071" max="14071" width="6.5703125" style="206" customWidth="1"/>
    <col min="14072" max="14072" width="1.5703125" style="206" customWidth="1"/>
    <col min="14073" max="14073" width="10.5703125" style="206" customWidth="1"/>
    <col min="14074" max="14074" width="5.5703125" style="206" customWidth="1"/>
    <col min="14075" max="14075" width="1.5703125" style="206" customWidth="1"/>
    <col min="14076" max="14076" width="10.5703125" style="206" customWidth="1"/>
    <col min="14077" max="14077" width="6.5703125" style="206" customWidth="1"/>
    <col min="14078" max="14078" width="1.5703125" style="206" customWidth="1"/>
    <col min="14079" max="14079" width="10.5703125" style="206" customWidth="1"/>
    <col min="14080" max="14080" width="9.5703125" style="206" customWidth="1"/>
    <col min="14081" max="14081" width="13.42578125" style="206" bestFit="1" customWidth="1"/>
    <col min="14082" max="14082" width="7.5703125" style="206" customWidth="1"/>
    <col min="14083" max="14083" width="11.42578125" style="206"/>
    <col min="14084" max="14084" width="13.42578125" style="206" bestFit="1" customWidth="1"/>
    <col min="14085" max="14321" width="11.42578125" style="206"/>
    <col min="14322" max="14322" width="0.42578125" style="206" customWidth="1"/>
    <col min="14323" max="14323" width="2.5703125" style="206" customWidth="1"/>
    <col min="14324" max="14324" width="15.42578125" style="206" customWidth="1"/>
    <col min="14325" max="14325" width="1.42578125" style="206" customWidth="1"/>
    <col min="14326" max="14326" width="27.5703125" style="206" customWidth="1"/>
    <col min="14327" max="14327" width="6.5703125" style="206" customWidth="1"/>
    <col min="14328" max="14328" width="1.5703125" style="206" customWidth="1"/>
    <col min="14329" max="14329" width="10.5703125" style="206" customWidth="1"/>
    <col min="14330" max="14330" width="5.5703125" style="206" customWidth="1"/>
    <col min="14331" max="14331" width="1.5703125" style="206" customWidth="1"/>
    <col min="14332" max="14332" width="10.5703125" style="206" customWidth="1"/>
    <col min="14333" max="14333" width="6.5703125" style="206" customWidth="1"/>
    <col min="14334" max="14334" width="1.5703125" style="206" customWidth="1"/>
    <col min="14335" max="14335" width="10.5703125" style="206" customWidth="1"/>
    <col min="14336" max="14336" width="9.5703125" style="206" customWidth="1"/>
    <col min="14337" max="14337" width="13.42578125" style="206" bestFit="1" customWidth="1"/>
    <col min="14338" max="14338" width="7.5703125" style="206" customWidth="1"/>
    <col min="14339" max="14339" width="11.42578125" style="206"/>
    <col min="14340" max="14340" width="13.42578125" style="206" bestFit="1" customWidth="1"/>
    <col min="14341" max="14577" width="11.42578125" style="206"/>
    <col min="14578" max="14578" width="0.42578125" style="206" customWidth="1"/>
    <col min="14579" max="14579" width="2.5703125" style="206" customWidth="1"/>
    <col min="14580" max="14580" width="15.42578125" style="206" customWidth="1"/>
    <col min="14581" max="14581" width="1.42578125" style="206" customWidth="1"/>
    <col min="14582" max="14582" width="27.5703125" style="206" customWidth="1"/>
    <col min="14583" max="14583" width="6.5703125" style="206" customWidth="1"/>
    <col min="14584" max="14584" width="1.5703125" style="206" customWidth="1"/>
    <col min="14585" max="14585" width="10.5703125" style="206" customWidth="1"/>
    <col min="14586" max="14586" width="5.5703125" style="206" customWidth="1"/>
    <col min="14587" max="14587" width="1.5703125" style="206" customWidth="1"/>
    <col min="14588" max="14588" width="10.5703125" style="206" customWidth="1"/>
    <col min="14589" max="14589" width="6.5703125" style="206" customWidth="1"/>
    <col min="14590" max="14590" width="1.5703125" style="206" customWidth="1"/>
    <col min="14591" max="14591" width="10.5703125" style="206" customWidth="1"/>
    <col min="14592" max="14592" width="9.5703125" style="206" customWidth="1"/>
    <col min="14593" max="14593" width="13.42578125" style="206" bestFit="1" customWidth="1"/>
    <col min="14594" max="14594" width="7.5703125" style="206" customWidth="1"/>
    <col min="14595" max="14595" width="11.42578125" style="206"/>
    <col min="14596" max="14596" width="13.42578125" style="206" bestFit="1" customWidth="1"/>
    <col min="14597" max="14833" width="11.42578125" style="206"/>
    <col min="14834" max="14834" width="0.42578125" style="206" customWidth="1"/>
    <col min="14835" max="14835" width="2.5703125" style="206" customWidth="1"/>
    <col min="14836" max="14836" width="15.42578125" style="206" customWidth="1"/>
    <col min="14837" max="14837" width="1.42578125" style="206" customWidth="1"/>
    <col min="14838" max="14838" width="27.5703125" style="206" customWidth="1"/>
    <col min="14839" max="14839" width="6.5703125" style="206" customWidth="1"/>
    <col min="14840" max="14840" width="1.5703125" style="206" customWidth="1"/>
    <col min="14841" max="14841" width="10.5703125" style="206" customWidth="1"/>
    <col min="14842" max="14842" width="5.5703125" style="206" customWidth="1"/>
    <col min="14843" max="14843" width="1.5703125" style="206" customWidth="1"/>
    <col min="14844" max="14844" width="10.5703125" style="206" customWidth="1"/>
    <col min="14845" max="14845" width="6.5703125" style="206" customWidth="1"/>
    <col min="14846" max="14846" width="1.5703125" style="206" customWidth="1"/>
    <col min="14847" max="14847" width="10.5703125" style="206" customWidth="1"/>
    <col min="14848" max="14848" width="9.5703125" style="206" customWidth="1"/>
    <col min="14849" max="14849" width="13.42578125" style="206" bestFit="1" customWidth="1"/>
    <col min="14850" max="14850" width="7.5703125" style="206" customWidth="1"/>
    <col min="14851" max="14851" width="11.42578125" style="206"/>
    <col min="14852" max="14852" width="13.42578125" style="206" bestFit="1" customWidth="1"/>
    <col min="14853" max="15089" width="11.42578125" style="206"/>
    <col min="15090" max="15090" width="0.42578125" style="206" customWidth="1"/>
    <col min="15091" max="15091" width="2.5703125" style="206" customWidth="1"/>
    <col min="15092" max="15092" width="15.42578125" style="206" customWidth="1"/>
    <col min="15093" max="15093" width="1.42578125" style="206" customWidth="1"/>
    <col min="15094" max="15094" width="27.5703125" style="206" customWidth="1"/>
    <col min="15095" max="15095" width="6.5703125" style="206" customWidth="1"/>
    <col min="15096" max="15096" width="1.5703125" style="206" customWidth="1"/>
    <col min="15097" max="15097" width="10.5703125" style="206" customWidth="1"/>
    <col min="15098" max="15098" width="5.5703125" style="206" customWidth="1"/>
    <col min="15099" max="15099" width="1.5703125" style="206" customWidth="1"/>
    <col min="15100" max="15100" width="10.5703125" style="206" customWidth="1"/>
    <col min="15101" max="15101" width="6.5703125" style="206" customWidth="1"/>
    <col min="15102" max="15102" width="1.5703125" style="206" customWidth="1"/>
    <col min="15103" max="15103" width="10.5703125" style="206" customWidth="1"/>
    <col min="15104" max="15104" width="9.5703125" style="206" customWidth="1"/>
    <col min="15105" max="15105" width="13.42578125" style="206" bestFit="1" customWidth="1"/>
    <col min="15106" max="15106" width="7.5703125" style="206" customWidth="1"/>
    <col min="15107" max="15107" width="11.42578125" style="206"/>
    <col min="15108" max="15108" width="13.42578125" style="206" bestFit="1" customWidth="1"/>
    <col min="15109" max="15345" width="11.42578125" style="206"/>
    <col min="15346" max="15346" width="0.42578125" style="206" customWidth="1"/>
    <col min="15347" max="15347" width="2.5703125" style="206" customWidth="1"/>
    <col min="15348" max="15348" width="15.42578125" style="206" customWidth="1"/>
    <col min="15349" max="15349" width="1.42578125" style="206" customWidth="1"/>
    <col min="15350" max="15350" width="27.5703125" style="206" customWidth="1"/>
    <col min="15351" max="15351" width="6.5703125" style="206" customWidth="1"/>
    <col min="15352" max="15352" width="1.5703125" style="206" customWidth="1"/>
    <col min="15353" max="15353" width="10.5703125" style="206" customWidth="1"/>
    <col min="15354" max="15354" width="5.5703125" style="206" customWidth="1"/>
    <col min="15355" max="15355" width="1.5703125" style="206" customWidth="1"/>
    <col min="15356" max="15356" width="10.5703125" style="206" customWidth="1"/>
    <col min="15357" max="15357" width="6.5703125" style="206" customWidth="1"/>
    <col min="15358" max="15358" width="1.5703125" style="206" customWidth="1"/>
    <col min="15359" max="15359" width="10.5703125" style="206" customWidth="1"/>
    <col min="15360" max="15360" width="9.5703125" style="206" customWidth="1"/>
    <col min="15361" max="15361" width="13.42578125" style="206" bestFit="1" customWidth="1"/>
    <col min="15362" max="15362" width="7.5703125" style="206" customWidth="1"/>
    <col min="15363" max="15363" width="11.42578125" style="206"/>
    <col min="15364" max="15364" width="13.42578125" style="206" bestFit="1" customWidth="1"/>
    <col min="15365" max="15601" width="11.42578125" style="206"/>
    <col min="15602" max="15602" width="0.42578125" style="206" customWidth="1"/>
    <col min="15603" max="15603" width="2.5703125" style="206" customWidth="1"/>
    <col min="15604" max="15604" width="15.42578125" style="206" customWidth="1"/>
    <col min="15605" max="15605" width="1.42578125" style="206" customWidth="1"/>
    <col min="15606" max="15606" width="27.5703125" style="206" customWidth="1"/>
    <col min="15607" max="15607" width="6.5703125" style="206" customWidth="1"/>
    <col min="15608" max="15608" width="1.5703125" style="206" customWidth="1"/>
    <col min="15609" max="15609" width="10.5703125" style="206" customWidth="1"/>
    <col min="15610" max="15610" width="5.5703125" style="206" customWidth="1"/>
    <col min="15611" max="15611" width="1.5703125" style="206" customWidth="1"/>
    <col min="15612" max="15612" width="10.5703125" style="206" customWidth="1"/>
    <col min="15613" max="15613" width="6.5703125" style="206" customWidth="1"/>
    <col min="15614" max="15614" width="1.5703125" style="206" customWidth="1"/>
    <col min="15615" max="15615" width="10.5703125" style="206" customWidth="1"/>
    <col min="15616" max="15616" width="9.5703125" style="206" customWidth="1"/>
    <col min="15617" max="15617" width="13.42578125" style="206" bestFit="1" customWidth="1"/>
    <col min="15618" max="15618" width="7.5703125" style="206" customWidth="1"/>
    <col min="15619" max="15619" width="11.42578125" style="206"/>
    <col min="15620" max="15620" width="13.42578125" style="206" bestFit="1" customWidth="1"/>
    <col min="15621" max="15857" width="11.42578125" style="206"/>
    <col min="15858" max="15858" width="0.42578125" style="206" customWidth="1"/>
    <col min="15859" max="15859" width="2.5703125" style="206" customWidth="1"/>
    <col min="15860" max="15860" width="15.42578125" style="206" customWidth="1"/>
    <col min="15861" max="15861" width="1.42578125" style="206" customWidth="1"/>
    <col min="15862" max="15862" width="27.5703125" style="206" customWidth="1"/>
    <col min="15863" max="15863" width="6.5703125" style="206" customWidth="1"/>
    <col min="15864" max="15864" width="1.5703125" style="206" customWidth="1"/>
    <col min="15865" max="15865" width="10.5703125" style="206" customWidth="1"/>
    <col min="15866" max="15866" width="5.5703125" style="206" customWidth="1"/>
    <col min="15867" max="15867" width="1.5703125" style="206" customWidth="1"/>
    <col min="15868" max="15868" width="10.5703125" style="206" customWidth="1"/>
    <col min="15869" max="15869" width="6.5703125" style="206" customWidth="1"/>
    <col min="15870" max="15870" width="1.5703125" style="206" customWidth="1"/>
    <col min="15871" max="15871" width="10.5703125" style="206" customWidth="1"/>
    <col min="15872" max="15872" width="9.5703125" style="206" customWidth="1"/>
    <col min="15873" max="15873" width="13.42578125" style="206" bestFit="1" customWidth="1"/>
    <col min="15874" max="15874" width="7.5703125" style="206" customWidth="1"/>
    <col min="15875" max="15875" width="11.42578125" style="206"/>
    <col min="15876" max="15876" width="13.42578125" style="206" bestFit="1" customWidth="1"/>
    <col min="15877" max="16113" width="11.42578125" style="206"/>
    <col min="16114" max="16114" width="0.42578125" style="206" customWidth="1"/>
    <col min="16115" max="16115" width="2.5703125" style="206" customWidth="1"/>
    <col min="16116" max="16116" width="15.42578125" style="206" customWidth="1"/>
    <col min="16117" max="16117" width="1.42578125" style="206" customWidth="1"/>
    <col min="16118" max="16118" width="27.5703125" style="206" customWidth="1"/>
    <col min="16119" max="16119" width="6.5703125" style="206" customWidth="1"/>
    <col min="16120" max="16120" width="1.5703125" style="206" customWidth="1"/>
    <col min="16121" max="16121" width="10.5703125" style="206" customWidth="1"/>
    <col min="16122" max="16122" width="5.5703125" style="206" customWidth="1"/>
    <col min="16123" max="16123" width="1.5703125" style="206" customWidth="1"/>
    <col min="16124" max="16124" width="10.5703125" style="206" customWidth="1"/>
    <col min="16125" max="16125" width="6.5703125" style="206" customWidth="1"/>
    <col min="16126" max="16126" width="1.5703125" style="206" customWidth="1"/>
    <col min="16127" max="16127" width="10.5703125" style="206" customWidth="1"/>
    <col min="16128" max="16128" width="9.5703125" style="206" customWidth="1"/>
    <col min="16129" max="16129" width="13.42578125" style="206" bestFit="1" customWidth="1"/>
    <col min="16130" max="16130" width="7.5703125" style="206" customWidth="1"/>
    <col min="16131" max="16131" width="11.42578125" style="206"/>
    <col min="16132" max="16132" width="13.42578125" style="206" bestFit="1" customWidth="1"/>
    <col min="16133" max="16384" width="11.42578125" style="206"/>
  </cols>
  <sheetData>
    <row r="1" spans="1:14" s="54" customFormat="1" ht="0.75" customHeight="1"/>
    <row r="2" spans="1:14" s="54" customFormat="1" ht="21" customHeight="1">
      <c r="E2" s="65"/>
      <c r="G2" s="27" t="s">
        <v>19</v>
      </c>
    </row>
    <row r="3" spans="1:14" s="54" customFormat="1" ht="15" customHeight="1">
      <c r="E3" s="62"/>
      <c r="F3" s="62"/>
      <c r="G3" s="43" t="s">
        <v>129</v>
      </c>
    </row>
    <row r="4" spans="1:14" s="58" customFormat="1" ht="20.25" customHeight="1">
      <c r="B4" s="57"/>
      <c r="C4" s="25" t="s">
        <v>131</v>
      </c>
      <c r="G4" s="204"/>
    </row>
    <row r="5" spans="1:14" s="58" customFormat="1" ht="12.75" customHeight="1">
      <c r="B5" s="57"/>
      <c r="C5" s="45"/>
      <c r="G5" s="204"/>
    </row>
    <row r="6" spans="1:14" s="58" customFormat="1" ht="13.5" customHeight="1">
      <c r="B6" s="57"/>
      <c r="D6" s="55"/>
      <c r="E6" s="55"/>
      <c r="G6" s="204"/>
    </row>
    <row r="7" spans="1:14" s="58" customFormat="1" ht="12.75" customHeight="1">
      <c r="B7" s="57"/>
      <c r="C7" s="244" t="s">
        <v>138</v>
      </c>
      <c r="D7" s="55"/>
      <c r="E7" s="247" t="s">
        <v>139</v>
      </c>
      <c r="F7" s="247"/>
      <c r="G7" s="204"/>
    </row>
    <row r="8" spans="1:14" ht="12.75" customHeight="1">
      <c r="A8" s="58"/>
      <c r="B8" s="57"/>
      <c r="C8" s="244"/>
      <c r="D8" s="55"/>
      <c r="E8" s="248" t="str">
        <f>CONCATENATE(TEXT(SUM(Dat_01!R23:R24),"0,00")," MWh")</f>
        <v>-1,04 MWh</v>
      </c>
      <c r="F8" s="248"/>
      <c r="G8" s="205"/>
    </row>
    <row r="9" spans="1:14">
      <c r="A9" s="58"/>
      <c r="B9" s="57"/>
      <c r="C9" s="244"/>
      <c r="D9" s="55"/>
      <c r="F9" s="206"/>
      <c r="G9" s="208"/>
      <c r="H9" s="209"/>
      <c r="I9" s="209"/>
      <c r="J9" s="210"/>
      <c r="K9" s="209"/>
      <c r="L9" s="210"/>
      <c r="M9" s="209"/>
      <c r="N9" s="210"/>
    </row>
    <row r="10" spans="1:14">
      <c r="C10" s="207"/>
      <c r="E10" s="245" t="s">
        <v>135</v>
      </c>
      <c r="F10" s="246" t="str">
        <f>CONCATENATE(TEXT(Dat_01!R23,"0,00")," MWh")</f>
        <v>0,00 MWh</v>
      </c>
    </row>
    <row r="11" spans="1:14">
      <c r="E11" s="245"/>
      <c r="F11" s="246"/>
    </row>
    <row r="12" spans="1:14">
      <c r="E12" s="211"/>
      <c r="F12" s="211"/>
    </row>
    <row r="13" spans="1:14">
      <c r="E13" s="211"/>
      <c r="F13" s="211"/>
    </row>
    <row r="14" spans="1:14">
      <c r="F14" s="211"/>
    </row>
    <row r="15" spans="1:14">
      <c r="E15" s="211"/>
      <c r="F15" s="212"/>
    </row>
    <row r="16" spans="1:14">
      <c r="E16" s="211"/>
      <c r="F16" s="211"/>
    </row>
    <row r="17" spans="1:14">
      <c r="E17" s="211"/>
      <c r="F17" s="211"/>
    </row>
    <row r="18" spans="1:14">
      <c r="E18" s="211"/>
      <c r="F18" s="211"/>
    </row>
    <row r="19" spans="1:14">
      <c r="E19" s="211"/>
      <c r="F19" s="211"/>
    </row>
    <row r="20" spans="1:14">
      <c r="E20" s="211"/>
      <c r="F20" s="211"/>
    </row>
    <row r="21" spans="1:14">
      <c r="E21" s="211"/>
      <c r="F21" s="211"/>
    </row>
    <row r="22" spans="1:14">
      <c r="E22" s="211"/>
      <c r="F22" s="211"/>
    </row>
    <row r="23" spans="1:14">
      <c r="E23" s="245" t="s">
        <v>136</v>
      </c>
      <c r="F23" s="246" t="str">
        <f>CONCATENATE(TEXT(SUM(Dat_01!R24),"0,00")," MWh")</f>
        <v>-1,04 MWh</v>
      </c>
    </row>
    <row r="24" spans="1:14" s="213" customFormat="1">
      <c r="A24" s="54"/>
      <c r="B24" s="54"/>
      <c r="C24" s="54"/>
      <c r="D24" s="54"/>
      <c r="E24" s="245"/>
      <c r="F24" s="246"/>
      <c r="G24" s="206"/>
      <c r="H24" s="206"/>
      <c r="I24" s="206"/>
      <c r="J24" s="206"/>
      <c r="K24" s="206"/>
      <c r="L24" s="206"/>
      <c r="M24" s="206"/>
      <c r="N24" s="206"/>
    </row>
  </sheetData>
  <mergeCells count="7">
    <mergeCell ref="E23:E24"/>
    <mergeCell ref="F23:F24"/>
    <mergeCell ref="C7:C9"/>
    <mergeCell ref="E7:F7"/>
    <mergeCell ref="E8:F8"/>
    <mergeCell ref="E10:E11"/>
    <mergeCell ref="F10:F11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ignoredErrors>
    <ignoredError sqref="E8" formulaRange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AG180"/>
  <sheetViews>
    <sheetView zoomScaleNormal="100" workbookViewId="0">
      <selection activeCell="C85" sqref="C85:X85"/>
    </sheetView>
  </sheetViews>
  <sheetFormatPr baseColWidth="10" defaultColWidth="11.42578125" defaultRowHeight="12"/>
  <cols>
    <col min="1" max="1" width="12.5703125" style="99" bestFit="1" customWidth="1"/>
    <col min="2" max="2" width="14.5703125" style="99" bestFit="1" customWidth="1"/>
    <col min="3" max="3" width="26.5703125" style="99" bestFit="1" customWidth="1"/>
    <col min="4" max="4" width="22.42578125" style="99" bestFit="1" customWidth="1"/>
    <col min="5" max="5" width="23.5703125" style="99" bestFit="1" customWidth="1"/>
    <col min="6" max="6" width="36.140625" style="99" bestFit="1" customWidth="1"/>
    <col min="7" max="7" width="26.140625" style="99" bestFit="1" customWidth="1"/>
    <col min="8" max="8" width="22.140625" style="99" bestFit="1" customWidth="1"/>
    <col min="9" max="9" width="23.28515625" style="99" bestFit="1" customWidth="1"/>
    <col min="10" max="10" width="31.140625" style="99" bestFit="1" customWidth="1"/>
    <col min="11" max="11" width="30.85546875" style="99" bestFit="1" customWidth="1"/>
    <col min="12" max="12" width="26.85546875" style="99" bestFit="1" customWidth="1"/>
    <col min="13" max="13" width="28" style="99" bestFit="1" customWidth="1"/>
    <col min="14" max="14" width="35.85546875" style="99" bestFit="1" customWidth="1"/>
    <col min="15" max="33" width="15.5703125" style="99" customWidth="1"/>
    <col min="34" max="16384" width="11.42578125" style="99"/>
  </cols>
  <sheetData>
    <row r="1" spans="1:33">
      <c r="A1" s="126" t="s">
        <v>59</v>
      </c>
      <c r="B1" s="126" t="s">
        <v>63</v>
      </c>
    </row>
    <row r="2" spans="1:33">
      <c r="A2" s="127" t="s">
        <v>147</v>
      </c>
      <c r="B2" s="127" t="s">
        <v>148</v>
      </c>
    </row>
    <row r="4" spans="1:33" ht="15">
      <c r="A4" s="128" t="s">
        <v>59</v>
      </c>
      <c r="B4" s="251" t="s">
        <v>147</v>
      </c>
      <c r="C4" s="252"/>
      <c r="D4" s="252"/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2"/>
      <c r="S4" s="252"/>
      <c r="T4" s="252"/>
      <c r="U4" s="252"/>
      <c r="V4" s="252"/>
      <c r="W4" s="252"/>
      <c r="X4" s="252"/>
      <c r="Y4" s="252"/>
      <c r="Z4" s="252"/>
      <c r="AA4" s="252"/>
      <c r="AB4" s="252"/>
      <c r="AC4" s="252"/>
      <c r="AD4" s="252"/>
      <c r="AE4" s="252"/>
      <c r="AF4" s="252"/>
      <c r="AG4" s="252"/>
    </row>
    <row r="5" spans="1:33" ht="15">
      <c r="A5" s="128" t="s">
        <v>60</v>
      </c>
      <c r="B5" s="253" t="s">
        <v>15</v>
      </c>
      <c r="C5" s="254"/>
      <c r="D5" s="254"/>
      <c r="E5" s="254"/>
      <c r="F5" s="254"/>
      <c r="G5" s="254"/>
      <c r="H5" s="254"/>
      <c r="I5" s="255"/>
      <c r="J5" s="253" t="s">
        <v>14</v>
      </c>
      <c r="K5" s="254"/>
      <c r="L5" s="254"/>
      <c r="M5" s="254"/>
      <c r="N5" s="254"/>
      <c r="O5" s="254"/>
      <c r="P5" s="254"/>
      <c r="Q5" s="255"/>
      <c r="R5" s="253" t="s">
        <v>49</v>
      </c>
      <c r="S5" s="254"/>
      <c r="T5" s="254"/>
      <c r="U5" s="254"/>
      <c r="V5" s="254"/>
      <c r="W5" s="254"/>
      <c r="X5" s="254"/>
      <c r="Y5" s="255"/>
      <c r="Z5" s="253" t="s">
        <v>50</v>
      </c>
      <c r="AA5" s="254"/>
      <c r="AB5" s="254"/>
      <c r="AC5" s="254"/>
      <c r="AD5" s="254"/>
      <c r="AE5" s="254"/>
      <c r="AF5" s="254"/>
      <c r="AG5" s="254"/>
    </row>
    <row r="6" spans="1:33">
      <c r="A6" s="128" t="s">
        <v>61</v>
      </c>
      <c r="B6" s="153" t="s">
        <v>51</v>
      </c>
      <c r="C6" s="153" t="s">
        <v>52</v>
      </c>
      <c r="D6" s="153" t="s">
        <v>53</v>
      </c>
      <c r="E6" s="153" t="s">
        <v>54</v>
      </c>
      <c r="F6" s="153" t="s">
        <v>55</v>
      </c>
      <c r="G6" s="153" t="s">
        <v>56</v>
      </c>
      <c r="H6" s="153" t="s">
        <v>57</v>
      </c>
      <c r="I6" s="153" t="s">
        <v>58</v>
      </c>
      <c r="J6" s="153" t="s">
        <v>51</v>
      </c>
      <c r="K6" s="153" t="s">
        <v>52</v>
      </c>
      <c r="L6" s="153" t="s">
        <v>53</v>
      </c>
      <c r="M6" s="153" t="s">
        <v>54</v>
      </c>
      <c r="N6" s="153" t="s">
        <v>55</v>
      </c>
      <c r="O6" s="153" t="s">
        <v>56</v>
      </c>
      <c r="P6" s="153" t="s">
        <v>57</v>
      </c>
      <c r="Q6" s="153" t="s">
        <v>58</v>
      </c>
      <c r="R6" s="153" t="s">
        <v>51</v>
      </c>
      <c r="S6" s="153" t="s">
        <v>52</v>
      </c>
      <c r="T6" s="153" t="s">
        <v>53</v>
      </c>
      <c r="U6" s="153" t="s">
        <v>54</v>
      </c>
      <c r="V6" s="153" t="s">
        <v>55</v>
      </c>
      <c r="W6" s="153" t="s">
        <v>56</v>
      </c>
      <c r="X6" s="153" t="s">
        <v>57</v>
      </c>
      <c r="Y6" s="153" t="s">
        <v>58</v>
      </c>
      <c r="Z6" s="153" t="s">
        <v>51</v>
      </c>
      <c r="AA6" s="153" t="s">
        <v>52</v>
      </c>
      <c r="AB6" s="153" t="s">
        <v>53</v>
      </c>
      <c r="AC6" s="153" t="s">
        <v>54</v>
      </c>
      <c r="AD6" s="153" t="s">
        <v>55</v>
      </c>
      <c r="AE6" s="153" t="s">
        <v>56</v>
      </c>
      <c r="AF6" s="153" t="s">
        <v>57</v>
      </c>
      <c r="AG6" s="153" t="s">
        <v>58</v>
      </c>
    </row>
    <row r="7" spans="1:33">
      <c r="A7" s="128" t="s">
        <v>62</v>
      </c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29"/>
      <c r="O7" s="129"/>
      <c r="P7" s="129"/>
      <c r="Q7" s="129"/>
      <c r="R7" s="129"/>
      <c r="S7" s="129"/>
      <c r="T7" s="129"/>
      <c r="U7" s="129"/>
      <c r="V7" s="129"/>
      <c r="W7" s="129"/>
      <c r="X7" s="129"/>
      <c r="Y7" s="129"/>
      <c r="Z7" s="129"/>
      <c r="AA7" s="129"/>
      <c r="AB7" s="129"/>
      <c r="AC7" s="129"/>
      <c r="AD7" s="129"/>
      <c r="AE7" s="129"/>
      <c r="AF7" s="129"/>
      <c r="AG7" s="129"/>
    </row>
    <row r="8" spans="1:33">
      <c r="A8" s="127" t="s">
        <v>12</v>
      </c>
      <c r="B8" s="225">
        <v>0</v>
      </c>
      <c r="C8" s="225">
        <v>0</v>
      </c>
      <c r="D8" s="226">
        <v>0</v>
      </c>
      <c r="E8" s="225">
        <v>0</v>
      </c>
      <c r="F8" s="225">
        <v>0</v>
      </c>
      <c r="G8" s="226">
        <v>0</v>
      </c>
      <c r="H8" s="225">
        <v>0</v>
      </c>
      <c r="I8" s="226">
        <v>0</v>
      </c>
      <c r="J8" s="225">
        <v>0</v>
      </c>
      <c r="K8" s="225">
        <v>0</v>
      </c>
      <c r="L8" s="226">
        <v>0</v>
      </c>
      <c r="M8" s="225">
        <v>0</v>
      </c>
      <c r="N8" s="225">
        <v>0</v>
      </c>
      <c r="O8" s="226">
        <v>0</v>
      </c>
      <c r="P8" s="225">
        <v>0</v>
      </c>
      <c r="Q8" s="226">
        <v>0</v>
      </c>
      <c r="R8" s="225">
        <v>0</v>
      </c>
      <c r="S8" s="225">
        <v>0</v>
      </c>
      <c r="T8" s="226">
        <v>0</v>
      </c>
      <c r="U8" s="225">
        <v>0</v>
      </c>
      <c r="V8" s="225">
        <v>0</v>
      </c>
      <c r="W8" s="226">
        <v>0</v>
      </c>
      <c r="X8" s="225">
        <v>0</v>
      </c>
      <c r="Y8" s="226">
        <v>0</v>
      </c>
      <c r="Z8" s="225">
        <v>0</v>
      </c>
      <c r="AA8" s="225">
        <v>276.21199999999999</v>
      </c>
      <c r="AB8" s="226">
        <v>-1</v>
      </c>
      <c r="AC8" s="225">
        <v>339.86099999999999</v>
      </c>
      <c r="AD8" s="225">
        <v>2518.835</v>
      </c>
      <c r="AE8" s="226">
        <v>-0.86507214639999996</v>
      </c>
      <c r="AF8" s="225">
        <v>1210.4670000000001</v>
      </c>
      <c r="AG8" s="226">
        <v>-0.64484332479999995</v>
      </c>
    </row>
    <row r="9" spans="1:33">
      <c r="A9" s="127" t="s">
        <v>11</v>
      </c>
      <c r="B9" s="225">
        <v>0</v>
      </c>
      <c r="C9" s="225">
        <v>0</v>
      </c>
      <c r="D9" s="226">
        <v>0</v>
      </c>
      <c r="E9" s="225">
        <v>0</v>
      </c>
      <c r="F9" s="225">
        <v>0</v>
      </c>
      <c r="G9" s="226">
        <v>0</v>
      </c>
      <c r="H9" s="225">
        <v>0</v>
      </c>
      <c r="I9" s="226">
        <v>0</v>
      </c>
      <c r="J9" s="225">
        <v>0</v>
      </c>
      <c r="K9" s="225">
        <v>0</v>
      </c>
      <c r="L9" s="226">
        <v>0</v>
      </c>
      <c r="M9" s="225">
        <v>0</v>
      </c>
      <c r="N9" s="225">
        <v>0</v>
      </c>
      <c r="O9" s="226">
        <v>0</v>
      </c>
      <c r="P9" s="225">
        <v>0</v>
      </c>
      <c r="Q9" s="226">
        <v>0</v>
      </c>
      <c r="R9" s="225">
        <v>0</v>
      </c>
      <c r="S9" s="225">
        <v>0</v>
      </c>
      <c r="T9" s="226">
        <v>0</v>
      </c>
      <c r="U9" s="225">
        <v>95245.187999999995</v>
      </c>
      <c r="V9" s="225">
        <v>58050.74</v>
      </c>
      <c r="W9" s="226">
        <v>0.64072306400000001</v>
      </c>
      <c r="X9" s="225">
        <v>95245.187999999995</v>
      </c>
      <c r="Y9" s="226">
        <v>0.64072306400000001</v>
      </c>
      <c r="Z9" s="225">
        <v>0</v>
      </c>
      <c r="AA9" s="225">
        <v>0</v>
      </c>
      <c r="AB9" s="226">
        <v>0</v>
      </c>
      <c r="AC9" s="225">
        <v>0</v>
      </c>
      <c r="AD9" s="225">
        <v>0</v>
      </c>
      <c r="AE9" s="226">
        <v>0</v>
      </c>
      <c r="AF9" s="225">
        <v>0</v>
      </c>
      <c r="AG9" s="226">
        <v>0</v>
      </c>
    </row>
    <row r="10" spans="1:33">
      <c r="A10" s="127" t="s">
        <v>69</v>
      </c>
      <c r="B10" s="225">
        <v>17843.856</v>
      </c>
      <c r="C10" s="225">
        <v>16065.1</v>
      </c>
      <c r="D10" s="226">
        <v>0.1107217509</v>
      </c>
      <c r="E10" s="225">
        <v>153366.81400000001</v>
      </c>
      <c r="F10" s="225">
        <v>140706.731</v>
      </c>
      <c r="G10" s="226">
        <v>8.9974963599999999E-2</v>
      </c>
      <c r="H10" s="225">
        <v>198535.06299999999</v>
      </c>
      <c r="I10" s="226">
        <v>6.4885173300000001E-2</v>
      </c>
      <c r="J10" s="225">
        <v>19388.259999999998</v>
      </c>
      <c r="K10" s="225">
        <v>17437.605</v>
      </c>
      <c r="L10" s="226">
        <v>0.1118648461</v>
      </c>
      <c r="M10" s="225">
        <v>162411.88399999999</v>
      </c>
      <c r="N10" s="225">
        <v>145179.19099999999</v>
      </c>
      <c r="O10" s="226">
        <v>0.1186994698</v>
      </c>
      <c r="P10" s="225">
        <v>208547.967</v>
      </c>
      <c r="Q10" s="226">
        <v>9.2930848100000005E-2</v>
      </c>
      <c r="R10" s="225">
        <v>45454.34</v>
      </c>
      <c r="S10" s="225">
        <v>37101.396999999997</v>
      </c>
      <c r="T10" s="226">
        <v>0.22513823399999999</v>
      </c>
      <c r="U10" s="225">
        <v>264982.26699999999</v>
      </c>
      <c r="V10" s="225">
        <v>220189.94699999999</v>
      </c>
      <c r="W10" s="226">
        <v>0.2034258176</v>
      </c>
      <c r="X10" s="225">
        <v>306616.23599999998</v>
      </c>
      <c r="Y10" s="226">
        <v>0.21727634330000001</v>
      </c>
      <c r="Z10" s="225">
        <v>146533.94200000001</v>
      </c>
      <c r="AA10" s="225">
        <v>158023.614</v>
      </c>
      <c r="AB10" s="226">
        <v>-7.2708576299999994E-2</v>
      </c>
      <c r="AC10" s="225">
        <v>1347225.4809999999</v>
      </c>
      <c r="AD10" s="225">
        <v>1395217.774</v>
      </c>
      <c r="AE10" s="226">
        <v>-3.4397707600000001E-2</v>
      </c>
      <c r="AF10" s="225">
        <v>1829954.699</v>
      </c>
      <c r="AG10" s="226">
        <v>-4.9092195399999997E-2</v>
      </c>
    </row>
    <row r="11" spans="1:33">
      <c r="A11" s="127" t="s">
        <v>9</v>
      </c>
      <c r="B11" s="225">
        <v>16.175999999999998</v>
      </c>
      <c r="C11" s="225">
        <v>261.90199999999999</v>
      </c>
      <c r="D11" s="226">
        <v>-0.93823643960000003</v>
      </c>
      <c r="E11" s="225">
        <v>162.31</v>
      </c>
      <c r="F11" s="225">
        <v>618.33299999999997</v>
      </c>
      <c r="G11" s="226">
        <v>-0.73750390160000001</v>
      </c>
      <c r="H11" s="225">
        <v>184.04900000000001</v>
      </c>
      <c r="I11" s="226">
        <v>-0.71362487070000002</v>
      </c>
      <c r="J11" s="225">
        <v>5.74</v>
      </c>
      <c r="K11" s="225">
        <v>1.373</v>
      </c>
      <c r="L11" s="226">
        <v>3.1806263655999998</v>
      </c>
      <c r="M11" s="225">
        <v>101.58</v>
      </c>
      <c r="N11" s="225">
        <v>252.227</v>
      </c>
      <c r="O11" s="226">
        <v>-0.59726754069999999</v>
      </c>
      <c r="P11" s="225">
        <v>101.58</v>
      </c>
      <c r="Q11" s="226">
        <v>-0.60529076680000005</v>
      </c>
      <c r="R11" s="225">
        <v>39777.389000000003</v>
      </c>
      <c r="S11" s="225">
        <v>36627.74</v>
      </c>
      <c r="T11" s="226">
        <v>8.5990809200000004E-2</v>
      </c>
      <c r="U11" s="225">
        <v>316269.10600000003</v>
      </c>
      <c r="V11" s="225">
        <v>325357.65299999999</v>
      </c>
      <c r="W11" s="226">
        <v>-2.7934019399999999E-2</v>
      </c>
      <c r="X11" s="225">
        <v>404862.125</v>
      </c>
      <c r="Y11" s="226">
        <v>-3.00108878E-2</v>
      </c>
      <c r="Z11" s="225">
        <v>21204.672999999999</v>
      </c>
      <c r="AA11" s="225">
        <v>24502.909</v>
      </c>
      <c r="AB11" s="226">
        <v>-0.13460589519999999</v>
      </c>
      <c r="AC11" s="225">
        <v>193173.45600000001</v>
      </c>
      <c r="AD11" s="225">
        <v>187271.55300000001</v>
      </c>
      <c r="AE11" s="226">
        <v>3.1515213600000001E-2</v>
      </c>
      <c r="AF11" s="225">
        <v>259680.71799999999</v>
      </c>
      <c r="AG11" s="226">
        <v>-3.65666968E-2</v>
      </c>
    </row>
    <row r="12" spans="1:33">
      <c r="A12" s="127" t="s">
        <v>8</v>
      </c>
      <c r="B12" s="225">
        <v>0</v>
      </c>
      <c r="C12" s="225">
        <v>0</v>
      </c>
      <c r="D12" s="226">
        <v>0</v>
      </c>
      <c r="E12" s="225">
        <v>0</v>
      </c>
      <c r="F12" s="225">
        <v>0</v>
      </c>
      <c r="G12" s="226">
        <v>0</v>
      </c>
      <c r="H12" s="225">
        <v>0</v>
      </c>
      <c r="I12" s="226">
        <v>0</v>
      </c>
      <c r="J12" s="225">
        <v>0</v>
      </c>
      <c r="K12" s="225">
        <v>0</v>
      </c>
      <c r="L12" s="226">
        <v>0</v>
      </c>
      <c r="M12" s="225">
        <v>0</v>
      </c>
      <c r="N12" s="225">
        <v>0</v>
      </c>
      <c r="O12" s="226">
        <v>0</v>
      </c>
      <c r="P12" s="225">
        <v>0</v>
      </c>
      <c r="Q12" s="226">
        <v>0</v>
      </c>
      <c r="R12" s="225">
        <v>0</v>
      </c>
      <c r="S12" s="225">
        <v>0</v>
      </c>
      <c r="T12" s="226">
        <v>0</v>
      </c>
      <c r="U12" s="225">
        <v>0</v>
      </c>
      <c r="V12" s="225">
        <v>0</v>
      </c>
      <c r="W12" s="226">
        <v>0</v>
      </c>
      <c r="X12" s="225">
        <v>0</v>
      </c>
      <c r="Y12" s="226">
        <v>0</v>
      </c>
      <c r="Z12" s="225">
        <v>99346.721000000005</v>
      </c>
      <c r="AA12" s="225">
        <v>76899.138000000006</v>
      </c>
      <c r="AB12" s="226">
        <v>0.291909423</v>
      </c>
      <c r="AC12" s="225">
        <v>881911.96200000006</v>
      </c>
      <c r="AD12" s="225">
        <v>927011.99</v>
      </c>
      <c r="AE12" s="226">
        <v>-4.8650965099999999E-2</v>
      </c>
      <c r="AF12" s="225">
        <v>1134259.01</v>
      </c>
      <c r="AG12" s="226">
        <v>-8.7818761600000003E-2</v>
      </c>
    </row>
    <row r="13" spans="1:33">
      <c r="A13" s="127" t="s">
        <v>25</v>
      </c>
      <c r="B13" s="225">
        <v>0</v>
      </c>
      <c r="C13" s="225">
        <v>0</v>
      </c>
      <c r="D13" s="226">
        <v>0</v>
      </c>
      <c r="E13" s="225">
        <v>0</v>
      </c>
      <c r="F13" s="225">
        <v>0</v>
      </c>
      <c r="G13" s="226">
        <v>0</v>
      </c>
      <c r="H13" s="225">
        <v>0</v>
      </c>
      <c r="I13" s="226">
        <v>0</v>
      </c>
      <c r="J13" s="225">
        <v>0</v>
      </c>
      <c r="K13" s="225">
        <v>0</v>
      </c>
      <c r="L13" s="226">
        <v>0</v>
      </c>
      <c r="M13" s="225">
        <v>0</v>
      </c>
      <c r="N13" s="225">
        <v>0</v>
      </c>
      <c r="O13" s="226">
        <v>0</v>
      </c>
      <c r="P13" s="225">
        <v>0</v>
      </c>
      <c r="Q13" s="226">
        <v>0</v>
      </c>
      <c r="R13" s="225">
        <v>274787.88699999999</v>
      </c>
      <c r="S13" s="225">
        <v>246117.44899999999</v>
      </c>
      <c r="T13" s="226">
        <v>0.1164908791</v>
      </c>
      <c r="U13" s="225">
        <v>2369134.3330000001</v>
      </c>
      <c r="V13" s="225">
        <v>2163101.7510000002</v>
      </c>
      <c r="W13" s="226">
        <v>9.5248677899999995E-2</v>
      </c>
      <c r="X13" s="225">
        <v>3118748.44</v>
      </c>
      <c r="Y13" s="226">
        <v>8.5548552900000005E-2</v>
      </c>
      <c r="Z13" s="225">
        <v>307601.88</v>
      </c>
      <c r="AA13" s="225">
        <v>296235.93199999997</v>
      </c>
      <c r="AB13" s="226">
        <v>3.8367891199999997E-2</v>
      </c>
      <c r="AC13" s="225">
        <v>2750670.7259999998</v>
      </c>
      <c r="AD13" s="225">
        <v>2611220.767</v>
      </c>
      <c r="AE13" s="226">
        <v>5.3404124499999997E-2</v>
      </c>
      <c r="AF13" s="225">
        <v>3874992.6009999998</v>
      </c>
      <c r="AG13" s="226">
        <v>5.7575781100000001E-2</v>
      </c>
    </row>
    <row r="14" spans="1:33">
      <c r="A14" s="127" t="s">
        <v>24</v>
      </c>
      <c r="B14" s="225">
        <v>0</v>
      </c>
      <c r="C14" s="225">
        <v>0</v>
      </c>
      <c r="D14" s="226">
        <v>0</v>
      </c>
      <c r="E14" s="225">
        <v>0</v>
      </c>
      <c r="F14" s="225">
        <v>0</v>
      </c>
      <c r="G14" s="226">
        <v>0</v>
      </c>
      <c r="H14" s="225">
        <v>0</v>
      </c>
      <c r="I14" s="226">
        <v>0</v>
      </c>
      <c r="J14" s="225">
        <v>0</v>
      </c>
      <c r="K14" s="225">
        <v>0</v>
      </c>
      <c r="L14" s="226">
        <v>0</v>
      </c>
      <c r="M14" s="225">
        <v>0</v>
      </c>
      <c r="N14" s="225">
        <v>0</v>
      </c>
      <c r="O14" s="226">
        <v>0</v>
      </c>
      <c r="P14" s="225">
        <v>0</v>
      </c>
      <c r="Q14" s="226">
        <v>0</v>
      </c>
      <c r="R14" s="225">
        <v>0</v>
      </c>
      <c r="S14" s="225">
        <v>0</v>
      </c>
      <c r="T14" s="226">
        <v>0</v>
      </c>
      <c r="U14" s="225">
        <v>0</v>
      </c>
      <c r="V14" s="225">
        <v>0</v>
      </c>
      <c r="W14" s="226">
        <v>0</v>
      </c>
      <c r="X14" s="225">
        <v>0</v>
      </c>
      <c r="Y14" s="226">
        <v>0</v>
      </c>
      <c r="Z14" s="225">
        <v>0</v>
      </c>
      <c r="AA14" s="225">
        <v>0</v>
      </c>
      <c r="AB14" s="226">
        <v>0</v>
      </c>
      <c r="AC14" s="225">
        <v>0</v>
      </c>
      <c r="AD14" s="225">
        <v>0</v>
      </c>
      <c r="AE14" s="226">
        <v>0</v>
      </c>
      <c r="AF14" s="225">
        <v>0</v>
      </c>
      <c r="AG14" s="226">
        <v>0</v>
      </c>
    </row>
    <row r="15" spans="1:33">
      <c r="A15" s="127" t="s">
        <v>6</v>
      </c>
      <c r="B15" s="225">
        <v>0</v>
      </c>
      <c r="C15" s="225">
        <v>0</v>
      </c>
      <c r="D15" s="226">
        <v>0</v>
      </c>
      <c r="E15" s="225">
        <v>0</v>
      </c>
      <c r="F15" s="225">
        <v>0</v>
      </c>
      <c r="G15" s="226">
        <v>0</v>
      </c>
      <c r="H15" s="225">
        <v>0</v>
      </c>
      <c r="I15" s="226">
        <v>0</v>
      </c>
      <c r="J15" s="225">
        <v>0</v>
      </c>
      <c r="K15" s="225">
        <v>0</v>
      </c>
      <c r="L15" s="226">
        <v>0</v>
      </c>
      <c r="M15" s="225">
        <v>0</v>
      </c>
      <c r="N15" s="225">
        <v>0</v>
      </c>
      <c r="O15" s="226">
        <v>0</v>
      </c>
      <c r="P15" s="225">
        <v>0</v>
      </c>
      <c r="Q15" s="226">
        <v>0</v>
      </c>
      <c r="R15" s="225">
        <v>0</v>
      </c>
      <c r="S15" s="225">
        <v>0</v>
      </c>
      <c r="T15" s="226">
        <v>0</v>
      </c>
      <c r="U15" s="225">
        <v>0</v>
      </c>
      <c r="V15" s="225">
        <v>0</v>
      </c>
      <c r="W15" s="226">
        <v>0</v>
      </c>
      <c r="X15" s="225">
        <v>0</v>
      </c>
      <c r="Y15" s="226">
        <v>0</v>
      </c>
      <c r="Z15" s="225">
        <v>2590.817</v>
      </c>
      <c r="AA15" s="225">
        <v>2271.4740000000002</v>
      </c>
      <c r="AB15" s="226">
        <v>0.14058844609999999</v>
      </c>
      <c r="AC15" s="225">
        <v>18428.181</v>
      </c>
      <c r="AD15" s="225">
        <v>19794.530999999999</v>
      </c>
      <c r="AE15" s="226">
        <v>-6.9026641799999996E-2</v>
      </c>
      <c r="AF15" s="225">
        <v>21985.641</v>
      </c>
      <c r="AG15" s="226">
        <v>-8.2996830000000004E-3</v>
      </c>
    </row>
    <row r="16" spans="1:33">
      <c r="A16" s="127" t="s">
        <v>5</v>
      </c>
      <c r="B16" s="225">
        <v>0</v>
      </c>
      <c r="C16" s="225">
        <v>0</v>
      </c>
      <c r="D16" s="226">
        <v>0</v>
      </c>
      <c r="E16" s="225">
        <v>0</v>
      </c>
      <c r="F16" s="225">
        <v>0</v>
      </c>
      <c r="G16" s="226">
        <v>0</v>
      </c>
      <c r="H16" s="225">
        <v>0</v>
      </c>
      <c r="I16" s="226">
        <v>0</v>
      </c>
      <c r="J16" s="225">
        <v>0</v>
      </c>
      <c r="K16" s="225">
        <v>0</v>
      </c>
      <c r="L16" s="226">
        <v>0</v>
      </c>
      <c r="M16" s="225">
        <v>0</v>
      </c>
      <c r="N16" s="225">
        <v>0</v>
      </c>
      <c r="O16" s="226">
        <v>0</v>
      </c>
      <c r="P16" s="225">
        <v>0</v>
      </c>
      <c r="Q16" s="226">
        <v>0</v>
      </c>
      <c r="R16" s="225">
        <v>0</v>
      </c>
      <c r="S16" s="225">
        <v>0</v>
      </c>
      <c r="T16" s="226">
        <v>0</v>
      </c>
      <c r="U16" s="225">
        <v>0</v>
      </c>
      <c r="V16" s="225">
        <v>0</v>
      </c>
      <c r="W16" s="226">
        <v>0</v>
      </c>
      <c r="X16" s="225">
        <v>0</v>
      </c>
      <c r="Y16" s="226">
        <v>-1</v>
      </c>
      <c r="Z16" s="225">
        <v>165412.28</v>
      </c>
      <c r="AA16" s="225">
        <v>148538.97899999999</v>
      </c>
      <c r="AB16" s="226">
        <v>0.1135951056</v>
      </c>
      <c r="AC16" s="225">
        <v>1106249.152</v>
      </c>
      <c r="AD16" s="225">
        <v>1150920.0830000001</v>
      </c>
      <c r="AE16" s="226">
        <v>-3.88132344E-2</v>
      </c>
      <c r="AF16" s="225">
        <v>1363783.102</v>
      </c>
      <c r="AG16" s="226">
        <v>-1.18470021E-2</v>
      </c>
    </row>
    <row r="17" spans="1:33">
      <c r="A17" s="127" t="s">
        <v>4</v>
      </c>
      <c r="B17" s="225">
        <v>0</v>
      </c>
      <c r="C17" s="225">
        <v>1E-3</v>
      </c>
      <c r="D17" s="226">
        <v>-1</v>
      </c>
      <c r="E17" s="225">
        <v>6.6000000000000003E-2</v>
      </c>
      <c r="F17" s="225">
        <v>0.112</v>
      </c>
      <c r="G17" s="226">
        <v>-0.41071428570000001</v>
      </c>
      <c r="H17" s="225">
        <v>6.6000000000000003E-2</v>
      </c>
      <c r="I17" s="226">
        <v>-0.7659574468</v>
      </c>
      <c r="J17" s="225">
        <v>6.0510000000000002</v>
      </c>
      <c r="K17" s="225">
        <v>6.7729999999999997</v>
      </c>
      <c r="L17" s="226">
        <v>-0.1065997342</v>
      </c>
      <c r="M17" s="225">
        <v>55.91</v>
      </c>
      <c r="N17" s="225">
        <v>58.241999999999997</v>
      </c>
      <c r="O17" s="226">
        <v>-4.0039833800000001E-2</v>
      </c>
      <c r="P17" s="225">
        <v>67.162999999999997</v>
      </c>
      <c r="Q17" s="226">
        <v>-7.2334254099999995E-2</v>
      </c>
      <c r="R17" s="225">
        <v>47636.027000000002</v>
      </c>
      <c r="S17" s="225">
        <v>44045.144</v>
      </c>
      <c r="T17" s="226">
        <v>8.1527330199999998E-2</v>
      </c>
      <c r="U17" s="225">
        <v>416753.902</v>
      </c>
      <c r="V17" s="225">
        <v>416476.10700000002</v>
      </c>
      <c r="W17" s="226">
        <v>6.6701309999999997E-4</v>
      </c>
      <c r="X17" s="225">
        <v>508202.07400000002</v>
      </c>
      <c r="Y17" s="226">
        <v>1.9904284099999999E-2</v>
      </c>
      <c r="Z17" s="225">
        <v>39402.82</v>
      </c>
      <c r="AA17" s="225">
        <v>37569.016000000003</v>
      </c>
      <c r="AB17" s="226">
        <v>4.8811605799999998E-2</v>
      </c>
      <c r="AC17" s="225">
        <v>360219.853</v>
      </c>
      <c r="AD17" s="225">
        <v>313072.90100000001</v>
      </c>
      <c r="AE17" s="226">
        <v>0.1505941646</v>
      </c>
      <c r="AF17" s="225">
        <v>452566.02399999998</v>
      </c>
      <c r="AG17" s="226">
        <v>0.15381060169999999</v>
      </c>
    </row>
    <row r="18" spans="1:33">
      <c r="A18" s="127" t="s">
        <v>22</v>
      </c>
      <c r="B18" s="225">
        <v>0</v>
      </c>
      <c r="C18" s="225">
        <v>0</v>
      </c>
      <c r="D18" s="226">
        <v>0</v>
      </c>
      <c r="E18" s="225">
        <v>0</v>
      </c>
      <c r="F18" s="225">
        <v>0</v>
      </c>
      <c r="G18" s="226">
        <v>0</v>
      </c>
      <c r="H18" s="225">
        <v>0</v>
      </c>
      <c r="I18" s="226">
        <v>0</v>
      </c>
      <c r="J18" s="225">
        <v>0</v>
      </c>
      <c r="K18" s="225">
        <v>0</v>
      </c>
      <c r="L18" s="226">
        <v>0</v>
      </c>
      <c r="M18" s="225">
        <v>0</v>
      </c>
      <c r="N18" s="225">
        <v>0</v>
      </c>
      <c r="O18" s="226">
        <v>0</v>
      </c>
      <c r="P18" s="225">
        <v>0</v>
      </c>
      <c r="Q18" s="226">
        <v>0</v>
      </c>
      <c r="R18" s="225">
        <v>163.19</v>
      </c>
      <c r="S18" s="225">
        <v>364.81299999999999</v>
      </c>
      <c r="T18" s="226">
        <v>-0.55267493209999996</v>
      </c>
      <c r="U18" s="225">
        <v>1859.26</v>
      </c>
      <c r="V18" s="225">
        <v>1157.5540000000001</v>
      </c>
      <c r="W18" s="226">
        <v>0.6061972055</v>
      </c>
      <c r="X18" s="225">
        <v>2709.6089999999999</v>
      </c>
      <c r="Y18" s="226">
        <v>0.71998697450000004</v>
      </c>
      <c r="Z18" s="225">
        <v>360.74599999999998</v>
      </c>
      <c r="AA18" s="225">
        <v>1110.175</v>
      </c>
      <c r="AB18" s="226">
        <v>-0.67505483369999997</v>
      </c>
      <c r="AC18" s="225">
        <v>10425.475</v>
      </c>
      <c r="AD18" s="225">
        <v>5833.67</v>
      </c>
      <c r="AE18" s="226">
        <v>0.78712114330000005</v>
      </c>
      <c r="AF18" s="225">
        <v>13836.359</v>
      </c>
      <c r="AG18" s="226">
        <v>0.91418633140000005</v>
      </c>
    </row>
    <row r="19" spans="1:33">
      <c r="A19" s="127" t="s">
        <v>23</v>
      </c>
      <c r="B19" s="225">
        <v>0</v>
      </c>
      <c r="C19" s="225">
        <v>0</v>
      </c>
      <c r="D19" s="226">
        <v>0</v>
      </c>
      <c r="E19" s="225">
        <v>0</v>
      </c>
      <c r="F19" s="225">
        <v>0</v>
      </c>
      <c r="G19" s="226">
        <v>0</v>
      </c>
      <c r="H19" s="225">
        <v>0</v>
      </c>
      <c r="I19" s="226">
        <v>0</v>
      </c>
      <c r="J19" s="225">
        <v>0</v>
      </c>
      <c r="K19" s="225">
        <v>0</v>
      </c>
      <c r="L19" s="226">
        <v>0</v>
      </c>
      <c r="M19" s="225">
        <v>0</v>
      </c>
      <c r="N19" s="225">
        <v>0</v>
      </c>
      <c r="O19" s="226">
        <v>0</v>
      </c>
      <c r="P19" s="225">
        <v>0</v>
      </c>
      <c r="Q19" s="226">
        <v>0</v>
      </c>
      <c r="R19" s="225">
        <v>2336.1950000000002</v>
      </c>
      <c r="S19" s="225">
        <v>2778.902</v>
      </c>
      <c r="T19" s="226">
        <v>-0.15931004400000001</v>
      </c>
      <c r="U19" s="225">
        <v>28474.204000000002</v>
      </c>
      <c r="V19" s="225">
        <v>29252.864000000001</v>
      </c>
      <c r="W19" s="226">
        <v>-2.6618248399999999E-2</v>
      </c>
      <c r="X19" s="225">
        <v>35905.345000000001</v>
      </c>
      <c r="Y19" s="226">
        <v>-3.3770773000000001E-3</v>
      </c>
      <c r="Z19" s="225">
        <v>0</v>
      </c>
      <c r="AA19" s="225">
        <v>0</v>
      </c>
      <c r="AB19" s="226">
        <v>0</v>
      </c>
      <c r="AC19" s="225">
        <v>0</v>
      </c>
      <c r="AD19" s="225">
        <v>0</v>
      </c>
      <c r="AE19" s="226">
        <v>0</v>
      </c>
      <c r="AF19" s="225">
        <v>0</v>
      </c>
      <c r="AG19" s="226">
        <v>0</v>
      </c>
    </row>
    <row r="20" spans="1:33">
      <c r="A20" s="127" t="s">
        <v>46</v>
      </c>
      <c r="B20" s="225">
        <v>0</v>
      </c>
      <c r="C20" s="225">
        <v>0</v>
      </c>
      <c r="D20" s="226">
        <v>0</v>
      </c>
      <c r="E20" s="225">
        <v>0</v>
      </c>
      <c r="F20" s="225">
        <v>0</v>
      </c>
      <c r="G20" s="226">
        <v>0</v>
      </c>
      <c r="H20" s="225">
        <v>0</v>
      </c>
      <c r="I20" s="226">
        <v>0</v>
      </c>
      <c r="J20" s="225">
        <v>343.99549999999999</v>
      </c>
      <c r="K20" s="225">
        <v>467.26499999999999</v>
      </c>
      <c r="L20" s="226">
        <v>-0.26381068559999998</v>
      </c>
      <c r="M20" s="225">
        <v>4689.915</v>
      </c>
      <c r="N20" s="225">
        <v>4531.5985000000001</v>
      </c>
      <c r="O20" s="226">
        <v>3.4936126800000002E-2</v>
      </c>
      <c r="P20" s="225">
        <v>5847.7190000000001</v>
      </c>
      <c r="Q20" s="226">
        <v>1.4103883500000001E-2</v>
      </c>
      <c r="R20" s="225">
        <v>13929.98</v>
      </c>
      <c r="S20" s="225">
        <v>14196.128500000001</v>
      </c>
      <c r="T20" s="226">
        <v>-1.8747963600000001E-2</v>
      </c>
      <c r="U20" s="225">
        <v>101995.54399999999</v>
      </c>
      <c r="V20" s="225">
        <v>114607.2945</v>
      </c>
      <c r="W20" s="226">
        <v>-0.1100431744</v>
      </c>
      <c r="X20" s="225">
        <v>133012.1465</v>
      </c>
      <c r="Y20" s="226">
        <v>-8.4384375600000006E-2</v>
      </c>
      <c r="Z20" s="225">
        <v>0</v>
      </c>
      <c r="AA20" s="225">
        <v>0</v>
      </c>
      <c r="AB20" s="226">
        <v>0</v>
      </c>
      <c r="AC20" s="225">
        <v>0</v>
      </c>
      <c r="AD20" s="225">
        <v>0</v>
      </c>
      <c r="AE20" s="226">
        <v>0</v>
      </c>
      <c r="AF20" s="225">
        <v>0</v>
      </c>
      <c r="AG20" s="226">
        <v>0</v>
      </c>
    </row>
    <row r="21" spans="1:33">
      <c r="A21" s="127" t="s">
        <v>47</v>
      </c>
      <c r="B21" s="225">
        <v>0</v>
      </c>
      <c r="C21" s="225">
        <v>0</v>
      </c>
      <c r="D21" s="226">
        <v>0</v>
      </c>
      <c r="E21" s="225">
        <v>0</v>
      </c>
      <c r="F21" s="225">
        <v>0</v>
      </c>
      <c r="G21" s="226">
        <v>0</v>
      </c>
      <c r="H21" s="225">
        <v>0</v>
      </c>
      <c r="I21" s="226">
        <v>0</v>
      </c>
      <c r="J21" s="225">
        <v>343.99549999999999</v>
      </c>
      <c r="K21" s="225">
        <v>467.26499999999999</v>
      </c>
      <c r="L21" s="226">
        <v>-0.26381068559999998</v>
      </c>
      <c r="M21" s="225">
        <v>4689.915</v>
      </c>
      <c r="N21" s="225">
        <v>4531.5985000000001</v>
      </c>
      <c r="O21" s="226">
        <v>3.4936126800000002E-2</v>
      </c>
      <c r="P21" s="225">
        <v>5847.7190000000001</v>
      </c>
      <c r="Q21" s="226">
        <v>1.4103883500000001E-2</v>
      </c>
      <c r="R21" s="225">
        <v>13929.98</v>
      </c>
      <c r="S21" s="225">
        <v>14196.128500000001</v>
      </c>
      <c r="T21" s="226">
        <v>-1.8747963600000001E-2</v>
      </c>
      <c r="U21" s="225">
        <v>101995.54399999999</v>
      </c>
      <c r="V21" s="225">
        <v>114607.2945</v>
      </c>
      <c r="W21" s="226">
        <v>-0.1100431744</v>
      </c>
      <c r="X21" s="225">
        <v>133012.1465</v>
      </c>
      <c r="Y21" s="226">
        <v>-8.4384375600000006E-2</v>
      </c>
      <c r="Z21" s="225">
        <v>0</v>
      </c>
      <c r="AA21" s="225">
        <v>0</v>
      </c>
      <c r="AB21" s="226">
        <v>0</v>
      </c>
      <c r="AC21" s="225">
        <v>0</v>
      </c>
      <c r="AD21" s="225">
        <v>0</v>
      </c>
      <c r="AE21" s="226">
        <v>0</v>
      </c>
      <c r="AF21" s="225">
        <v>0</v>
      </c>
      <c r="AG21" s="226">
        <v>0</v>
      </c>
    </row>
    <row r="22" spans="1:33">
      <c r="A22" s="131" t="s">
        <v>2</v>
      </c>
      <c r="B22" s="227">
        <v>17860.031999999999</v>
      </c>
      <c r="C22" s="227">
        <v>16327.003000000001</v>
      </c>
      <c r="D22" s="228">
        <v>9.3895309499999996E-2</v>
      </c>
      <c r="E22" s="227">
        <v>153529.19</v>
      </c>
      <c r="F22" s="227">
        <v>141325.17600000001</v>
      </c>
      <c r="G22" s="228">
        <v>8.6354139799999993E-2</v>
      </c>
      <c r="H22" s="227">
        <v>198719.17800000001</v>
      </c>
      <c r="I22" s="228">
        <v>6.2209481400000002E-2</v>
      </c>
      <c r="J22" s="227">
        <v>20088.042000000001</v>
      </c>
      <c r="K22" s="227">
        <v>18380.280999999999</v>
      </c>
      <c r="L22" s="228">
        <v>9.2912670899999994E-2</v>
      </c>
      <c r="M22" s="227">
        <v>171949.204</v>
      </c>
      <c r="N22" s="227">
        <v>154552.85699999999</v>
      </c>
      <c r="O22" s="228">
        <v>0.11255920680000001</v>
      </c>
      <c r="P22" s="227">
        <v>220412.14799999999</v>
      </c>
      <c r="Q22" s="228">
        <v>8.7499818899999998E-2</v>
      </c>
      <c r="R22" s="227">
        <v>438014.98800000001</v>
      </c>
      <c r="S22" s="227">
        <v>395427.70199999999</v>
      </c>
      <c r="T22" s="228">
        <v>0.1076992982</v>
      </c>
      <c r="U22" s="227">
        <v>3696709.3480000002</v>
      </c>
      <c r="V22" s="227">
        <v>3442801.2050000001</v>
      </c>
      <c r="W22" s="228">
        <v>7.37504514E-2</v>
      </c>
      <c r="X22" s="227">
        <v>4738313.3099999996</v>
      </c>
      <c r="Y22" s="228">
        <v>7.03835976E-2</v>
      </c>
      <c r="Z22" s="227">
        <v>782453.87899999996</v>
      </c>
      <c r="AA22" s="227">
        <v>745427.44900000002</v>
      </c>
      <c r="AB22" s="228">
        <v>4.9671406699999997E-2</v>
      </c>
      <c r="AC22" s="227">
        <v>6668644.1469999999</v>
      </c>
      <c r="AD22" s="227">
        <v>6612862.1040000003</v>
      </c>
      <c r="AE22" s="228">
        <v>8.4353858000000004E-3</v>
      </c>
      <c r="AF22" s="227">
        <v>8952268.6209999993</v>
      </c>
      <c r="AG22" s="228">
        <v>5.1238163000000003E-3</v>
      </c>
    </row>
    <row r="23" spans="1:33">
      <c r="A23" s="127" t="s">
        <v>107</v>
      </c>
      <c r="B23" s="225">
        <v>0</v>
      </c>
      <c r="C23" s="225">
        <v>0</v>
      </c>
      <c r="D23" s="226">
        <v>0</v>
      </c>
      <c r="E23" s="225">
        <v>0</v>
      </c>
      <c r="F23" s="225">
        <v>0</v>
      </c>
      <c r="G23" s="226">
        <v>0</v>
      </c>
      <c r="H23" s="225">
        <v>0</v>
      </c>
      <c r="I23" s="226">
        <v>0</v>
      </c>
      <c r="J23" s="225">
        <v>0</v>
      </c>
      <c r="K23" s="225">
        <v>0</v>
      </c>
      <c r="L23" s="226">
        <v>0</v>
      </c>
      <c r="M23" s="225">
        <v>0</v>
      </c>
      <c r="N23" s="225">
        <v>0</v>
      </c>
      <c r="O23" s="226">
        <v>0</v>
      </c>
      <c r="P23" s="225">
        <v>0</v>
      </c>
      <c r="Q23" s="226">
        <v>0</v>
      </c>
      <c r="R23" s="225">
        <v>0</v>
      </c>
      <c r="S23" s="225">
        <v>0.47499999999999998</v>
      </c>
      <c r="T23" s="226">
        <v>-1</v>
      </c>
      <c r="U23" s="225">
        <v>84.203000000000003</v>
      </c>
      <c r="V23" s="225">
        <v>32.526000000000003</v>
      </c>
      <c r="W23" s="226">
        <v>1.5887905061000001</v>
      </c>
      <c r="X23" s="225">
        <v>194.976</v>
      </c>
      <c r="Y23" s="226">
        <v>4.9239814055000002</v>
      </c>
      <c r="Z23" s="225">
        <v>0</v>
      </c>
      <c r="AA23" s="225">
        <v>0</v>
      </c>
      <c r="AB23" s="226">
        <v>0</v>
      </c>
      <c r="AC23" s="225">
        <v>0</v>
      </c>
      <c r="AD23" s="225">
        <v>0</v>
      </c>
      <c r="AE23" s="226">
        <v>0</v>
      </c>
      <c r="AF23" s="225">
        <v>0</v>
      </c>
      <c r="AG23" s="226">
        <v>0</v>
      </c>
    </row>
    <row r="24" spans="1:33">
      <c r="A24" s="127" t="s">
        <v>108</v>
      </c>
      <c r="B24" s="225">
        <v>0</v>
      </c>
      <c r="C24" s="225">
        <v>0</v>
      </c>
      <c r="D24" s="226">
        <v>0</v>
      </c>
      <c r="E24" s="225">
        <v>0</v>
      </c>
      <c r="F24" s="225">
        <v>0</v>
      </c>
      <c r="G24" s="226">
        <v>0</v>
      </c>
      <c r="H24" s="225">
        <v>0</v>
      </c>
      <c r="I24" s="226">
        <v>0</v>
      </c>
      <c r="J24" s="225">
        <v>0</v>
      </c>
      <c r="K24" s="225">
        <v>0</v>
      </c>
      <c r="L24" s="226">
        <v>0</v>
      </c>
      <c r="M24" s="225">
        <v>0</v>
      </c>
      <c r="N24" s="225">
        <v>0</v>
      </c>
      <c r="O24" s="226">
        <v>0</v>
      </c>
      <c r="P24" s="225">
        <v>0</v>
      </c>
      <c r="Q24" s="226">
        <v>0</v>
      </c>
      <c r="R24" s="225">
        <v>-1.0429999999999999</v>
      </c>
      <c r="S24" s="225">
        <v>-9.0050000000000008</v>
      </c>
      <c r="T24" s="226">
        <v>-0.88417545809999998</v>
      </c>
      <c r="U24" s="225">
        <v>-235.67599999999999</v>
      </c>
      <c r="V24" s="225">
        <v>-181.339</v>
      </c>
      <c r="W24" s="226">
        <v>0.29964320970000002</v>
      </c>
      <c r="X24" s="225">
        <v>-475.51499999999999</v>
      </c>
      <c r="Y24" s="226">
        <v>1.2624071633</v>
      </c>
      <c r="Z24" s="225">
        <v>0</v>
      </c>
      <c r="AA24" s="225">
        <v>0</v>
      </c>
      <c r="AB24" s="226">
        <v>0</v>
      </c>
      <c r="AC24" s="225">
        <v>0</v>
      </c>
      <c r="AD24" s="225">
        <v>0</v>
      </c>
      <c r="AE24" s="226">
        <v>0</v>
      </c>
      <c r="AF24" s="225">
        <v>0</v>
      </c>
      <c r="AG24" s="226">
        <v>0</v>
      </c>
    </row>
    <row r="25" spans="1:33">
      <c r="A25" s="127" t="s">
        <v>21</v>
      </c>
      <c r="B25" s="225">
        <v>0</v>
      </c>
      <c r="C25" s="225">
        <v>0</v>
      </c>
      <c r="D25" s="226">
        <v>0</v>
      </c>
      <c r="E25" s="225">
        <v>0</v>
      </c>
      <c r="F25" s="225">
        <v>0</v>
      </c>
      <c r="G25" s="226">
        <v>0</v>
      </c>
      <c r="H25" s="225">
        <v>0</v>
      </c>
      <c r="I25" s="226">
        <v>0</v>
      </c>
      <c r="J25" s="225">
        <v>0</v>
      </c>
      <c r="K25" s="225">
        <v>0</v>
      </c>
      <c r="L25" s="226">
        <v>0</v>
      </c>
      <c r="M25" s="225">
        <v>0</v>
      </c>
      <c r="N25" s="225">
        <v>0</v>
      </c>
      <c r="O25" s="226">
        <v>0</v>
      </c>
      <c r="P25" s="225">
        <v>0</v>
      </c>
      <c r="Q25" s="226">
        <v>0</v>
      </c>
      <c r="R25" s="225">
        <v>166212.17300000001</v>
      </c>
      <c r="S25" s="225">
        <v>162009.15900000001</v>
      </c>
      <c r="T25" s="226">
        <v>2.59430641E-2</v>
      </c>
      <c r="U25" s="225">
        <v>1219500.3060000001</v>
      </c>
      <c r="V25" s="225">
        <v>1279082.9979999999</v>
      </c>
      <c r="W25" s="226">
        <v>-4.6582350100000003E-2</v>
      </c>
      <c r="X25" s="225">
        <v>1520225.192</v>
      </c>
      <c r="Y25" s="226">
        <v>-4.6107144900000001E-2</v>
      </c>
      <c r="Z25" s="225">
        <v>0</v>
      </c>
      <c r="AA25" s="225">
        <v>0</v>
      </c>
      <c r="AB25" s="226">
        <v>0</v>
      </c>
      <c r="AC25" s="225">
        <v>0</v>
      </c>
      <c r="AD25" s="225">
        <v>0</v>
      </c>
      <c r="AE25" s="226">
        <v>0</v>
      </c>
      <c r="AF25" s="225">
        <v>0</v>
      </c>
      <c r="AG25" s="226">
        <v>0</v>
      </c>
    </row>
    <row r="26" spans="1:33">
      <c r="A26" s="131" t="s">
        <v>70</v>
      </c>
      <c r="B26" s="227">
        <v>17860.031999999999</v>
      </c>
      <c r="C26" s="227">
        <v>16327.003000000001</v>
      </c>
      <c r="D26" s="228">
        <v>9.3895309499999996E-2</v>
      </c>
      <c r="E26" s="227">
        <v>153529.19</v>
      </c>
      <c r="F26" s="227">
        <v>141325.17600000001</v>
      </c>
      <c r="G26" s="228">
        <v>8.6354139799999993E-2</v>
      </c>
      <c r="H26" s="227">
        <v>198719.17800000001</v>
      </c>
      <c r="I26" s="228">
        <v>6.2209481400000002E-2</v>
      </c>
      <c r="J26" s="227">
        <v>20088.042000000001</v>
      </c>
      <c r="K26" s="227">
        <v>18380.280999999999</v>
      </c>
      <c r="L26" s="228">
        <v>9.2912670899999994E-2</v>
      </c>
      <c r="M26" s="227">
        <v>171949.204</v>
      </c>
      <c r="N26" s="227">
        <v>154552.85699999999</v>
      </c>
      <c r="O26" s="228">
        <v>0.11255920680000001</v>
      </c>
      <c r="P26" s="227">
        <v>220412.14799999999</v>
      </c>
      <c r="Q26" s="228">
        <v>8.7499818899999998E-2</v>
      </c>
      <c r="R26" s="227">
        <v>604226.11800000002</v>
      </c>
      <c r="S26" s="227">
        <v>557428.33100000001</v>
      </c>
      <c r="T26" s="228">
        <v>8.3953011399999999E-2</v>
      </c>
      <c r="U26" s="227">
        <v>4916058.1809999999</v>
      </c>
      <c r="V26" s="227">
        <v>4721735.3899999997</v>
      </c>
      <c r="W26" s="228">
        <v>4.1154951500000002E-2</v>
      </c>
      <c r="X26" s="227">
        <v>6258257.9630000005</v>
      </c>
      <c r="Y26" s="228">
        <v>3.9530701000000001E-2</v>
      </c>
      <c r="Z26" s="227">
        <v>782453.87899999996</v>
      </c>
      <c r="AA26" s="227">
        <v>745427.44900000002</v>
      </c>
      <c r="AB26" s="228">
        <v>4.9671406699999997E-2</v>
      </c>
      <c r="AC26" s="227">
        <v>6668644.1469999999</v>
      </c>
      <c r="AD26" s="227">
        <v>6612862.1040000003</v>
      </c>
      <c r="AE26" s="228">
        <v>8.4353858000000004E-3</v>
      </c>
      <c r="AF26" s="227">
        <v>8952268.6209999993</v>
      </c>
      <c r="AG26" s="228">
        <v>5.1238163000000003E-3</v>
      </c>
    </row>
    <row r="27" spans="1:33" ht="1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</row>
    <row r="28" spans="1:33">
      <c r="R28" s="201"/>
      <c r="S28" s="201"/>
    </row>
    <row r="29" spans="1:33" ht="15">
      <c r="A29" s="128" t="s">
        <v>59</v>
      </c>
      <c r="B29" s="251" t="str">
        <f>A2</f>
        <v>Septiembre 2025</v>
      </c>
      <c r="C29" s="252"/>
    </row>
    <row r="30" spans="1:33" ht="15">
      <c r="A30" s="128" t="s">
        <v>61</v>
      </c>
      <c r="B30" s="263" t="s">
        <v>64</v>
      </c>
      <c r="C30" s="264"/>
    </row>
    <row r="31" spans="1:33">
      <c r="A31" s="126" t="s">
        <v>60</v>
      </c>
      <c r="B31" s="153" t="s">
        <v>49</v>
      </c>
      <c r="C31" s="153" t="s">
        <v>50</v>
      </c>
    </row>
    <row r="32" spans="1:33">
      <c r="A32" s="128" t="s">
        <v>62</v>
      </c>
      <c r="B32" s="129"/>
      <c r="C32" s="129"/>
    </row>
    <row r="33" spans="1:6">
      <c r="A33" s="127" t="s">
        <v>12</v>
      </c>
      <c r="B33" s="157"/>
      <c r="C33" s="157">
        <v>0.76300000000000001</v>
      </c>
    </row>
    <row r="34" spans="1:6">
      <c r="A34" s="127" t="s">
        <v>11</v>
      </c>
      <c r="B34" s="157">
        <v>241.2</v>
      </c>
      <c r="C34" s="157"/>
    </row>
    <row r="35" spans="1:6">
      <c r="A35" s="127" t="s">
        <v>69</v>
      </c>
      <c r="B35" s="157">
        <v>139.4</v>
      </c>
      <c r="C35" s="157">
        <v>487.64</v>
      </c>
    </row>
    <row r="36" spans="1:6">
      <c r="A36" s="127" t="s">
        <v>9</v>
      </c>
      <c r="B36" s="157">
        <v>603.1</v>
      </c>
      <c r="C36" s="157">
        <v>520.75</v>
      </c>
    </row>
    <row r="37" spans="1:6">
      <c r="A37" s="127" t="s">
        <v>8</v>
      </c>
      <c r="B37" s="157"/>
      <c r="C37" s="157">
        <v>482.64</v>
      </c>
    </row>
    <row r="38" spans="1:6">
      <c r="A38" s="127" t="s">
        <v>25</v>
      </c>
      <c r="B38" s="157">
        <v>822.9</v>
      </c>
      <c r="C38" s="157">
        <v>865.4</v>
      </c>
    </row>
    <row r="39" spans="1:6">
      <c r="A39" s="127" t="s">
        <v>24</v>
      </c>
      <c r="B39" s="157"/>
      <c r="C39" s="157"/>
    </row>
    <row r="40" spans="1:6">
      <c r="A40" s="127" t="s">
        <v>6</v>
      </c>
      <c r="B40" s="157"/>
      <c r="C40" s="157">
        <v>11.32</v>
      </c>
    </row>
    <row r="41" spans="1:6">
      <c r="A41" s="127" t="s">
        <v>5</v>
      </c>
      <c r="B41" s="157">
        <v>3.5575000000000001</v>
      </c>
      <c r="C41" s="157">
        <v>655.96</v>
      </c>
      <c r="D41" s="156"/>
    </row>
    <row r="42" spans="1:6">
      <c r="A42" s="127" t="s">
        <v>4</v>
      </c>
      <c r="B42" s="157">
        <v>359.66923500000001</v>
      </c>
      <c r="C42" s="157">
        <v>317.19266499999998</v>
      </c>
      <c r="D42" s="156"/>
    </row>
    <row r="43" spans="1:6">
      <c r="A43" s="127" t="s">
        <v>22</v>
      </c>
      <c r="B43" s="157">
        <v>3.9319999999999999</v>
      </c>
      <c r="C43" s="157">
        <v>8.8059999999999992</v>
      </c>
    </row>
    <row r="44" spans="1:6">
      <c r="A44" s="127" t="s">
        <v>23</v>
      </c>
      <c r="B44" s="157">
        <v>10.523</v>
      </c>
      <c r="C44" s="157">
        <v>38.200000000000003</v>
      </c>
    </row>
    <row r="45" spans="1:6">
      <c r="A45" s="127" t="s">
        <v>46</v>
      </c>
      <c r="B45" s="157">
        <v>37.4</v>
      </c>
      <c r="C45" s="157"/>
    </row>
    <row r="46" spans="1:6">
      <c r="A46" s="127" t="s">
        <v>47</v>
      </c>
      <c r="B46" s="157">
        <v>37.4</v>
      </c>
      <c r="C46" s="157"/>
    </row>
    <row r="47" spans="1:6">
      <c r="A47" s="127" t="s">
        <v>133</v>
      </c>
      <c r="B47" s="99">
        <v>1.2</v>
      </c>
      <c r="C47" s="99">
        <v>5.08</v>
      </c>
    </row>
    <row r="48" spans="1:6" ht="15">
      <c r="A48" s="131" t="s">
        <v>2</v>
      </c>
      <c r="B48" s="158">
        <f>SUM(B33:B47)</f>
        <v>2260.2817349999996</v>
      </c>
      <c r="C48" s="158">
        <f>SUM(C33:C47)</f>
        <v>3393.7516650000002</v>
      </c>
      <c r="D48" s="202">
        <f>+B47</f>
        <v>1.2</v>
      </c>
      <c r="E48" s="99" t="str">
        <f>CONCATENATE(A47," ",TEXT(B47,"0,0")," MW")</f>
        <v>Baterías 1,2 MW</v>
      </c>
      <c r="F48" s="172">
        <f>+D48/B47</f>
        <v>1</v>
      </c>
    </row>
    <row r="49" spans="1:12" ht="15">
      <c r="A49"/>
      <c r="B49"/>
      <c r="C49"/>
    </row>
    <row r="50" spans="1:12">
      <c r="A50" s="97" t="s">
        <v>28</v>
      </c>
      <c r="B50" s="98"/>
      <c r="C50" s="98"/>
      <c r="F50" s="97" t="s">
        <v>29</v>
      </c>
      <c r="G50" s="98"/>
      <c r="H50" s="98"/>
    </row>
    <row r="51" spans="1:12">
      <c r="A51" s="100"/>
      <c r="B51" s="101" t="s">
        <v>27</v>
      </c>
      <c r="C51" s="101" t="s">
        <v>26</v>
      </c>
      <c r="F51" s="100"/>
      <c r="G51" s="101" t="s">
        <v>27</v>
      </c>
      <c r="H51" s="101" t="s">
        <v>26</v>
      </c>
      <c r="J51" s="175"/>
      <c r="K51" s="176" t="s">
        <v>125</v>
      </c>
      <c r="L51" s="176" t="s">
        <v>126</v>
      </c>
    </row>
    <row r="52" spans="1:12">
      <c r="A52" s="102" t="s">
        <v>11</v>
      </c>
      <c r="B52" s="103">
        <f>B34</f>
        <v>241.2</v>
      </c>
      <c r="C52" s="104">
        <f t="shared" ref="C52:C57" si="0">B52/$B$63*100</f>
        <v>10.676904525546085</v>
      </c>
      <c r="D52" s="155"/>
      <c r="F52" s="102" t="s">
        <v>10</v>
      </c>
      <c r="G52" s="103">
        <f>C35</f>
        <v>487.64</v>
      </c>
      <c r="H52" s="104">
        <f>G52/$G$62*100</f>
        <v>14.39029945086167</v>
      </c>
      <c r="J52" s="174" t="s">
        <v>123</v>
      </c>
      <c r="K52" s="177">
        <f>SUM(C52:C58)</f>
        <v>82.091894740585829</v>
      </c>
      <c r="L52" s="177">
        <f>SUM(H52:H56)</f>
        <v>70.665742707769823</v>
      </c>
    </row>
    <row r="53" spans="1:12">
      <c r="A53" s="102" t="s">
        <v>10</v>
      </c>
      <c r="B53" s="103">
        <f t="shared" ref="B53:B54" si="1">B35</f>
        <v>139.4</v>
      </c>
      <c r="C53" s="104">
        <f t="shared" si="0"/>
        <v>6.1706488012484426</v>
      </c>
      <c r="D53" s="155"/>
      <c r="F53" s="102" t="s">
        <v>9</v>
      </c>
      <c r="G53" s="103">
        <f>C36</f>
        <v>520.75</v>
      </c>
      <c r="H53" s="104">
        <f t="shared" ref="H53:H61" si="2">G53/$G$62*100</f>
        <v>15.367378473948435</v>
      </c>
      <c r="J53" s="178" t="s">
        <v>124</v>
      </c>
      <c r="K53" s="179">
        <f>SUM(C59:C62)</f>
        <v>17.908105259414175</v>
      </c>
      <c r="L53" s="179">
        <f>SUM(H57:H61)</f>
        <v>29.334257292230173</v>
      </c>
    </row>
    <row r="54" spans="1:12">
      <c r="A54" s="102" t="s">
        <v>9</v>
      </c>
      <c r="B54" s="103">
        <f t="shared" si="1"/>
        <v>603.1</v>
      </c>
      <c r="C54" s="104">
        <f t="shared" si="0"/>
        <v>26.696687891197531</v>
      </c>
      <c r="D54" s="155"/>
      <c r="F54" s="102" t="s">
        <v>8</v>
      </c>
      <c r="G54" s="103">
        <f>C37</f>
        <v>482.64</v>
      </c>
      <c r="H54" s="104">
        <f t="shared" si="2"/>
        <v>14.242749009441139</v>
      </c>
    </row>
    <row r="55" spans="1:12">
      <c r="A55" s="102" t="s">
        <v>25</v>
      </c>
      <c r="B55" s="103">
        <f>B38</f>
        <v>822.9</v>
      </c>
      <c r="C55" s="104">
        <f t="shared" si="0"/>
        <v>36.426304867627998</v>
      </c>
      <c r="D55" s="155"/>
      <c r="F55" s="102" t="s">
        <v>25</v>
      </c>
      <c r="G55" s="103">
        <f>C38</f>
        <v>865.4</v>
      </c>
      <c r="H55" s="104">
        <f t="shared" si="2"/>
        <v>25.538030401065726</v>
      </c>
    </row>
    <row r="56" spans="1:12">
      <c r="A56" s="102" t="s">
        <v>24</v>
      </c>
      <c r="B56" s="103">
        <f>B39</f>
        <v>0</v>
      </c>
      <c r="C56" s="104">
        <f t="shared" si="0"/>
        <v>0</v>
      </c>
      <c r="D56" s="155"/>
      <c r="F56" s="102" t="s">
        <v>23</v>
      </c>
      <c r="G56" s="103">
        <f>C44</f>
        <v>38.200000000000003</v>
      </c>
      <c r="H56" s="104">
        <f t="shared" si="2"/>
        <v>1.1272853724528666</v>
      </c>
    </row>
    <row r="57" spans="1:12">
      <c r="A57" s="102" t="s">
        <v>23</v>
      </c>
      <c r="B57" s="103">
        <f>B44</f>
        <v>10.523</v>
      </c>
      <c r="C57" s="104">
        <f t="shared" si="0"/>
        <v>0.46580873267960798</v>
      </c>
      <c r="D57" s="155"/>
      <c r="F57" s="102" t="s">
        <v>12</v>
      </c>
      <c r="G57" s="104">
        <f>C33</f>
        <v>0.76300000000000001</v>
      </c>
      <c r="H57" s="104">
        <f t="shared" si="2"/>
        <v>2.2516197360773222E-2</v>
      </c>
    </row>
    <row r="58" spans="1:12">
      <c r="A58" s="102" t="s">
        <v>47</v>
      </c>
      <c r="B58" s="103">
        <f>B46</f>
        <v>37.4</v>
      </c>
      <c r="C58" s="104">
        <f t="shared" ref="C58:C61" si="3">B58/$B$63*100</f>
        <v>1.6555399222861675</v>
      </c>
      <c r="D58" s="155"/>
      <c r="F58" s="102" t="s">
        <v>6</v>
      </c>
      <c r="G58" s="103">
        <f>C40</f>
        <v>11.32</v>
      </c>
      <c r="H58" s="104">
        <f t="shared" si="2"/>
        <v>0.33405419937608505</v>
      </c>
    </row>
    <row r="59" spans="1:12">
      <c r="A59" s="102" t="s">
        <v>46</v>
      </c>
      <c r="B59" s="103">
        <f>B45</f>
        <v>37.4</v>
      </c>
      <c r="C59" s="104">
        <f t="shared" si="3"/>
        <v>1.6555399222861675</v>
      </c>
      <c r="D59" s="155"/>
      <c r="F59" s="102" t="s">
        <v>5</v>
      </c>
      <c r="G59" s="103">
        <f>C41</f>
        <v>655.96</v>
      </c>
      <c r="H59" s="104">
        <f t="shared" si="2"/>
        <v>19.35743751084247</v>
      </c>
    </row>
    <row r="60" spans="1:12" ht="10.15" customHeight="1">
      <c r="A60" s="102" t="s">
        <v>5</v>
      </c>
      <c r="B60" s="103">
        <f>B41</f>
        <v>3.5575000000000001</v>
      </c>
      <c r="C60" s="104">
        <f>B60/$B$63*100</f>
        <v>0.15747548859714014</v>
      </c>
      <c r="D60" s="155"/>
      <c r="F60" s="102" t="s">
        <v>4</v>
      </c>
      <c r="G60" s="103">
        <f>C42</f>
        <v>317.19266499999998</v>
      </c>
      <c r="H60" s="104">
        <f t="shared" si="2"/>
        <v>9.3603835472210015</v>
      </c>
    </row>
    <row r="61" spans="1:12">
      <c r="A61" s="102" t="s">
        <v>4</v>
      </c>
      <c r="B61" s="103">
        <f>B42</f>
        <v>359.66923500000001</v>
      </c>
      <c r="C61" s="104">
        <f t="shared" si="3"/>
        <v>15.921036827824206</v>
      </c>
      <c r="D61" s="155"/>
      <c r="F61" s="102" t="s">
        <v>22</v>
      </c>
      <c r="G61" s="103">
        <f>C43</f>
        <v>8.8059999999999992</v>
      </c>
      <c r="H61" s="104">
        <f t="shared" si="2"/>
        <v>0.25986583742984143</v>
      </c>
    </row>
    <row r="62" spans="1:12">
      <c r="A62" s="102" t="s">
        <v>22</v>
      </c>
      <c r="B62" s="103">
        <f>B43</f>
        <v>3.9319999999999999</v>
      </c>
      <c r="C62" s="104">
        <f>B62/$B$63*100</f>
        <v>0.17405302070666337</v>
      </c>
      <c r="D62" s="155"/>
      <c r="F62" s="105" t="s">
        <v>20</v>
      </c>
      <c r="G62" s="106">
        <f>SUM(G52:G61)</f>
        <v>3388.6716649999998</v>
      </c>
      <c r="H62" s="107">
        <f>SUM(H52:H61)</f>
        <v>100</v>
      </c>
    </row>
    <row r="63" spans="1:12">
      <c r="A63" s="105" t="s">
        <v>20</v>
      </c>
      <c r="B63" s="106">
        <f>SUM(B52:B62)</f>
        <v>2259.0817349999998</v>
      </c>
      <c r="C63" s="107">
        <f>SUM(C52:C62)</f>
        <v>100.00000000000001</v>
      </c>
    </row>
    <row r="66" spans="1:15">
      <c r="A66" s="97" t="s">
        <v>115</v>
      </c>
      <c r="B66" s="98"/>
      <c r="F66" s="97" t="s">
        <v>116</v>
      </c>
      <c r="G66" s="98"/>
    </row>
    <row r="67" spans="1:15">
      <c r="A67" s="100"/>
      <c r="B67" s="101" t="s">
        <v>118</v>
      </c>
      <c r="C67" s="101" t="s">
        <v>117</v>
      </c>
      <c r="D67" s="101" t="s">
        <v>93</v>
      </c>
      <c r="F67" s="100"/>
      <c r="G67" s="101" t="s">
        <v>26</v>
      </c>
      <c r="H67" s="101" t="s">
        <v>93</v>
      </c>
      <c r="J67" s="175"/>
      <c r="K67" s="176" t="s">
        <v>125</v>
      </c>
      <c r="L67" s="176" t="s">
        <v>126</v>
      </c>
    </row>
    <row r="68" spans="1:15">
      <c r="A68" s="102" t="s">
        <v>11</v>
      </c>
      <c r="B68" s="104">
        <f t="shared" ref="B68:B79" si="4">D68/$D$80*100</f>
        <v>0</v>
      </c>
      <c r="C68" s="104">
        <f>(D68/SUM($D$68:$D$78))*100</f>
        <v>0</v>
      </c>
      <c r="D68" s="103">
        <f>IF(R9&lt;0,0,R9)</f>
        <v>0</v>
      </c>
      <c r="F68" s="102" t="s">
        <v>10</v>
      </c>
      <c r="G68" s="104">
        <f>SUM(Z10,Z14)/Z$22*100</f>
        <v>18.727486173022093</v>
      </c>
      <c r="H68" s="104"/>
      <c r="J68" s="174" t="s">
        <v>123</v>
      </c>
      <c r="K68" s="177">
        <f>SUM(C68:C74)</f>
        <v>85.907058276279827</v>
      </c>
      <c r="L68" s="177">
        <f>SUM(G68:G72)</f>
        <v>73.446784714578683</v>
      </c>
    </row>
    <row r="69" spans="1:15">
      <c r="A69" s="102" t="s">
        <v>10</v>
      </c>
      <c r="B69" s="104">
        <f t="shared" si="4"/>
        <v>7.5227237260855269</v>
      </c>
      <c r="C69" s="104">
        <f>(D69/SUM($D$68:$D$78))*100</f>
        <v>10.377348092024651</v>
      </c>
      <c r="D69" s="103">
        <f>R10</f>
        <v>45454.34</v>
      </c>
      <c r="F69" s="102" t="s">
        <v>9</v>
      </c>
      <c r="G69" s="104">
        <f>Z11/Z$22*100</f>
        <v>2.71002209447798</v>
      </c>
      <c r="H69" s="104"/>
      <c r="J69" s="178" t="s">
        <v>124</v>
      </c>
      <c r="K69" s="179">
        <f>SUM(C75:C78)</f>
        <v>14.092941723720195</v>
      </c>
      <c r="L69" s="179">
        <f>SUM(G73:G77)</f>
        <v>26.553215285421317</v>
      </c>
    </row>
    <row r="70" spans="1:15">
      <c r="A70" s="102" t="s">
        <v>9</v>
      </c>
      <c r="B70" s="104">
        <f t="shared" si="4"/>
        <v>6.5831845318188211</v>
      </c>
      <c r="C70" s="104">
        <f>(D70/SUM($D$68:$D$78))*100</f>
        <v>9.0812849079949771</v>
      </c>
      <c r="D70" s="103">
        <f>R11</f>
        <v>39777.389000000003</v>
      </c>
      <c r="F70" s="102" t="s">
        <v>8</v>
      </c>
      <c r="G70" s="104">
        <f>Z12/Z$22*100</f>
        <v>12.69681493904384</v>
      </c>
      <c r="H70" s="104"/>
    </row>
    <row r="71" spans="1:15">
      <c r="A71" s="102" t="s">
        <v>25</v>
      </c>
      <c r="B71" s="104">
        <f t="shared" si="4"/>
        <v>45.477579416526758</v>
      </c>
      <c r="C71" s="104">
        <f>(D71/SUM($D$68:$D$78))*100</f>
        <v>62.734813768518819</v>
      </c>
      <c r="D71" s="103">
        <f>R13</f>
        <v>274787.88699999999</v>
      </c>
      <c r="F71" s="102" t="s">
        <v>25</v>
      </c>
      <c r="G71" s="104">
        <f>Z13/Z$22*100</f>
        <v>39.312461508034779</v>
      </c>
      <c r="H71" s="104"/>
      <c r="J71" s="215" t="s">
        <v>141</v>
      </c>
    </row>
    <row r="72" spans="1:15">
      <c r="A72" s="102" t="s">
        <v>24</v>
      </c>
      <c r="B72" s="104">
        <f t="shared" si="4"/>
        <v>0</v>
      </c>
      <c r="C72" s="104"/>
      <c r="D72" s="103">
        <f>R14</f>
        <v>0</v>
      </c>
      <c r="F72" s="102" t="s">
        <v>23</v>
      </c>
      <c r="G72" s="104">
        <f>Z19/Z$22*100</f>
        <v>0</v>
      </c>
      <c r="H72" s="104"/>
      <c r="J72" s="101"/>
      <c r="K72" s="101" t="s">
        <v>117</v>
      </c>
      <c r="L72" s="101" t="s">
        <v>93</v>
      </c>
    </row>
    <row r="73" spans="1:15" ht="12.75">
      <c r="A73" s="102" t="s">
        <v>23</v>
      </c>
      <c r="B73" s="104">
        <f t="shared" si="4"/>
        <v>0.38664183783687939</v>
      </c>
      <c r="C73" s="104">
        <f t="shared" ref="C73:C77" si="5">(D73/SUM($D$68:$D$78))*100</f>
        <v>0.53335960275405014</v>
      </c>
      <c r="D73" s="103">
        <f>R19</f>
        <v>2336.1950000000002</v>
      </c>
      <c r="F73" s="102" t="s">
        <v>12</v>
      </c>
      <c r="G73" s="104">
        <f>Z8/Z$22*100</f>
        <v>0</v>
      </c>
      <c r="H73" s="104"/>
      <c r="J73" s="214" t="s">
        <v>140</v>
      </c>
      <c r="K73" s="219">
        <f>IF(L73=0,0,L73/L73)</f>
        <v>0</v>
      </c>
      <c r="L73" s="217">
        <f>R23</f>
        <v>0</v>
      </c>
      <c r="M73" s="216" t="str">
        <f>CONCATENATE(J73," ",TEXT(L73,"0,00")," MWh")</f>
        <v>Entrega baterías 0,00 MWh</v>
      </c>
      <c r="N73" s="218">
        <f>1-K73</f>
        <v>1</v>
      </c>
      <c r="O73" s="224">
        <f>1-N73</f>
        <v>0</v>
      </c>
    </row>
    <row r="74" spans="1:15" ht="12.75">
      <c r="A74" s="102" t="s">
        <v>47</v>
      </c>
      <c r="B74" s="104">
        <f t="shared" si="4"/>
        <v>2.3054210236007582</v>
      </c>
      <c r="C74" s="104">
        <f t="shared" si="5"/>
        <v>3.1802519049873244</v>
      </c>
      <c r="D74" s="103">
        <f>R21</f>
        <v>13929.98</v>
      </c>
      <c r="F74" s="102" t="s">
        <v>6</v>
      </c>
      <c r="G74" s="104">
        <f>Z15/Z$22*100</f>
        <v>0.33111434035078763</v>
      </c>
      <c r="H74" s="104"/>
      <c r="J74" s="214" t="s">
        <v>145</v>
      </c>
      <c r="K74" s="219">
        <f>IF(L74=0,0,L74/L74)</f>
        <v>1</v>
      </c>
      <c r="L74" s="217">
        <f>R24</f>
        <v>-1.0429999999999999</v>
      </c>
      <c r="M74" s="216" t="str">
        <f>CONCATENATE(J74," ",TEXT(L74,"0,00")," MWh")</f>
        <v>Carga baterías -1,04 MWh</v>
      </c>
      <c r="N74" s="218">
        <f>1-K74</f>
        <v>0</v>
      </c>
      <c r="O74" s="224">
        <f>1-N74</f>
        <v>1</v>
      </c>
    </row>
    <row r="75" spans="1:15">
      <c r="A75" s="102" t="s">
        <v>46</v>
      </c>
      <c r="B75" s="104">
        <f t="shared" si="4"/>
        <v>2.3054210236007582</v>
      </c>
      <c r="C75" s="104">
        <f t="shared" si="5"/>
        <v>3.1802519049873244</v>
      </c>
      <c r="D75" s="103">
        <f>R20</f>
        <v>13929.98</v>
      </c>
      <c r="F75" s="102" t="s">
        <v>5</v>
      </c>
      <c r="G75" s="104">
        <f>Z16/Z$22*100</f>
        <v>21.140195536048971</v>
      </c>
      <c r="H75" s="104"/>
      <c r="L75" s="223"/>
    </row>
    <row r="76" spans="1:15">
      <c r="A76" s="102" t="s">
        <v>5</v>
      </c>
      <c r="B76" s="104">
        <f t="shared" si="4"/>
        <v>0</v>
      </c>
      <c r="C76" s="104">
        <f>(D76/SUM($D$68:$D$78))*100</f>
        <v>0</v>
      </c>
      <c r="D76" s="103">
        <f>R16</f>
        <v>0</v>
      </c>
      <c r="F76" s="102" t="s">
        <v>4</v>
      </c>
      <c r="G76" s="104">
        <f>Z17/Z$22*100</f>
        <v>5.0358009663595782</v>
      </c>
      <c r="H76" s="104"/>
    </row>
    <row r="77" spans="1:15">
      <c r="A77" s="102" t="s">
        <v>4</v>
      </c>
      <c r="B77" s="104">
        <f t="shared" si="4"/>
        <v>7.8837943863963451</v>
      </c>
      <c r="C77" s="104">
        <f t="shared" si="5"/>
        <v>10.875433102759489</v>
      </c>
      <c r="D77" s="103">
        <f>R17</f>
        <v>47636.027000000002</v>
      </c>
      <c r="F77" s="102" t="s">
        <v>22</v>
      </c>
      <c r="G77" s="104">
        <f>Z18/Z$22*100</f>
        <v>4.6104442661980848E-2</v>
      </c>
      <c r="H77" s="104"/>
    </row>
    <row r="78" spans="1:15">
      <c r="A78" s="102" t="s">
        <v>22</v>
      </c>
      <c r="B78" s="104">
        <f t="shared" si="4"/>
        <v>2.700805434332337E-2</v>
      </c>
      <c r="C78" s="104">
        <f>(D78/SUM($D$68:$D$78))*100</f>
        <v>3.725671597338126E-2</v>
      </c>
      <c r="D78" s="103">
        <f>R18</f>
        <v>163.19</v>
      </c>
      <c r="F78" s="105" t="s">
        <v>20</v>
      </c>
      <c r="G78" s="107">
        <f>SUM(G68:G77)</f>
        <v>100.00000000000001</v>
      </c>
      <c r="H78" s="107"/>
    </row>
    <row r="79" spans="1:15">
      <c r="A79" s="102" t="s">
        <v>21</v>
      </c>
      <c r="B79" s="104">
        <f t="shared" si="4"/>
        <v>27.508225999790838</v>
      </c>
      <c r="C79" s="104"/>
      <c r="D79" s="103">
        <f>R25</f>
        <v>166212.17300000001</v>
      </c>
    </row>
    <row r="80" spans="1:15">
      <c r="A80" s="105" t="s">
        <v>20</v>
      </c>
      <c r="B80" s="107">
        <f>SUM(B68:B79)</f>
        <v>100.00000000000001</v>
      </c>
      <c r="C80" s="107">
        <f>SUM(C68:C79)</f>
        <v>100.00000000000003</v>
      </c>
      <c r="D80" s="106">
        <f>SUM(D68:D79)</f>
        <v>604227.16099999996</v>
      </c>
    </row>
    <row r="85" spans="1:26" ht="15">
      <c r="A85" s="128"/>
      <c r="B85" s="128" t="s">
        <v>61</v>
      </c>
      <c r="C85" s="266" t="s">
        <v>13</v>
      </c>
      <c r="D85" s="267"/>
      <c r="E85" s="267"/>
      <c r="F85" s="267"/>
      <c r="G85" s="267"/>
      <c r="H85" s="267"/>
      <c r="I85" s="267"/>
      <c r="J85" s="267"/>
      <c r="K85" s="267"/>
      <c r="L85" s="267"/>
      <c r="M85" s="267"/>
      <c r="N85" s="267"/>
      <c r="O85" s="267"/>
      <c r="P85" s="267"/>
      <c r="Q85" s="267"/>
      <c r="R85" s="267"/>
      <c r="S85" s="267"/>
      <c r="T85" s="267"/>
      <c r="U85" s="267"/>
      <c r="V85" s="267"/>
      <c r="W85" s="267"/>
      <c r="X85" s="267"/>
      <c r="Y85"/>
      <c r="Z85"/>
    </row>
    <row r="86" spans="1:26" ht="15">
      <c r="A86" s="128"/>
      <c r="B86" s="126" t="s">
        <v>59</v>
      </c>
      <c r="C86" s="181" t="s">
        <v>94</v>
      </c>
      <c r="D86" s="181" t="s">
        <v>95</v>
      </c>
      <c r="E86" s="181" t="s">
        <v>96</v>
      </c>
      <c r="F86" s="181" t="s">
        <v>97</v>
      </c>
      <c r="G86" s="181" t="s">
        <v>98</v>
      </c>
      <c r="H86" s="181" t="s">
        <v>99</v>
      </c>
      <c r="I86" s="181" t="s">
        <v>100</v>
      </c>
      <c r="J86" s="181" t="s">
        <v>101</v>
      </c>
      <c r="K86" s="181" t="s">
        <v>102</v>
      </c>
      <c r="L86" s="181" t="s">
        <v>103</v>
      </c>
      <c r="M86" s="181" t="s">
        <v>104</v>
      </c>
      <c r="N86" s="181" t="s">
        <v>105</v>
      </c>
      <c r="O86" s="181" t="s">
        <v>106</v>
      </c>
      <c r="P86" s="181" t="s">
        <v>109</v>
      </c>
      <c r="Q86" s="181" t="s">
        <v>122</v>
      </c>
      <c r="R86" s="181" t="s">
        <v>129</v>
      </c>
      <c r="S86" s="181" t="s">
        <v>130</v>
      </c>
      <c r="T86" s="181" t="s">
        <v>143</v>
      </c>
      <c r="U86" s="181" t="s">
        <v>144</v>
      </c>
      <c r="V86" s="181" t="s">
        <v>146</v>
      </c>
      <c r="W86" s="181" t="s">
        <v>147</v>
      </c>
      <c r="X86" s="181" t="s">
        <v>151</v>
      </c>
      <c r="Y86"/>
      <c r="Z86"/>
    </row>
    <row r="87" spans="1:26" ht="15">
      <c r="A87" s="128" t="s">
        <v>60</v>
      </c>
      <c r="B87" s="128" t="s">
        <v>62</v>
      </c>
      <c r="C87" s="130"/>
      <c r="D87" s="130"/>
      <c r="E87" s="130"/>
      <c r="F87" s="130"/>
      <c r="G87" s="130"/>
      <c r="H87" s="130"/>
      <c r="I87" s="130"/>
      <c r="J87" s="130"/>
      <c r="K87" s="130"/>
      <c r="L87" s="130"/>
      <c r="M87" s="130"/>
      <c r="N87" s="130"/>
      <c r="O87" s="130"/>
      <c r="P87" s="130"/>
      <c r="Q87" s="130"/>
      <c r="R87" s="130"/>
      <c r="S87" s="130"/>
      <c r="T87" s="130"/>
      <c r="U87" s="130"/>
      <c r="V87" s="130"/>
      <c r="W87" s="130"/>
      <c r="X87" s="130"/>
      <c r="Y87"/>
      <c r="Z87"/>
    </row>
    <row r="88" spans="1:26" ht="15">
      <c r="A88" s="260" t="s">
        <v>49</v>
      </c>
      <c r="B88" s="127" t="s">
        <v>11</v>
      </c>
      <c r="C88" s="229">
        <v>0</v>
      </c>
      <c r="D88" s="229">
        <v>0</v>
      </c>
      <c r="E88" s="229">
        <v>0</v>
      </c>
      <c r="F88" s="229">
        <v>0</v>
      </c>
      <c r="G88" s="229">
        <v>25.151703999999999</v>
      </c>
      <c r="H88" s="229">
        <v>29.836832000000001</v>
      </c>
      <c r="I88" s="229">
        <v>3.0622039999999999</v>
      </c>
      <c r="J88" s="229">
        <v>0</v>
      </c>
      <c r="K88" s="229">
        <v>0</v>
      </c>
      <c r="L88" s="229">
        <v>0</v>
      </c>
      <c r="M88" s="229">
        <v>0</v>
      </c>
      <c r="N88" s="229">
        <v>0</v>
      </c>
      <c r="O88" s="229">
        <v>4.6319679999999996</v>
      </c>
      <c r="P88" s="229">
        <v>61.004249999999999</v>
      </c>
      <c r="Q88" s="229">
        <v>29.608969999999999</v>
      </c>
      <c r="R88" s="229">
        <v>0</v>
      </c>
      <c r="S88" s="229">
        <v>0</v>
      </c>
      <c r="T88" s="229">
        <v>0</v>
      </c>
      <c r="U88" s="229">
        <v>0</v>
      </c>
      <c r="V88" s="229">
        <v>0</v>
      </c>
      <c r="W88" s="229">
        <v>0</v>
      </c>
      <c r="X88" s="229">
        <v>0</v>
      </c>
      <c r="Y88"/>
      <c r="Z88"/>
    </row>
    <row r="89" spans="1:26" ht="15">
      <c r="A89" s="261"/>
      <c r="B89" s="127" t="s">
        <v>69</v>
      </c>
      <c r="C89" s="229">
        <v>6.1979410000000001</v>
      </c>
      <c r="D89" s="229">
        <v>5.7004010000000003</v>
      </c>
      <c r="E89" s="229">
        <v>6.2874660000000002</v>
      </c>
      <c r="F89" s="229">
        <v>18.937709000000002</v>
      </c>
      <c r="G89" s="229">
        <v>12.634096</v>
      </c>
      <c r="H89" s="229">
        <v>18.518857000000001</v>
      </c>
      <c r="I89" s="229">
        <v>51.657288000000001</v>
      </c>
      <c r="J89" s="229">
        <v>63.154792</v>
      </c>
      <c r="K89" s="229">
        <v>37.101396999999999</v>
      </c>
      <c r="L89" s="229">
        <v>25.321735</v>
      </c>
      <c r="M89" s="229">
        <v>8.0420429999999996</v>
      </c>
      <c r="N89" s="229">
        <v>8.2701910000000005</v>
      </c>
      <c r="O89" s="229">
        <v>8.5854890000000008</v>
      </c>
      <c r="P89" s="229">
        <v>6.4758909999999998</v>
      </c>
      <c r="Q89" s="229">
        <v>7.3957850000000001</v>
      </c>
      <c r="R89" s="229">
        <v>13.863616</v>
      </c>
      <c r="S89" s="229">
        <v>17.616911000000002</v>
      </c>
      <c r="T89" s="229">
        <v>36.758597999999999</v>
      </c>
      <c r="U89" s="229">
        <v>62.363782</v>
      </c>
      <c r="V89" s="229">
        <v>66.467855</v>
      </c>
      <c r="W89" s="229">
        <v>45.454340000000002</v>
      </c>
      <c r="X89" s="229">
        <v>5.7028999999999996</v>
      </c>
      <c r="Y89"/>
      <c r="Z89"/>
    </row>
    <row r="90" spans="1:26" ht="15">
      <c r="A90" s="261"/>
      <c r="B90" s="127" t="s">
        <v>9</v>
      </c>
      <c r="C90" s="229">
        <v>25.499687000000002</v>
      </c>
      <c r="D90" s="229">
        <v>24.103729999999999</v>
      </c>
      <c r="E90" s="229">
        <v>25.225477999999999</v>
      </c>
      <c r="F90" s="229">
        <v>29.829684</v>
      </c>
      <c r="G90" s="229">
        <v>29.728614</v>
      </c>
      <c r="H90" s="229">
        <v>43.667929999999998</v>
      </c>
      <c r="I90" s="229">
        <v>52.690387999999999</v>
      </c>
      <c r="J90" s="229">
        <v>57.984402000000003</v>
      </c>
      <c r="K90" s="229">
        <v>36.627740000000003</v>
      </c>
      <c r="L90" s="229">
        <v>40.918340000000001</v>
      </c>
      <c r="M90" s="229">
        <v>22.217787999999999</v>
      </c>
      <c r="N90" s="229">
        <v>25.456890999999999</v>
      </c>
      <c r="O90" s="229">
        <v>23.827804</v>
      </c>
      <c r="P90" s="229">
        <v>22.326347999999999</v>
      </c>
      <c r="Q90" s="229">
        <v>24.290578</v>
      </c>
      <c r="R90" s="229">
        <v>25.040586000000001</v>
      </c>
      <c r="S90" s="229">
        <v>25.468105999999999</v>
      </c>
      <c r="T90" s="229">
        <v>46.078491</v>
      </c>
      <c r="U90" s="229">
        <v>58.218541000000002</v>
      </c>
      <c r="V90" s="229">
        <v>51.241262999999996</v>
      </c>
      <c r="W90" s="229">
        <v>39.777388999999999</v>
      </c>
      <c r="X90" s="229">
        <v>8.2831580000000002</v>
      </c>
      <c r="Y90"/>
      <c r="Z90"/>
    </row>
    <row r="91" spans="1:26" ht="15">
      <c r="A91" s="261"/>
      <c r="B91" s="127" t="s">
        <v>25</v>
      </c>
      <c r="C91" s="229">
        <v>245.660033</v>
      </c>
      <c r="D91" s="229">
        <v>219.76708199999999</v>
      </c>
      <c r="E91" s="229">
        <v>214.68396200000001</v>
      </c>
      <c r="F91" s="229">
        <v>206.60469800000001</v>
      </c>
      <c r="G91" s="229">
        <v>207.90606</v>
      </c>
      <c r="H91" s="229">
        <v>213.69113200000001</v>
      </c>
      <c r="I91" s="229">
        <v>274.34556800000001</v>
      </c>
      <c r="J91" s="229">
        <v>334.32576699999998</v>
      </c>
      <c r="K91" s="229">
        <v>246.11744899999999</v>
      </c>
      <c r="L91" s="229">
        <v>233.64673300000001</v>
      </c>
      <c r="M91" s="229">
        <v>228.35513399999999</v>
      </c>
      <c r="N91" s="229">
        <v>287.61223999999999</v>
      </c>
      <c r="O91" s="229">
        <v>284.762474</v>
      </c>
      <c r="P91" s="229">
        <v>188.665806</v>
      </c>
      <c r="Q91" s="229">
        <v>223.33681300000001</v>
      </c>
      <c r="R91" s="229">
        <v>226.567814</v>
      </c>
      <c r="S91" s="229">
        <v>243.85669100000001</v>
      </c>
      <c r="T91" s="229">
        <v>273.81515200000001</v>
      </c>
      <c r="U91" s="229">
        <v>334.267562</v>
      </c>
      <c r="V91" s="229">
        <v>319.07413400000002</v>
      </c>
      <c r="W91" s="229">
        <v>274.78788700000001</v>
      </c>
      <c r="X91" s="229">
        <v>77.047723000000005</v>
      </c>
      <c r="Y91"/>
      <c r="Z91"/>
    </row>
    <row r="92" spans="1:26" ht="15">
      <c r="A92" s="261"/>
      <c r="B92" s="127" t="s">
        <v>24</v>
      </c>
      <c r="C92" s="229">
        <v>0</v>
      </c>
      <c r="D92" s="229">
        <v>0</v>
      </c>
      <c r="E92" s="229">
        <v>0</v>
      </c>
      <c r="F92" s="229">
        <v>0</v>
      </c>
      <c r="G92" s="229">
        <v>0</v>
      </c>
      <c r="H92" s="229">
        <v>0</v>
      </c>
      <c r="I92" s="229">
        <v>0</v>
      </c>
      <c r="J92" s="229">
        <v>0</v>
      </c>
      <c r="K92" s="229">
        <v>0</v>
      </c>
      <c r="L92" s="229">
        <v>0</v>
      </c>
      <c r="M92" s="229">
        <v>0</v>
      </c>
      <c r="N92" s="229">
        <v>0</v>
      </c>
      <c r="O92" s="229">
        <v>0</v>
      </c>
      <c r="P92" s="229">
        <v>0</v>
      </c>
      <c r="Q92" s="229">
        <v>0</v>
      </c>
      <c r="R92" s="229">
        <v>0</v>
      </c>
      <c r="S92" s="229">
        <v>0</v>
      </c>
      <c r="T92" s="229">
        <v>0</v>
      </c>
      <c r="U92" s="229">
        <v>0</v>
      </c>
      <c r="V92" s="229">
        <v>0</v>
      </c>
      <c r="W92" s="229">
        <v>0</v>
      </c>
      <c r="X92" s="229">
        <v>0</v>
      </c>
      <c r="Y92"/>
      <c r="Z92"/>
    </row>
    <row r="93" spans="1:26" ht="15">
      <c r="A93" s="261"/>
      <c r="B93" s="127" t="s">
        <v>5</v>
      </c>
      <c r="C93" s="229">
        <v>0</v>
      </c>
      <c r="D93" s="229">
        <v>0</v>
      </c>
      <c r="E93" s="229">
        <v>0</v>
      </c>
      <c r="F93" s="229">
        <v>0</v>
      </c>
      <c r="G93" s="229">
        <v>0</v>
      </c>
      <c r="H93" s="229">
        <v>0</v>
      </c>
      <c r="I93" s="229">
        <v>0</v>
      </c>
      <c r="J93" s="229">
        <v>0</v>
      </c>
      <c r="K93" s="229">
        <v>0</v>
      </c>
      <c r="L93" s="229">
        <v>0</v>
      </c>
      <c r="M93" s="229">
        <v>0</v>
      </c>
      <c r="N93" s="229">
        <v>0</v>
      </c>
      <c r="O93" s="229">
        <v>0</v>
      </c>
      <c r="P93" s="229">
        <v>0</v>
      </c>
      <c r="Q93" s="229">
        <v>0</v>
      </c>
      <c r="R93" s="229">
        <v>0</v>
      </c>
      <c r="S93" s="229">
        <v>0</v>
      </c>
      <c r="T93" s="229">
        <v>0</v>
      </c>
      <c r="U93" s="229">
        <v>0</v>
      </c>
      <c r="V93" s="229">
        <v>0</v>
      </c>
      <c r="W93" s="229">
        <v>0</v>
      </c>
      <c r="X93" s="229">
        <v>0</v>
      </c>
      <c r="Y93"/>
      <c r="Z93"/>
    </row>
    <row r="94" spans="1:26" ht="15">
      <c r="A94" s="261"/>
      <c r="B94" s="127" t="s">
        <v>4</v>
      </c>
      <c r="C94" s="229">
        <v>24.205653000000002</v>
      </c>
      <c r="D94" s="229">
        <v>30.786093000000001</v>
      </c>
      <c r="E94" s="229">
        <v>45.328431999999999</v>
      </c>
      <c r="F94" s="229">
        <v>44.661211000000002</v>
      </c>
      <c r="G94" s="229">
        <v>58.387267000000001</v>
      </c>
      <c r="H94" s="229">
        <v>53.303195000000002</v>
      </c>
      <c r="I94" s="229">
        <v>60.213101000000002</v>
      </c>
      <c r="J94" s="229">
        <v>55.546011</v>
      </c>
      <c r="K94" s="229">
        <v>44.045144000000001</v>
      </c>
      <c r="L94" s="229">
        <v>38.954234</v>
      </c>
      <c r="M94" s="229">
        <v>27.233916000000001</v>
      </c>
      <c r="N94" s="229">
        <v>25.260021999999999</v>
      </c>
      <c r="O94" s="229">
        <v>27.365279000000001</v>
      </c>
      <c r="P94" s="229">
        <v>29.660162</v>
      </c>
      <c r="Q94" s="229">
        <v>33.783219000000003</v>
      </c>
      <c r="R94" s="229">
        <v>48.888747000000002</v>
      </c>
      <c r="S94" s="229">
        <v>53.663460000000001</v>
      </c>
      <c r="T94" s="229">
        <v>62.733255</v>
      </c>
      <c r="U94" s="229">
        <v>56.807785000000003</v>
      </c>
      <c r="V94" s="229">
        <v>56.215967999999997</v>
      </c>
      <c r="W94" s="229">
        <v>47.636026999999999</v>
      </c>
      <c r="X94" s="229">
        <v>12.786327999999999</v>
      </c>
      <c r="Y94"/>
      <c r="Z94"/>
    </row>
    <row r="95" spans="1:26" ht="15">
      <c r="A95" s="261"/>
      <c r="B95" s="127" t="s">
        <v>22</v>
      </c>
      <c r="C95" s="229">
        <v>0.10423</v>
      </c>
      <c r="D95" s="229">
        <v>3.9530000000000003E-2</v>
      </c>
      <c r="E95" s="229">
        <v>4.0002000000000003E-2</v>
      </c>
      <c r="F95" s="229">
        <v>1.5544000000000001E-2</v>
      </c>
      <c r="G95" s="229">
        <v>4.1384999999999998E-2</v>
      </c>
      <c r="H95" s="229">
        <v>7.8099000000000002E-2</v>
      </c>
      <c r="I95" s="229">
        <v>0.18402499999999999</v>
      </c>
      <c r="J95" s="229">
        <v>0.28992600000000002</v>
      </c>
      <c r="K95" s="229">
        <v>0.364813</v>
      </c>
      <c r="L95" s="229">
        <v>0.34994999999999998</v>
      </c>
      <c r="M95" s="229">
        <v>0.27039800000000003</v>
      </c>
      <c r="N95" s="229">
        <v>0.23000100000000001</v>
      </c>
      <c r="O95" s="229">
        <v>0.256185</v>
      </c>
      <c r="P95" s="229">
        <v>0.25728499999999999</v>
      </c>
      <c r="Q95" s="229">
        <v>0.27165699999999998</v>
      </c>
      <c r="R95" s="229">
        <v>0.216173</v>
      </c>
      <c r="S95" s="229">
        <v>0.242977</v>
      </c>
      <c r="T95" s="229">
        <v>0.25375799999999998</v>
      </c>
      <c r="U95" s="229">
        <v>0.13533500000000001</v>
      </c>
      <c r="V95" s="229">
        <v>6.2700000000000006E-2</v>
      </c>
      <c r="W95" s="229">
        <v>0.16319</v>
      </c>
      <c r="X95" s="229">
        <v>0.24600900000000001</v>
      </c>
      <c r="Y95"/>
      <c r="Z95"/>
    </row>
    <row r="96" spans="1:26" ht="15">
      <c r="A96" s="261"/>
      <c r="B96" s="127" t="s">
        <v>23</v>
      </c>
      <c r="C96" s="229">
        <v>3.9370180000000001</v>
      </c>
      <c r="D96" s="229">
        <v>3.7397490000000002</v>
      </c>
      <c r="E96" s="229">
        <v>3.4851179999999999</v>
      </c>
      <c r="F96" s="229">
        <v>1.9095409999999999</v>
      </c>
      <c r="G96" s="229">
        <v>3.5397620000000001</v>
      </c>
      <c r="H96" s="229">
        <v>3.4609559999999999</v>
      </c>
      <c r="I96" s="229">
        <v>3.2774670000000001</v>
      </c>
      <c r="J96" s="229">
        <v>3.1243509999999999</v>
      </c>
      <c r="K96" s="229">
        <v>2.778902</v>
      </c>
      <c r="L96" s="229">
        <v>2.2852030000000001</v>
      </c>
      <c r="M96" s="229">
        <v>1.8790750000000001</v>
      </c>
      <c r="N96" s="229">
        <v>3.2668629999999999</v>
      </c>
      <c r="O96" s="229">
        <v>3.6863090000000001</v>
      </c>
      <c r="P96" s="229">
        <v>3.272465</v>
      </c>
      <c r="Q96" s="229">
        <v>2.6087359999999999</v>
      </c>
      <c r="R96" s="229">
        <v>2.4437060000000002</v>
      </c>
      <c r="S96" s="229">
        <v>3.266893</v>
      </c>
      <c r="T96" s="229">
        <v>4.1208809999999998</v>
      </c>
      <c r="U96" s="229">
        <v>3.573118</v>
      </c>
      <c r="V96" s="229">
        <v>3.1659009999999999</v>
      </c>
      <c r="W96" s="229">
        <v>2.336195</v>
      </c>
      <c r="X96" s="229">
        <v>0.72929999999999995</v>
      </c>
      <c r="Y96"/>
      <c r="Z96"/>
    </row>
    <row r="97" spans="1:26" ht="15">
      <c r="A97" s="261"/>
      <c r="B97" s="127" t="s">
        <v>46</v>
      </c>
      <c r="C97" s="229">
        <v>10.485035</v>
      </c>
      <c r="D97" s="229">
        <v>5.6085469999999997</v>
      </c>
      <c r="E97" s="229">
        <v>12.829401000000001</v>
      </c>
      <c r="F97" s="229">
        <v>11.323399</v>
      </c>
      <c r="G97" s="229">
        <v>12.2750895</v>
      </c>
      <c r="H97" s="229">
        <v>16.584269500000001</v>
      </c>
      <c r="I97" s="229">
        <v>15.726691000000001</v>
      </c>
      <c r="J97" s="229">
        <v>15.578734000000001</v>
      </c>
      <c r="K97" s="229">
        <v>14.1961285</v>
      </c>
      <c r="L97" s="229">
        <v>9.2427220000000005</v>
      </c>
      <c r="M97" s="229">
        <v>9.5122354999999992</v>
      </c>
      <c r="N97" s="229">
        <v>12.261645</v>
      </c>
      <c r="O97" s="229">
        <v>10.134332000000001</v>
      </c>
      <c r="P97" s="229">
        <v>8.8925330000000002</v>
      </c>
      <c r="Q97" s="229">
        <v>9.8915330000000008</v>
      </c>
      <c r="R97" s="229">
        <v>12.984987</v>
      </c>
      <c r="S97" s="229">
        <v>10.486427000000001</v>
      </c>
      <c r="T97" s="229">
        <v>14.345347</v>
      </c>
      <c r="U97" s="229">
        <v>9.4785564999999998</v>
      </c>
      <c r="V97" s="229">
        <v>11.851848499999999</v>
      </c>
      <c r="W97" s="229">
        <v>13.92998</v>
      </c>
      <c r="X97" s="229">
        <v>4.1817500000000001</v>
      </c>
      <c r="Y97"/>
      <c r="Z97"/>
    </row>
    <row r="98" spans="1:26" ht="15">
      <c r="A98" s="261"/>
      <c r="B98" s="127" t="s">
        <v>47</v>
      </c>
      <c r="C98" s="229">
        <v>10.485035</v>
      </c>
      <c r="D98" s="229">
        <v>5.6085469999999997</v>
      </c>
      <c r="E98" s="229">
        <v>12.829401000000001</v>
      </c>
      <c r="F98" s="229">
        <v>11.323399</v>
      </c>
      <c r="G98" s="229">
        <v>12.2750895</v>
      </c>
      <c r="H98" s="229">
        <v>16.584269500000001</v>
      </c>
      <c r="I98" s="229">
        <v>15.726691000000001</v>
      </c>
      <c r="J98" s="229">
        <v>15.578734000000001</v>
      </c>
      <c r="K98" s="229">
        <v>14.1961285</v>
      </c>
      <c r="L98" s="229">
        <v>9.2427220000000005</v>
      </c>
      <c r="M98" s="229">
        <v>9.5122354999999992</v>
      </c>
      <c r="N98" s="229">
        <v>12.261645</v>
      </c>
      <c r="O98" s="229">
        <v>10.134332000000001</v>
      </c>
      <c r="P98" s="229">
        <v>8.8925330000000002</v>
      </c>
      <c r="Q98" s="229">
        <v>9.8915330000000008</v>
      </c>
      <c r="R98" s="229">
        <v>12.984987</v>
      </c>
      <c r="S98" s="229">
        <v>10.486427000000001</v>
      </c>
      <c r="T98" s="229">
        <v>14.345347</v>
      </c>
      <c r="U98" s="229">
        <v>9.4785564999999998</v>
      </c>
      <c r="V98" s="229">
        <v>11.851848499999999</v>
      </c>
      <c r="W98" s="229">
        <v>13.92998</v>
      </c>
      <c r="X98" s="229">
        <v>4.1817500000000001</v>
      </c>
      <c r="Y98"/>
      <c r="Z98"/>
    </row>
    <row r="99" spans="1:26" ht="15">
      <c r="A99" s="261"/>
      <c r="B99" s="131" t="s">
        <v>2</v>
      </c>
      <c r="C99" s="230">
        <v>326.57463200000001</v>
      </c>
      <c r="D99" s="230">
        <v>295.353679</v>
      </c>
      <c r="E99" s="230">
        <v>320.70925999999997</v>
      </c>
      <c r="F99" s="230">
        <v>324.60518500000001</v>
      </c>
      <c r="G99" s="230">
        <v>361.93906700000002</v>
      </c>
      <c r="H99" s="230">
        <v>395.72554000000002</v>
      </c>
      <c r="I99" s="230">
        <v>476.88342299999999</v>
      </c>
      <c r="J99" s="230">
        <v>545.582717</v>
      </c>
      <c r="K99" s="230">
        <v>395.42770200000001</v>
      </c>
      <c r="L99" s="230">
        <v>359.96163899999999</v>
      </c>
      <c r="M99" s="230">
        <v>307.02282500000001</v>
      </c>
      <c r="N99" s="230">
        <v>374.61949800000002</v>
      </c>
      <c r="O99" s="230">
        <v>373.38417199999998</v>
      </c>
      <c r="P99" s="230">
        <v>329.447273</v>
      </c>
      <c r="Q99" s="230">
        <v>341.078824</v>
      </c>
      <c r="R99" s="230">
        <v>342.99061599999999</v>
      </c>
      <c r="S99" s="230">
        <v>365.08789200000001</v>
      </c>
      <c r="T99" s="230">
        <v>452.450829</v>
      </c>
      <c r="U99" s="230">
        <v>534.32323599999995</v>
      </c>
      <c r="V99" s="230">
        <v>519.93151799999998</v>
      </c>
      <c r="W99" s="230">
        <v>438.01498800000002</v>
      </c>
      <c r="X99" s="230">
        <v>113.158918</v>
      </c>
      <c r="Y99"/>
      <c r="Z99"/>
    </row>
    <row r="100" spans="1:26" ht="15">
      <c r="A100" s="261"/>
      <c r="B100" s="127" t="s">
        <v>107</v>
      </c>
      <c r="C100" s="229">
        <v>2.9220000000000001E-3</v>
      </c>
      <c r="D100" s="229">
        <v>0</v>
      </c>
      <c r="E100" s="229">
        <v>2.3219999999999998E-3</v>
      </c>
      <c r="F100" s="229">
        <v>0</v>
      </c>
      <c r="G100" s="229">
        <v>8.5810000000000001E-3</v>
      </c>
      <c r="H100" s="229">
        <v>1.8225999999999999E-2</v>
      </c>
      <c r="I100" s="229">
        <v>0</v>
      </c>
      <c r="J100" s="229">
        <v>0</v>
      </c>
      <c r="K100" s="229">
        <v>4.75E-4</v>
      </c>
      <c r="L100" s="229">
        <v>5.6973000000000003E-2</v>
      </c>
      <c r="M100" s="229">
        <v>4.3603000000000003E-2</v>
      </c>
      <c r="N100" s="229">
        <v>1.0196999999999999E-2</v>
      </c>
      <c r="O100" s="229">
        <v>5.3210000000000002E-3</v>
      </c>
      <c r="P100" s="229">
        <v>9.2090000000000002E-3</v>
      </c>
      <c r="Q100" s="229">
        <v>1.562E-3</v>
      </c>
      <c r="R100" s="229">
        <v>9.810000000000001E-4</v>
      </c>
      <c r="S100" s="229">
        <v>8.0190000000000001E-3</v>
      </c>
      <c r="T100" s="229">
        <v>3.3307000000000003E-2</v>
      </c>
      <c r="U100" s="229">
        <v>2.5804000000000001E-2</v>
      </c>
      <c r="V100" s="229">
        <v>0</v>
      </c>
      <c r="W100" s="229">
        <v>0</v>
      </c>
      <c r="X100" s="229">
        <v>0</v>
      </c>
      <c r="Y100"/>
      <c r="Z100"/>
    </row>
    <row r="101" spans="1:26" ht="15">
      <c r="A101" s="261"/>
      <c r="B101" s="127" t="s">
        <v>108</v>
      </c>
      <c r="C101" s="229">
        <v>-2.2768E-2</v>
      </c>
      <c r="D101" s="229">
        <v>-1.0208999999999999E-2</v>
      </c>
      <c r="E101" s="229">
        <v>-3.2804E-2</v>
      </c>
      <c r="F101" s="229">
        <v>-4.0090000000000004E-3</v>
      </c>
      <c r="G101" s="229">
        <v>-3.6989000000000001E-2</v>
      </c>
      <c r="H101" s="229">
        <v>-6.3725000000000004E-2</v>
      </c>
      <c r="I101" s="229">
        <v>-5.3999999999999998E-5</v>
      </c>
      <c r="J101" s="229">
        <v>-1.776E-3</v>
      </c>
      <c r="K101" s="229">
        <v>-9.0050000000000009E-3</v>
      </c>
      <c r="L101" s="229">
        <v>-0.12790699999999999</v>
      </c>
      <c r="M101" s="229">
        <v>-8.7809999999999999E-2</v>
      </c>
      <c r="N101" s="229">
        <v>-2.4122000000000001E-2</v>
      </c>
      <c r="O101" s="229">
        <v>-2.0024E-2</v>
      </c>
      <c r="P101" s="229">
        <v>-1.9650000000000001E-2</v>
      </c>
      <c r="Q101" s="229">
        <v>-6.5550000000000001E-3</v>
      </c>
      <c r="R101" s="229">
        <v>-6.4229999999999999E-3</v>
      </c>
      <c r="S101" s="229">
        <v>-2.7414000000000001E-2</v>
      </c>
      <c r="T101" s="229">
        <v>-6.6456000000000001E-2</v>
      </c>
      <c r="U101" s="229">
        <v>-8.4402000000000005E-2</v>
      </c>
      <c r="V101" s="229">
        <v>-3.7090000000000001E-3</v>
      </c>
      <c r="W101" s="229">
        <v>-1.0430000000000001E-3</v>
      </c>
      <c r="X101" s="229">
        <v>0</v>
      </c>
      <c r="Y101"/>
      <c r="Z101"/>
    </row>
    <row r="102" spans="1:26" ht="15">
      <c r="A102" s="261"/>
      <c r="B102" s="127" t="s">
        <v>21</v>
      </c>
      <c r="C102" s="229">
        <v>122.760274</v>
      </c>
      <c r="D102" s="229">
        <v>114.74408200000001</v>
      </c>
      <c r="E102" s="229">
        <v>110.667727</v>
      </c>
      <c r="F102" s="229">
        <v>109.36235000000001</v>
      </c>
      <c r="G102" s="229">
        <v>117.764884</v>
      </c>
      <c r="H102" s="229">
        <v>145.36358899999999</v>
      </c>
      <c r="I102" s="229">
        <v>208.454387</v>
      </c>
      <c r="J102" s="229">
        <v>187.956546</v>
      </c>
      <c r="K102" s="229">
        <v>162.00915900000001</v>
      </c>
      <c r="L102" s="229">
        <v>144.54443599999999</v>
      </c>
      <c r="M102" s="229">
        <v>78.195680999999993</v>
      </c>
      <c r="N102" s="229">
        <v>77.984769</v>
      </c>
      <c r="O102" s="229">
        <v>85.443509000000006</v>
      </c>
      <c r="P102" s="229">
        <v>90.795297000000005</v>
      </c>
      <c r="Q102" s="229">
        <v>113.220591</v>
      </c>
      <c r="R102" s="229">
        <v>85.306769000000003</v>
      </c>
      <c r="S102" s="229">
        <v>110.447626</v>
      </c>
      <c r="T102" s="229">
        <v>171.035324</v>
      </c>
      <c r="U102" s="229">
        <v>188.42781500000001</v>
      </c>
      <c r="V102" s="229">
        <v>208.61120199999999</v>
      </c>
      <c r="W102" s="229">
        <v>166.21217300000001</v>
      </c>
      <c r="X102" s="229">
        <v>40.669130000000003</v>
      </c>
      <c r="Y102"/>
      <c r="Z102"/>
    </row>
    <row r="103" spans="1:26" ht="15">
      <c r="A103" s="262"/>
      <c r="B103" s="131" t="s">
        <v>70</v>
      </c>
      <c r="C103" s="230">
        <v>449.31506000000002</v>
      </c>
      <c r="D103" s="230">
        <v>410.08755200000002</v>
      </c>
      <c r="E103" s="230">
        <v>431.34650499999998</v>
      </c>
      <c r="F103" s="230">
        <v>433.963526</v>
      </c>
      <c r="G103" s="230">
        <v>479.675543</v>
      </c>
      <c r="H103" s="230">
        <v>541.04363000000001</v>
      </c>
      <c r="I103" s="230">
        <v>685.33775600000001</v>
      </c>
      <c r="J103" s="230">
        <v>733.53748700000006</v>
      </c>
      <c r="K103" s="230">
        <v>557.42833099999996</v>
      </c>
      <c r="L103" s="230">
        <v>504.43514099999999</v>
      </c>
      <c r="M103" s="230">
        <v>385.17429900000002</v>
      </c>
      <c r="N103" s="230">
        <v>452.59034200000002</v>
      </c>
      <c r="O103" s="230">
        <v>458.81297799999999</v>
      </c>
      <c r="P103" s="230">
        <v>420.23212899999999</v>
      </c>
      <c r="Q103" s="230">
        <v>454.294422</v>
      </c>
      <c r="R103" s="230">
        <v>428.291943</v>
      </c>
      <c r="S103" s="230">
        <v>475.51612299999999</v>
      </c>
      <c r="T103" s="230">
        <v>623.45300399999996</v>
      </c>
      <c r="U103" s="230">
        <v>722.692453</v>
      </c>
      <c r="V103" s="230">
        <v>728.53901099999996</v>
      </c>
      <c r="W103" s="230">
        <v>604.22611800000004</v>
      </c>
      <c r="X103" s="230">
        <v>153.828048</v>
      </c>
      <c r="Y103"/>
      <c r="Z103"/>
    </row>
    <row r="104" spans="1:26" ht="15">
      <c r="A104" s="265" t="s">
        <v>50</v>
      </c>
      <c r="B104" s="127" t="s">
        <v>12</v>
      </c>
      <c r="C104" s="229">
        <v>0.29624200000000001</v>
      </c>
      <c r="D104" s="229">
        <v>0.28508299999999998</v>
      </c>
      <c r="E104" s="229">
        <v>0.272924</v>
      </c>
      <c r="F104" s="229">
        <v>0.258407</v>
      </c>
      <c r="G104" s="229">
        <v>0.28213199999999999</v>
      </c>
      <c r="H104" s="229">
        <v>0.27541500000000002</v>
      </c>
      <c r="I104" s="229">
        <v>0.290603</v>
      </c>
      <c r="J104" s="229">
        <v>0.28181699999999998</v>
      </c>
      <c r="K104" s="229">
        <v>0.27621200000000001</v>
      </c>
      <c r="L104" s="229">
        <v>0.29845300000000002</v>
      </c>
      <c r="M104" s="229">
        <v>0.28431800000000002</v>
      </c>
      <c r="N104" s="229">
        <v>0.28783500000000001</v>
      </c>
      <c r="O104" s="229">
        <v>0.285242</v>
      </c>
      <c r="P104" s="229">
        <v>5.4619000000000001E-2</v>
      </c>
      <c r="Q104" s="229">
        <v>0</v>
      </c>
      <c r="R104" s="229">
        <v>0</v>
      </c>
      <c r="S104" s="229">
        <v>0</v>
      </c>
      <c r="T104" s="229">
        <v>0</v>
      </c>
      <c r="U104" s="229">
        <v>0</v>
      </c>
      <c r="V104" s="229">
        <v>0</v>
      </c>
      <c r="W104" s="229">
        <v>0</v>
      </c>
      <c r="X104" s="229">
        <v>0</v>
      </c>
      <c r="Y104"/>
      <c r="Z104"/>
    </row>
    <row r="105" spans="1:26" ht="15">
      <c r="A105" s="261"/>
      <c r="B105" s="127" t="s">
        <v>69</v>
      </c>
      <c r="C105" s="229">
        <v>169.88187400000001</v>
      </c>
      <c r="D105" s="229">
        <v>150.50368700000001</v>
      </c>
      <c r="E105" s="229">
        <v>159.11780200000001</v>
      </c>
      <c r="F105" s="229">
        <v>147.29312100000001</v>
      </c>
      <c r="G105" s="229">
        <v>146.28192000000001</v>
      </c>
      <c r="H105" s="229">
        <v>150.704353</v>
      </c>
      <c r="I105" s="229">
        <v>160.623885</v>
      </c>
      <c r="J105" s="229">
        <v>152.78751800000001</v>
      </c>
      <c r="K105" s="229">
        <v>158.02361400000001</v>
      </c>
      <c r="L105" s="229">
        <v>161.225874</v>
      </c>
      <c r="M105" s="229">
        <v>162.623898</v>
      </c>
      <c r="N105" s="229">
        <v>158.879446</v>
      </c>
      <c r="O105" s="229">
        <v>164.446281</v>
      </c>
      <c r="P105" s="229">
        <v>147.68749600000001</v>
      </c>
      <c r="Q105" s="229">
        <v>173.83343199999999</v>
      </c>
      <c r="R105" s="229">
        <v>146.76996600000001</v>
      </c>
      <c r="S105" s="229">
        <v>139.11880199999999</v>
      </c>
      <c r="T105" s="229">
        <v>133.45317499999999</v>
      </c>
      <c r="U105" s="229">
        <v>138.95270500000001</v>
      </c>
      <c r="V105" s="229">
        <v>156.42968200000001</v>
      </c>
      <c r="W105" s="229">
        <v>146.533942</v>
      </c>
      <c r="X105" s="229">
        <v>42.102283999999997</v>
      </c>
      <c r="Y105"/>
      <c r="Z105"/>
    </row>
    <row r="106" spans="1:26" ht="15">
      <c r="A106" s="261"/>
      <c r="B106" s="127" t="s">
        <v>9</v>
      </c>
      <c r="C106" s="229">
        <v>28.281392</v>
      </c>
      <c r="D106" s="229">
        <v>23.554095</v>
      </c>
      <c r="E106" s="229">
        <v>23.025227000000001</v>
      </c>
      <c r="F106" s="229">
        <v>15.266852</v>
      </c>
      <c r="G106" s="229">
        <v>13.422698</v>
      </c>
      <c r="H106" s="229">
        <v>26.814177000000001</v>
      </c>
      <c r="I106" s="229">
        <v>16.554684000000002</v>
      </c>
      <c r="J106" s="229">
        <v>15.849519000000001</v>
      </c>
      <c r="K106" s="229">
        <v>24.502908999999999</v>
      </c>
      <c r="L106" s="229">
        <v>16.364426999999999</v>
      </c>
      <c r="M106" s="229">
        <v>29.713279</v>
      </c>
      <c r="N106" s="229">
        <v>20.429556000000002</v>
      </c>
      <c r="O106" s="229">
        <v>37.045735999999998</v>
      </c>
      <c r="P106" s="229">
        <v>22.268398999999999</v>
      </c>
      <c r="Q106" s="229">
        <v>28.510366000000001</v>
      </c>
      <c r="R106" s="229">
        <v>15.002691</v>
      </c>
      <c r="S106" s="229">
        <v>15.518791</v>
      </c>
      <c r="T106" s="229">
        <v>14.439681999999999</v>
      </c>
      <c r="U106" s="229">
        <v>17.277450000000002</v>
      </c>
      <c r="V106" s="229">
        <v>21.905667999999999</v>
      </c>
      <c r="W106" s="229">
        <v>21.204673</v>
      </c>
      <c r="X106" s="229">
        <v>4.3549620000000004</v>
      </c>
      <c r="Y106"/>
      <c r="Z106"/>
    </row>
    <row r="107" spans="1:26" ht="15">
      <c r="A107" s="261"/>
      <c r="B107" s="127" t="s">
        <v>8</v>
      </c>
      <c r="C107" s="229">
        <v>121.758736</v>
      </c>
      <c r="D107" s="229">
        <v>103.04591600000001</v>
      </c>
      <c r="E107" s="229">
        <v>118.98512599999999</v>
      </c>
      <c r="F107" s="229">
        <v>101.478588</v>
      </c>
      <c r="G107" s="229">
        <v>109.30998200000001</v>
      </c>
      <c r="H107" s="229">
        <v>82.237212</v>
      </c>
      <c r="I107" s="229">
        <v>108.818316</v>
      </c>
      <c r="J107" s="229">
        <v>104.478976</v>
      </c>
      <c r="K107" s="229">
        <v>76.899137999999994</v>
      </c>
      <c r="L107" s="229">
        <v>89.300011999999995</v>
      </c>
      <c r="M107" s="229">
        <v>91.813715999999999</v>
      </c>
      <c r="N107" s="229">
        <v>71.233320000000006</v>
      </c>
      <c r="O107" s="229">
        <v>82.867552000000003</v>
      </c>
      <c r="P107" s="229">
        <v>111.33349800000001</v>
      </c>
      <c r="Q107" s="229">
        <v>126.580506</v>
      </c>
      <c r="R107" s="229">
        <v>98.063034000000002</v>
      </c>
      <c r="S107" s="229">
        <v>81.823025999999999</v>
      </c>
      <c r="T107" s="229">
        <v>84.304407999999995</v>
      </c>
      <c r="U107" s="229">
        <v>97.386711000000005</v>
      </c>
      <c r="V107" s="229">
        <v>100.206506</v>
      </c>
      <c r="W107" s="229">
        <v>99.346721000000002</v>
      </c>
      <c r="X107" s="229">
        <v>27.729673999999999</v>
      </c>
      <c r="Y107"/>
      <c r="Z107"/>
    </row>
    <row r="108" spans="1:26" ht="15">
      <c r="A108" s="261"/>
      <c r="B108" s="127" t="s">
        <v>25</v>
      </c>
      <c r="C108" s="229">
        <v>349.62675200000001</v>
      </c>
      <c r="D108" s="229">
        <v>283.485344</v>
      </c>
      <c r="E108" s="229">
        <v>307.37834299999997</v>
      </c>
      <c r="F108" s="229">
        <v>316.11086599999999</v>
      </c>
      <c r="G108" s="229">
        <v>261.3288</v>
      </c>
      <c r="H108" s="229">
        <v>271.16905600000001</v>
      </c>
      <c r="I108" s="229">
        <v>265.51519999999999</v>
      </c>
      <c r="J108" s="229">
        <v>260.370474</v>
      </c>
      <c r="K108" s="229">
        <v>296.23593199999999</v>
      </c>
      <c r="L108" s="229">
        <v>354.842107</v>
      </c>
      <c r="M108" s="229">
        <v>391.60655400000002</v>
      </c>
      <c r="N108" s="229">
        <v>377.87321400000002</v>
      </c>
      <c r="O108" s="229">
        <v>342.56568199999998</v>
      </c>
      <c r="P108" s="229">
        <v>249.83534599999999</v>
      </c>
      <c r="Q108" s="229">
        <v>290.37200899999999</v>
      </c>
      <c r="R108" s="229">
        <v>290.70250900000002</v>
      </c>
      <c r="S108" s="229">
        <v>328.785506</v>
      </c>
      <c r="T108" s="229">
        <v>284.15903500000002</v>
      </c>
      <c r="U108" s="229">
        <v>316.61882300000002</v>
      </c>
      <c r="V108" s="229">
        <v>340.02993600000002</v>
      </c>
      <c r="W108" s="229">
        <v>307.60187999999999</v>
      </c>
      <c r="X108" s="229">
        <v>93.843902999999997</v>
      </c>
      <c r="Y108"/>
      <c r="Z108"/>
    </row>
    <row r="109" spans="1:26" ht="15">
      <c r="A109" s="261"/>
      <c r="B109" s="127" t="s">
        <v>6</v>
      </c>
      <c r="C109" s="229">
        <v>0.73928799999999995</v>
      </c>
      <c r="D109" s="229">
        <v>1.4498660000000001</v>
      </c>
      <c r="E109" s="229">
        <v>1.626099</v>
      </c>
      <c r="F109" s="229">
        <v>1.3224050000000001</v>
      </c>
      <c r="G109" s="229">
        <v>2.25665</v>
      </c>
      <c r="H109" s="229">
        <v>2.6416550000000001</v>
      </c>
      <c r="I109" s="229">
        <v>3.5113099999999999</v>
      </c>
      <c r="J109" s="229">
        <v>3.975784</v>
      </c>
      <c r="K109" s="229">
        <v>2.271474</v>
      </c>
      <c r="L109" s="229">
        <v>1.869634</v>
      </c>
      <c r="M109" s="229">
        <v>0.32408100000000001</v>
      </c>
      <c r="N109" s="229">
        <v>1.363745</v>
      </c>
      <c r="O109" s="229">
        <v>1.249555</v>
      </c>
      <c r="P109" s="229">
        <v>1.142978</v>
      </c>
      <c r="Q109" s="229">
        <v>1.2419039999999999</v>
      </c>
      <c r="R109" s="229">
        <v>1.7632380000000001</v>
      </c>
      <c r="S109" s="229">
        <v>1.701465</v>
      </c>
      <c r="T109" s="229">
        <v>2.9528669999999999</v>
      </c>
      <c r="U109" s="229">
        <v>3.1269979999999999</v>
      </c>
      <c r="V109" s="229">
        <v>2.6583589999999999</v>
      </c>
      <c r="W109" s="229">
        <v>2.5908169999999999</v>
      </c>
      <c r="X109" s="229">
        <v>0</v>
      </c>
      <c r="Y109"/>
      <c r="Z109"/>
    </row>
    <row r="110" spans="1:26" ht="15">
      <c r="A110" s="261"/>
      <c r="B110" s="127" t="s">
        <v>5</v>
      </c>
      <c r="C110" s="229">
        <v>53.153264999999998</v>
      </c>
      <c r="D110" s="229">
        <v>108.660585</v>
      </c>
      <c r="E110" s="229">
        <v>89.216486000000003</v>
      </c>
      <c r="F110" s="229">
        <v>94.616236999999998</v>
      </c>
      <c r="G110" s="229">
        <v>146.946403</v>
      </c>
      <c r="H110" s="229">
        <v>129.811801</v>
      </c>
      <c r="I110" s="229">
        <v>169.34169700000001</v>
      </c>
      <c r="J110" s="229">
        <v>210.63462999999999</v>
      </c>
      <c r="K110" s="229">
        <v>148.53897900000001</v>
      </c>
      <c r="L110" s="229">
        <v>116.72577099999999</v>
      </c>
      <c r="M110" s="229">
        <v>42.203436000000004</v>
      </c>
      <c r="N110" s="229">
        <v>98.604742999999999</v>
      </c>
      <c r="O110" s="229">
        <v>94.730716000000001</v>
      </c>
      <c r="P110" s="229">
        <v>107.781023</v>
      </c>
      <c r="Q110" s="229">
        <v>77.910471999999999</v>
      </c>
      <c r="R110" s="229">
        <v>105.224018</v>
      </c>
      <c r="S110" s="229">
        <v>99.380206999999999</v>
      </c>
      <c r="T110" s="229">
        <v>143.378455</v>
      </c>
      <c r="U110" s="229">
        <v>163.042329</v>
      </c>
      <c r="V110" s="229">
        <v>149.38965200000001</v>
      </c>
      <c r="W110" s="229">
        <v>165.41228000000001</v>
      </c>
      <c r="X110" s="229">
        <v>52.148772000000001</v>
      </c>
      <c r="Y110"/>
      <c r="Z110"/>
    </row>
    <row r="111" spans="1:26" ht="15">
      <c r="A111" s="261"/>
      <c r="B111" s="127" t="s">
        <v>4</v>
      </c>
      <c r="C111" s="229">
        <v>24.766017999999999</v>
      </c>
      <c r="D111" s="229">
        <v>26.429468</v>
      </c>
      <c r="E111" s="229">
        <v>32.017468999999998</v>
      </c>
      <c r="F111" s="229">
        <v>36.139912000000002</v>
      </c>
      <c r="G111" s="229">
        <v>35.883150999999998</v>
      </c>
      <c r="H111" s="229">
        <v>36.359181999999997</v>
      </c>
      <c r="I111" s="229">
        <v>42.950865999999998</v>
      </c>
      <c r="J111" s="229">
        <v>40.957819000000001</v>
      </c>
      <c r="K111" s="229">
        <v>37.569015999999998</v>
      </c>
      <c r="L111" s="229">
        <v>36.358265000000003</v>
      </c>
      <c r="M111" s="229">
        <v>28.568382</v>
      </c>
      <c r="N111" s="229">
        <v>27.419523999999999</v>
      </c>
      <c r="O111" s="229">
        <v>32.134219999999999</v>
      </c>
      <c r="P111" s="229">
        <v>36.099778000000001</v>
      </c>
      <c r="Q111" s="229">
        <v>37.372995000000003</v>
      </c>
      <c r="R111" s="229">
        <v>38.245548999999997</v>
      </c>
      <c r="S111" s="229">
        <v>44.380906000000003</v>
      </c>
      <c r="T111" s="229">
        <v>42.392861000000003</v>
      </c>
      <c r="U111" s="229">
        <v>44.388679000000003</v>
      </c>
      <c r="V111" s="229">
        <v>45.802045</v>
      </c>
      <c r="W111" s="229">
        <v>39.402819999999998</v>
      </c>
      <c r="X111" s="229">
        <v>10.065469</v>
      </c>
      <c r="Y111"/>
      <c r="Z111"/>
    </row>
    <row r="112" spans="1:26" ht="15">
      <c r="A112" s="261"/>
      <c r="B112" s="127" t="s">
        <v>22</v>
      </c>
      <c r="C112" s="229">
        <v>0.50013399999999997</v>
      </c>
      <c r="D112" s="229">
        <v>0.49944300000000003</v>
      </c>
      <c r="E112" s="229">
        <v>0.57839200000000002</v>
      </c>
      <c r="F112" s="229">
        <v>0.26424700000000001</v>
      </c>
      <c r="G112" s="229">
        <v>0.430983</v>
      </c>
      <c r="H112" s="229">
        <v>0.49796200000000002</v>
      </c>
      <c r="I112" s="229">
        <v>0.62341999999999997</v>
      </c>
      <c r="J112" s="229">
        <v>1.3289139999999999</v>
      </c>
      <c r="K112" s="229">
        <v>1.1101749999999999</v>
      </c>
      <c r="L112" s="229">
        <v>1.1028469999999999</v>
      </c>
      <c r="M112" s="229">
        <v>1.1775519999999999</v>
      </c>
      <c r="N112" s="229">
        <v>1.130485</v>
      </c>
      <c r="O112" s="229">
        <v>1.127931</v>
      </c>
      <c r="P112" s="229">
        <v>1.2032910000000001</v>
      </c>
      <c r="Q112" s="229">
        <v>1.4286719999999999</v>
      </c>
      <c r="R112" s="229">
        <v>1.4361379999999999</v>
      </c>
      <c r="S112" s="229">
        <v>1.444064</v>
      </c>
      <c r="T112" s="229">
        <v>1.2805299999999999</v>
      </c>
      <c r="U112" s="229">
        <v>1.163958</v>
      </c>
      <c r="V112" s="229">
        <v>0.98014500000000004</v>
      </c>
      <c r="W112" s="229">
        <v>0.36074600000000001</v>
      </c>
      <c r="X112" s="229">
        <v>0</v>
      </c>
      <c r="Y112"/>
      <c r="Z112"/>
    </row>
    <row r="113" spans="1:26" ht="15">
      <c r="A113" s="261"/>
      <c r="B113" s="131" t="s">
        <v>2</v>
      </c>
      <c r="C113" s="230">
        <v>749.00370099999998</v>
      </c>
      <c r="D113" s="230">
        <v>697.91348700000003</v>
      </c>
      <c r="E113" s="230">
        <v>732.21786799999995</v>
      </c>
      <c r="F113" s="230">
        <v>712.75063499999999</v>
      </c>
      <c r="G113" s="230">
        <v>716.14271900000006</v>
      </c>
      <c r="H113" s="230">
        <v>700.51081299999998</v>
      </c>
      <c r="I113" s="230">
        <v>768.22998099999995</v>
      </c>
      <c r="J113" s="230">
        <v>790.66545099999996</v>
      </c>
      <c r="K113" s="230">
        <v>745.42744900000002</v>
      </c>
      <c r="L113" s="230">
        <v>778.08739000000003</v>
      </c>
      <c r="M113" s="230">
        <v>748.31521599999996</v>
      </c>
      <c r="N113" s="230">
        <v>757.22186799999997</v>
      </c>
      <c r="O113" s="230">
        <v>756.45291499999996</v>
      </c>
      <c r="P113" s="230">
        <v>677.40642800000001</v>
      </c>
      <c r="Q113" s="230">
        <v>737.25035600000001</v>
      </c>
      <c r="R113" s="230">
        <v>697.20714299999997</v>
      </c>
      <c r="S113" s="230">
        <v>712.15276700000004</v>
      </c>
      <c r="T113" s="230">
        <v>706.36101299999996</v>
      </c>
      <c r="U113" s="230">
        <v>781.95765300000005</v>
      </c>
      <c r="V113" s="230">
        <v>817.40199299999995</v>
      </c>
      <c r="W113" s="230">
        <v>782.45387900000003</v>
      </c>
      <c r="X113" s="230">
        <v>230.24506400000001</v>
      </c>
      <c r="Y113"/>
      <c r="Z113"/>
    </row>
    <row r="114" spans="1:26" ht="15">
      <c r="A114" s="262"/>
      <c r="B114" s="131" t="s">
        <v>70</v>
      </c>
      <c r="C114" s="230">
        <v>749.00370099999998</v>
      </c>
      <c r="D114" s="230">
        <v>697.91348700000003</v>
      </c>
      <c r="E114" s="230">
        <v>732.21786799999995</v>
      </c>
      <c r="F114" s="230">
        <v>712.75063499999999</v>
      </c>
      <c r="G114" s="230">
        <v>716.14271900000006</v>
      </c>
      <c r="H114" s="230">
        <v>700.51081299999998</v>
      </c>
      <c r="I114" s="230">
        <v>768.22998099999995</v>
      </c>
      <c r="J114" s="230">
        <v>790.66545099999996</v>
      </c>
      <c r="K114" s="230">
        <v>745.42744900000002</v>
      </c>
      <c r="L114" s="230">
        <v>778.08739000000003</v>
      </c>
      <c r="M114" s="230">
        <v>748.31521599999996</v>
      </c>
      <c r="N114" s="230">
        <v>757.22186799999997</v>
      </c>
      <c r="O114" s="230">
        <v>756.45291499999996</v>
      </c>
      <c r="P114" s="230">
        <v>677.40642800000001</v>
      </c>
      <c r="Q114" s="230">
        <v>737.25035600000001</v>
      </c>
      <c r="R114" s="230">
        <v>697.20714299999997</v>
      </c>
      <c r="S114" s="230">
        <v>712.15276700000004</v>
      </c>
      <c r="T114" s="230">
        <v>706.36101299999996</v>
      </c>
      <c r="U114" s="230">
        <v>781.95765300000005</v>
      </c>
      <c r="V114" s="230">
        <v>817.40199299999995</v>
      </c>
      <c r="W114" s="230">
        <v>782.45387900000003</v>
      </c>
      <c r="X114" s="230">
        <v>230.24506400000001</v>
      </c>
      <c r="Y114"/>
      <c r="Z114"/>
    </row>
    <row r="115" spans="1:26" ht="1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</row>
    <row r="116" spans="1:26" ht="1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</row>
    <row r="117" spans="1:26" ht="12" customHeight="1">
      <c r="A117"/>
      <c r="B117"/>
      <c r="C117" s="203"/>
      <c r="D117" s="203"/>
      <c r="E117" s="203"/>
      <c r="F117" s="203"/>
      <c r="G117" s="203"/>
      <c r="H117" s="203"/>
      <c r="I117" s="203"/>
      <c r="J117" s="203"/>
      <c r="K117" s="203"/>
      <c r="L117" s="203"/>
      <c r="M117" s="203"/>
      <c r="N117" s="203"/>
      <c r="O117" s="203"/>
      <c r="P117"/>
      <c r="Q117"/>
      <c r="R117"/>
      <c r="S117"/>
    </row>
    <row r="118" spans="1:26">
      <c r="B118" s="99" t="s">
        <v>134</v>
      </c>
      <c r="C118" s="201">
        <f>+C133+C134</f>
        <v>-8.5300000000000011E-3</v>
      </c>
      <c r="D118" s="201">
        <f t="shared" ref="D118:O118" si="6">+D133+D134</f>
        <v>-7.0933999999999997E-2</v>
      </c>
      <c r="E118" s="201">
        <f t="shared" si="6"/>
        <v>-4.4206999999999996E-2</v>
      </c>
      <c r="F118" s="201">
        <f t="shared" si="6"/>
        <v>-1.3925000000000002E-2</v>
      </c>
      <c r="G118" s="201">
        <f t="shared" si="6"/>
        <v>-1.4703000000000001E-2</v>
      </c>
      <c r="H118" s="201">
        <f t="shared" si="6"/>
        <v>-1.0441000000000001E-2</v>
      </c>
      <c r="I118" s="201">
        <f t="shared" si="6"/>
        <v>-4.993E-3</v>
      </c>
      <c r="J118" s="201">
        <f t="shared" si="6"/>
        <v>-5.4419999999999998E-3</v>
      </c>
      <c r="K118" s="201">
        <f t="shared" si="6"/>
        <v>-1.9395000000000003E-2</v>
      </c>
      <c r="L118" s="201">
        <f t="shared" si="6"/>
        <v>-3.3148999999999998E-2</v>
      </c>
      <c r="M118" s="201">
        <f t="shared" si="6"/>
        <v>-5.8598000000000004E-2</v>
      </c>
      <c r="N118" s="201">
        <f t="shared" si="6"/>
        <v>-3.7090000000000001E-3</v>
      </c>
      <c r="O118" s="201">
        <f t="shared" si="6"/>
        <v>-1.0430000000000001E-3</v>
      </c>
    </row>
    <row r="119" spans="1:26">
      <c r="B119" s="249" t="s">
        <v>65</v>
      </c>
      <c r="C119" s="108" t="str">
        <f>TEXT(EDATE(D119,-1),"mmmm aaaa")</f>
        <v>septiembre 2024</v>
      </c>
      <c r="D119" s="108" t="str">
        <f t="shared" ref="D119:M119" si="7">TEXT(EDATE(E119,-1),"mmmm aaaa")</f>
        <v>octubre 2024</v>
      </c>
      <c r="E119" s="108" t="str">
        <f t="shared" si="7"/>
        <v>noviembre 2024</v>
      </c>
      <c r="F119" s="108" t="str">
        <f t="shared" si="7"/>
        <v>diciembre 2024</v>
      </c>
      <c r="G119" s="108" t="str">
        <f t="shared" si="7"/>
        <v>enero 2025</v>
      </c>
      <c r="H119" s="108" t="str">
        <f t="shared" si="7"/>
        <v>febrero 2025</v>
      </c>
      <c r="I119" s="108" t="str">
        <f t="shared" si="7"/>
        <v>marzo 2025</v>
      </c>
      <c r="J119" s="108" t="str">
        <f t="shared" si="7"/>
        <v>abril 2025</v>
      </c>
      <c r="K119" s="108" t="str">
        <f t="shared" si="7"/>
        <v>mayo 2025</v>
      </c>
      <c r="L119" s="108" t="str">
        <f t="shared" si="7"/>
        <v>junio 2025</v>
      </c>
      <c r="M119" s="108" t="str">
        <f t="shared" si="7"/>
        <v>julio 2025</v>
      </c>
      <c r="N119" s="108" t="str">
        <f>TEXT(EDATE(O119,-1),"mmmm aaaa")</f>
        <v>agosto 2025</v>
      </c>
      <c r="O119" s="109" t="str">
        <f>A2</f>
        <v>Septiembre 2025</v>
      </c>
    </row>
    <row r="120" spans="1:26">
      <c r="B120" s="250"/>
      <c r="C120" s="116" t="str">
        <f>TEXT(EDATE($A$2,-12),"mmm")&amp;".-"&amp;TEXT(EDATE($A$2,-12),"aa")</f>
        <v>sep.-24</v>
      </c>
      <c r="D120" s="116" t="str">
        <f>TEXT(EDATE($A$2,-11),"mmm")&amp;".-"&amp;TEXT(EDATE($A$2,-11),"aa")</f>
        <v>oct.-24</v>
      </c>
      <c r="E120" s="116" t="str">
        <f>TEXT(EDATE($A$2,-10),"mmm")&amp;".-"&amp;TEXT(EDATE($A$2,-10),"aa")</f>
        <v>nov.-24</v>
      </c>
      <c r="F120" s="116" t="str">
        <f>TEXT(EDATE($A$2,-9),"mmm")&amp;".-"&amp;TEXT(EDATE($A$2,-9),"aa")</f>
        <v>dic.-24</v>
      </c>
      <c r="G120" s="116" t="str">
        <f>TEXT(EDATE($A$2,-8),"mmm")&amp;".-"&amp;TEXT(EDATE($A$2,-8),"aa")</f>
        <v>ene.-25</v>
      </c>
      <c r="H120" s="116" t="str">
        <f>TEXT(EDATE($A$2,-7),"mmm")&amp;".-"&amp;TEXT(EDATE($A$2,-7),"aa")</f>
        <v>feb.-25</v>
      </c>
      <c r="I120" s="116" t="str">
        <f>TEXT(EDATE($A$2,-6),"mmm")&amp;".-"&amp;TEXT(EDATE($A$2,-6),"aa")</f>
        <v>mar.-25</v>
      </c>
      <c r="J120" s="116" t="str">
        <f>TEXT(EDATE($A$2,-5),"mmm")&amp;".-"&amp;TEXT(EDATE($A$2,-5),"aa")</f>
        <v>abr.-25</v>
      </c>
      <c r="K120" s="116" t="str">
        <f>TEXT(EDATE($A$2,-4),"mmm")&amp;".-"&amp;TEXT(EDATE($A$2,-4),"aa")</f>
        <v>may.-25</v>
      </c>
      <c r="L120" s="116" t="str">
        <f>TEXT(EDATE($A$2,-3),"mmm")&amp;".-"&amp;TEXT(EDATE($A$2,-3),"aa")</f>
        <v>jun.-25</v>
      </c>
      <c r="M120" s="116" t="str">
        <f>TEXT(EDATE($A$2,-2),"mmm")&amp;".-"&amp;TEXT(EDATE($A$2,-2),"aa")</f>
        <v>jul.-25</v>
      </c>
      <c r="N120" s="116" t="str">
        <f>TEXT(EDATE($A$2,-1),"mmm")&amp;".-"&amp;TEXT(EDATE($A$2,-1),"aa")</f>
        <v>ago.-25</v>
      </c>
      <c r="O120" s="136" t="str">
        <f>TEXT($A$2,"mmm")&amp;".-"&amp;TEXT($A$2,"aa")</f>
        <v>sep.-25</v>
      </c>
    </row>
    <row r="121" spans="1:26">
      <c r="A121" s="257" t="s">
        <v>67</v>
      </c>
      <c r="B121" s="117" t="s">
        <v>11</v>
      </c>
      <c r="C121" s="118">
        <f t="shared" ref="C121:O121" si="8">HLOOKUP(C$119,$86:$103,3,FALSE)</f>
        <v>0</v>
      </c>
      <c r="D121" s="118">
        <f t="shared" si="8"/>
        <v>0</v>
      </c>
      <c r="E121" s="118">
        <f t="shared" si="8"/>
        <v>0</v>
      </c>
      <c r="F121" s="118">
        <f t="shared" si="8"/>
        <v>0</v>
      </c>
      <c r="G121" s="118">
        <f t="shared" si="8"/>
        <v>4.6319679999999996</v>
      </c>
      <c r="H121" s="118">
        <f t="shared" si="8"/>
        <v>61.004249999999999</v>
      </c>
      <c r="I121" s="118">
        <f t="shared" si="8"/>
        <v>29.608969999999999</v>
      </c>
      <c r="J121" s="118">
        <f t="shared" si="8"/>
        <v>0</v>
      </c>
      <c r="K121" s="118">
        <f t="shared" si="8"/>
        <v>0</v>
      </c>
      <c r="L121" s="118">
        <f t="shared" si="8"/>
        <v>0</v>
      </c>
      <c r="M121" s="118">
        <f t="shared" si="8"/>
        <v>0</v>
      </c>
      <c r="N121" s="118">
        <f t="shared" si="8"/>
        <v>0</v>
      </c>
      <c r="O121" s="119">
        <f t="shared" si="8"/>
        <v>0</v>
      </c>
    </row>
    <row r="122" spans="1:26">
      <c r="A122" s="258"/>
      <c r="B122" s="102" t="s">
        <v>10</v>
      </c>
      <c r="C122" s="104">
        <f t="shared" ref="C122:O122" si="9">HLOOKUP(C$119,$86:$103,4,FALSE)</f>
        <v>37.101396999999999</v>
      </c>
      <c r="D122" s="104">
        <f t="shared" si="9"/>
        <v>25.321735</v>
      </c>
      <c r="E122" s="104">
        <f t="shared" si="9"/>
        <v>8.0420429999999996</v>
      </c>
      <c r="F122" s="104">
        <f t="shared" si="9"/>
        <v>8.2701910000000005</v>
      </c>
      <c r="G122" s="104">
        <f t="shared" si="9"/>
        <v>8.5854890000000008</v>
      </c>
      <c r="H122" s="104">
        <f t="shared" si="9"/>
        <v>6.4758909999999998</v>
      </c>
      <c r="I122" s="104">
        <f t="shared" si="9"/>
        <v>7.3957850000000001</v>
      </c>
      <c r="J122" s="104">
        <f t="shared" si="9"/>
        <v>13.863616</v>
      </c>
      <c r="K122" s="104">
        <f t="shared" si="9"/>
        <v>17.616911000000002</v>
      </c>
      <c r="L122" s="104">
        <f t="shared" si="9"/>
        <v>36.758597999999999</v>
      </c>
      <c r="M122" s="104">
        <f t="shared" si="9"/>
        <v>62.363782</v>
      </c>
      <c r="N122" s="104">
        <f t="shared" si="9"/>
        <v>66.467855</v>
      </c>
      <c r="O122" s="119">
        <f t="shared" si="9"/>
        <v>45.454340000000002</v>
      </c>
    </row>
    <row r="123" spans="1:26">
      <c r="A123" s="258"/>
      <c r="B123" s="102" t="s">
        <v>9</v>
      </c>
      <c r="C123" s="104">
        <f t="shared" ref="C123:O123" si="10">HLOOKUP(C$119,$86:$103,5,FALSE)</f>
        <v>36.627740000000003</v>
      </c>
      <c r="D123" s="104">
        <f t="shared" si="10"/>
        <v>40.918340000000001</v>
      </c>
      <c r="E123" s="104">
        <f t="shared" si="10"/>
        <v>22.217787999999999</v>
      </c>
      <c r="F123" s="104">
        <f t="shared" si="10"/>
        <v>25.456890999999999</v>
      </c>
      <c r="G123" s="104">
        <f t="shared" si="10"/>
        <v>23.827804</v>
      </c>
      <c r="H123" s="104">
        <f t="shared" si="10"/>
        <v>22.326347999999999</v>
      </c>
      <c r="I123" s="104">
        <f t="shared" si="10"/>
        <v>24.290578</v>
      </c>
      <c r="J123" s="104">
        <f t="shared" si="10"/>
        <v>25.040586000000001</v>
      </c>
      <c r="K123" s="104">
        <f t="shared" si="10"/>
        <v>25.468105999999999</v>
      </c>
      <c r="L123" s="104">
        <f t="shared" si="10"/>
        <v>46.078491</v>
      </c>
      <c r="M123" s="104">
        <f t="shared" si="10"/>
        <v>58.218541000000002</v>
      </c>
      <c r="N123" s="104">
        <f t="shared" si="10"/>
        <v>51.241262999999996</v>
      </c>
      <c r="O123" s="119">
        <f t="shared" si="10"/>
        <v>39.777388999999999</v>
      </c>
    </row>
    <row r="124" spans="1:26" ht="14.25">
      <c r="A124" s="258"/>
      <c r="B124" s="102" t="s">
        <v>128</v>
      </c>
      <c r="C124" s="104">
        <f t="shared" ref="C124:O124" si="11">HLOOKUP(C$119,$86:$103,6,FALSE)</f>
        <v>246.11744899999999</v>
      </c>
      <c r="D124" s="104">
        <f t="shared" si="11"/>
        <v>233.64673300000001</v>
      </c>
      <c r="E124" s="104">
        <f t="shared" si="11"/>
        <v>228.35513399999999</v>
      </c>
      <c r="F124" s="104">
        <f t="shared" si="11"/>
        <v>287.61223999999999</v>
      </c>
      <c r="G124" s="104">
        <f t="shared" si="11"/>
        <v>284.762474</v>
      </c>
      <c r="H124" s="104">
        <f t="shared" si="11"/>
        <v>188.665806</v>
      </c>
      <c r="I124" s="104">
        <f t="shared" si="11"/>
        <v>223.33681300000001</v>
      </c>
      <c r="J124" s="104">
        <f t="shared" si="11"/>
        <v>226.567814</v>
      </c>
      <c r="K124" s="104">
        <f t="shared" si="11"/>
        <v>243.85669100000001</v>
      </c>
      <c r="L124" s="104">
        <f t="shared" si="11"/>
        <v>273.81515200000001</v>
      </c>
      <c r="M124" s="104">
        <f t="shared" si="11"/>
        <v>334.267562</v>
      </c>
      <c r="N124" s="104">
        <f t="shared" si="11"/>
        <v>319.07413400000002</v>
      </c>
      <c r="O124" s="119">
        <f t="shared" si="11"/>
        <v>274.78788700000001</v>
      </c>
    </row>
    <row r="125" spans="1:26">
      <c r="A125" s="258"/>
      <c r="B125" s="102" t="s">
        <v>24</v>
      </c>
      <c r="C125" s="104">
        <f t="shared" ref="C125:O125" si="12">HLOOKUP(C$119,$86:$103,7,FALSE)</f>
        <v>0</v>
      </c>
      <c r="D125" s="104">
        <f t="shared" si="12"/>
        <v>0</v>
      </c>
      <c r="E125" s="104">
        <f t="shared" si="12"/>
        <v>0</v>
      </c>
      <c r="F125" s="104">
        <f t="shared" si="12"/>
        <v>0</v>
      </c>
      <c r="G125" s="104">
        <f t="shared" si="12"/>
        <v>0</v>
      </c>
      <c r="H125" s="104">
        <f t="shared" si="12"/>
        <v>0</v>
      </c>
      <c r="I125" s="104">
        <f t="shared" si="12"/>
        <v>0</v>
      </c>
      <c r="J125" s="104">
        <f t="shared" si="12"/>
        <v>0</v>
      </c>
      <c r="K125" s="104">
        <f t="shared" si="12"/>
        <v>0</v>
      </c>
      <c r="L125" s="104">
        <f t="shared" si="12"/>
        <v>0</v>
      </c>
      <c r="M125" s="104">
        <f t="shared" si="12"/>
        <v>0</v>
      </c>
      <c r="N125" s="104">
        <f t="shared" si="12"/>
        <v>0</v>
      </c>
      <c r="O125" s="119">
        <f t="shared" si="12"/>
        <v>0</v>
      </c>
    </row>
    <row r="126" spans="1:26">
      <c r="A126" s="258"/>
      <c r="B126" s="102" t="s">
        <v>5</v>
      </c>
      <c r="C126" s="104">
        <f t="shared" ref="C126:O126" si="13">HLOOKUP(C$119,$86:$104,8,FALSE)</f>
        <v>0</v>
      </c>
      <c r="D126" s="104">
        <f t="shared" si="13"/>
        <v>0</v>
      </c>
      <c r="E126" s="104">
        <f t="shared" si="13"/>
        <v>0</v>
      </c>
      <c r="F126" s="104">
        <f t="shared" si="13"/>
        <v>0</v>
      </c>
      <c r="G126" s="104">
        <f t="shared" si="13"/>
        <v>0</v>
      </c>
      <c r="H126" s="104">
        <f t="shared" si="13"/>
        <v>0</v>
      </c>
      <c r="I126" s="104">
        <f t="shared" si="13"/>
        <v>0</v>
      </c>
      <c r="J126" s="104">
        <f t="shared" si="13"/>
        <v>0</v>
      </c>
      <c r="K126" s="104">
        <f t="shared" si="13"/>
        <v>0</v>
      </c>
      <c r="L126" s="104">
        <f t="shared" si="13"/>
        <v>0</v>
      </c>
      <c r="M126" s="104">
        <f t="shared" si="13"/>
        <v>0</v>
      </c>
      <c r="N126" s="104">
        <f t="shared" si="13"/>
        <v>0</v>
      </c>
      <c r="O126" s="119">
        <f t="shared" si="13"/>
        <v>0</v>
      </c>
    </row>
    <row r="127" spans="1:26">
      <c r="A127" s="258"/>
      <c r="B127" s="102" t="s">
        <v>4</v>
      </c>
      <c r="C127" s="104">
        <f t="shared" ref="C127:O127" si="14">HLOOKUP(C$119,$86:$104,9,FALSE)</f>
        <v>44.045144000000001</v>
      </c>
      <c r="D127" s="104">
        <f t="shared" si="14"/>
        <v>38.954234</v>
      </c>
      <c r="E127" s="104">
        <f t="shared" si="14"/>
        <v>27.233916000000001</v>
      </c>
      <c r="F127" s="104">
        <f t="shared" si="14"/>
        <v>25.260021999999999</v>
      </c>
      <c r="G127" s="104">
        <f t="shared" si="14"/>
        <v>27.365279000000001</v>
      </c>
      <c r="H127" s="104">
        <f t="shared" si="14"/>
        <v>29.660162</v>
      </c>
      <c r="I127" s="104">
        <f t="shared" si="14"/>
        <v>33.783219000000003</v>
      </c>
      <c r="J127" s="104">
        <f t="shared" si="14"/>
        <v>48.888747000000002</v>
      </c>
      <c r="K127" s="104">
        <f t="shared" si="14"/>
        <v>53.663460000000001</v>
      </c>
      <c r="L127" s="104">
        <f t="shared" si="14"/>
        <v>62.733255</v>
      </c>
      <c r="M127" s="104">
        <f t="shared" si="14"/>
        <v>56.807785000000003</v>
      </c>
      <c r="N127" s="104">
        <f t="shared" si="14"/>
        <v>56.215967999999997</v>
      </c>
      <c r="O127" s="119">
        <f t="shared" si="14"/>
        <v>47.636026999999999</v>
      </c>
    </row>
    <row r="128" spans="1:26">
      <c r="A128" s="258"/>
      <c r="B128" s="110" t="s">
        <v>22</v>
      </c>
      <c r="C128" s="104">
        <f t="shared" ref="C128:O128" si="15">HLOOKUP(C$119,$86:$104,10,FALSE)</f>
        <v>0.364813</v>
      </c>
      <c r="D128" s="104">
        <f t="shared" si="15"/>
        <v>0.34994999999999998</v>
      </c>
      <c r="E128" s="104">
        <f t="shared" si="15"/>
        <v>0.27039800000000003</v>
      </c>
      <c r="F128" s="104">
        <f t="shared" si="15"/>
        <v>0.23000100000000001</v>
      </c>
      <c r="G128" s="104">
        <f t="shared" si="15"/>
        <v>0.256185</v>
      </c>
      <c r="H128" s="104">
        <f t="shared" si="15"/>
        <v>0.25728499999999999</v>
      </c>
      <c r="I128" s="104">
        <f t="shared" si="15"/>
        <v>0.27165699999999998</v>
      </c>
      <c r="J128" s="104">
        <f t="shared" si="15"/>
        <v>0.216173</v>
      </c>
      <c r="K128" s="104">
        <f t="shared" si="15"/>
        <v>0.242977</v>
      </c>
      <c r="L128" s="104">
        <f t="shared" si="15"/>
        <v>0.25375799999999998</v>
      </c>
      <c r="M128" s="104">
        <f t="shared" si="15"/>
        <v>0.13533500000000001</v>
      </c>
      <c r="N128" s="104">
        <f t="shared" si="15"/>
        <v>6.2700000000000006E-2</v>
      </c>
      <c r="O128" s="119">
        <f t="shared" si="15"/>
        <v>0.16319</v>
      </c>
    </row>
    <row r="129" spans="1:15">
      <c r="A129" s="258"/>
      <c r="B129" s="110" t="s">
        <v>23</v>
      </c>
      <c r="C129" s="104">
        <f t="shared" ref="C129:O129" si="16">HLOOKUP(C$119,$86:$104,11,FALSE)</f>
        <v>2.778902</v>
      </c>
      <c r="D129" s="104">
        <f t="shared" si="16"/>
        <v>2.2852030000000001</v>
      </c>
      <c r="E129" s="104">
        <f t="shared" si="16"/>
        <v>1.8790750000000001</v>
      </c>
      <c r="F129" s="104">
        <f t="shared" si="16"/>
        <v>3.2668629999999999</v>
      </c>
      <c r="G129" s="104">
        <f t="shared" si="16"/>
        <v>3.6863090000000001</v>
      </c>
      <c r="H129" s="104">
        <f t="shared" si="16"/>
        <v>3.272465</v>
      </c>
      <c r="I129" s="104">
        <f t="shared" si="16"/>
        <v>2.6087359999999999</v>
      </c>
      <c r="J129" s="104">
        <f t="shared" si="16"/>
        <v>2.4437060000000002</v>
      </c>
      <c r="K129" s="104">
        <f t="shared" si="16"/>
        <v>3.266893</v>
      </c>
      <c r="L129" s="104">
        <f t="shared" si="16"/>
        <v>4.1208809999999998</v>
      </c>
      <c r="M129" s="104">
        <f t="shared" si="16"/>
        <v>3.573118</v>
      </c>
      <c r="N129" s="104">
        <f t="shared" si="16"/>
        <v>3.1659009999999999</v>
      </c>
      <c r="O129" s="119">
        <f t="shared" si="16"/>
        <v>2.336195</v>
      </c>
    </row>
    <row r="130" spans="1:15">
      <c r="A130" s="258"/>
      <c r="B130" s="102" t="s">
        <v>47</v>
      </c>
      <c r="C130" s="104">
        <f t="shared" ref="C130:O130" si="17">HLOOKUP(C$119,$86:$104,13,FALSE)</f>
        <v>14.1961285</v>
      </c>
      <c r="D130" s="104">
        <f t="shared" si="17"/>
        <v>9.2427220000000005</v>
      </c>
      <c r="E130" s="104">
        <f t="shared" si="17"/>
        <v>9.5122354999999992</v>
      </c>
      <c r="F130" s="104">
        <f t="shared" si="17"/>
        <v>12.261645</v>
      </c>
      <c r="G130" s="104">
        <f t="shared" si="17"/>
        <v>10.134332000000001</v>
      </c>
      <c r="H130" s="104">
        <f t="shared" si="17"/>
        <v>8.8925330000000002</v>
      </c>
      <c r="I130" s="104">
        <f t="shared" si="17"/>
        <v>9.8915330000000008</v>
      </c>
      <c r="J130" s="104">
        <f t="shared" si="17"/>
        <v>12.984987</v>
      </c>
      <c r="K130" s="104">
        <f t="shared" si="17"/>
        <v>10.486427000000001</v>
      </c>
      <c r="L130" s="104">
        <f t="shared" si="17"/>
        <v>14.345347</v>
      </c>
      <c r="M130" s="104">
        <f t="shared" si="17"/>
        <v>9.4785564999999998</v>
      </c>
      <c r="N130" s="104">
        <f t="shared" si="17"/>
        <v>11.851848499999999</v>
      </c>
      <c r="O130" s="119">
        <f t="shared" si="17"/>
        <v>13.92998</v>
      </c>
    </row>
    <row r="131" spans="1:15">
      <c r="A131" s="258"/>
      <c r="B131" s="102" t="s">
        <v>46</v>
      </c>
      <c r="C131" s="104">
        <f t="shared" ref="C131:O131" si="18">HLOOKUP(C$119,$86:$104,12,FALSE)</f>
        <v>14.1961285</v>
      </c>
      <c r="D131" s="104">
        <f t="shared" si="18"/>
        <v>9.2427220000000005</v>
      </c>
      <c r="E131" s="104">
        <f t="shared" si="18"/>
        <v>9.5122354999999992</v>
      </c>
      <c r="F131" s="104">
        <f t="shared" si="18"/>
        <v>12.261645</v>
      </c>
      <c r="G131" s="104">
        <f t="shared" si="18"/>
        <v>10.134332000000001</v>
      </c>
      <c r="H131" s="104">
        <f t="shared" si="18"/>
        <v>8.8925330000000002</v>
      </c>
      <c r="I131" s="104">
        <f t="shared" si="18"/>
        <v>9.8915330000000008</v>
      </c>
      <c r="J131" s="104">
        <f t="shared" si="18"/>
        <v>12.984987</v>
      </c>
      <c r="K131" s="104">
        <f t="shared" si="18"/>
        <v>10.486427000000001</v>
      </c>
      <c r="L131" s="104">
        <f t="shared" si="18"/>
        <v>14.345347</v>
      </c>
      <c r="M131" s="104">
        <f t="shared" si="18"/>
        <v>9.4785564999999998</v>
      </c>
      <c r="N131" s="104">
        <f t="shared" si="18"/>
        <v>11.851848499999999</v>
      </c>
      <c r="O131" s="119">
        <f t="shared" si="18"/>
        <v>13.92998</v>
      </c>
    </row>
    <row r="132" spans="1:15">
      <c r="A132" s="258"/>
      <c r="B132" s="111" t="s">
        <v>2</v>
      </c>
      <c r="C132" s="159">
        <f t="shared" ref="C132:O132" si="19">HLOOKUP(C$119,$86:$104,14,FALSE)</f>
        <v>395.42770200000001</v>
      </c>
      <c r="D132" s="159">
        <f t="shared" si="19"/>
        <v>359.96163899999999</v>
      </c>
      <c r="E132" s="159">
        <f t="shared" si="19"/>
        <v>307.02282500000001</v>
      </c>
      <c r="F132" s="159">
        <f t="shared" si="19"/>
        <v>374.61949800000002</v>
      </c>
      <c r="G132" s="159">
        <f t="shared" si="19"/>
        <v>373.38417199999998</v>
      </c>
      <c r="H132" s="159">
        <f t="shared" si="19"/>
        <v>329.447273</v>
      </c>
      <c r="I132" s="159">
        <f t="shared" si="19"/>
        <v>341.078824</v>
      </c>
      <c r="J132" s="159">
        <f t="shared" si="19"/>
        <v>342.99061599999999</v>
      </c>
      <c r="K132" s="159">
        <f t="shared" si="19"/>
        <v>365.08789200000001</v>
      </c>
      <c r="L132" s="159">
        <f t="shared" si="19"/>
        <v>452.450829</v>
      </c>
      <c r="M132" s="159">
        <f t="shared" si="19"/>
        <v>534.32323599999995</v>
      </c>
      <c r="N132" s="159">
        <f t="shared" si="19"/>
        <v>519.93151799999998</v>
      </c>
      <c r="O132" s="160">
        <f t="shared" si="19"/>
        <v>438.01498800000002</v>
      </c>
    </row>
    <row r="133" spans="1:15">
      <c r="A133" s="258"/>
      <c r="B133" s="102" t="s">
        <v>107</v>
      </c>
      <c r="C133" s="104">
        <f>HLOOKUP(C$119,$86:$104,15,FALSE)</f>
        <v>4.75E-4</v>
      </c>
      <c r="D133" s="104">
        <f t="shared" ref="D133:O133" si="20">HLOOKUP(D$119,$86:$104,15,FALSE)</f>
        <v>5.6973000000000003E-2</v>
      </c>
      <c r="E133" s="104">
        <f t="shared" si="20"/>
        <v>4.3603000000000003E-2</v>
      </c>
      <c r="F133" s="104">
        <f t="shared" si="20"/>
        <v>1.0196999999999999E-2</v>
      </c>
      <c r="G133" s="104">
        <f t="shared" si="20"/>
        <v>5.3210000000000002E-3</v>
      </c>
      <c r="H133" s="104">
        <f t="shared" si="20"/>
        <v>9.2090000000000002E-3</v>
      </c>
      <c r="I133" s="104">
        <f t="shared" si="20"/>
        <v>1.562E-3</v>
      </c>
      <c r="J133" s="104">
        <f t="shared" si="20"/>
        <v>9.810000000000001E-4</v>
      </c>
      <c r="K133" s="104">
        <f t="shared" si="20"/>
        <v>8.0190000000000001E-3</v>
      </c>
      <c r="L133" s="104">
        <f t="shared" si="20"/>
        <v>3.3307000000000003E-2</v>
      </c>
      <c r="M133" s="104">
        <f t="shared" si="20"/>
        <v>2.5804000000000001E-2</v>
      </c>
      <c r="N133" s="104">
        <f t="shared" si="20"/>
        <v>0</v>
      </c>
      <c r="O133" s="162">
        <f t="shared" si="20"/>
        <v>0</v>
      </c>
    </row>
    <row r="134" spans="1:15">
      <c r="A134" s="258"/>
      <c r="B134" s="102" t="s">
        <v>108</v>
      </c>
      <c r="C134" s="104">
        <f>HLOOKUP(C$119,$86:$104,16,FALSE)</f>
        <v>-9.0050000000000009E-3</v>
      </c>
      <c r="D134" s="104">
        <f t="shared" ref="D134:O134" si="21">HLOOKUP(D$119,$86:$104,16,FALSE)</f>
        <v>-0.12790699999999999</v>
      </c>
      <c r="E134" s="104">
        <f t="shared" si="21"/>
        <v>-8.7809999999999999E-2</v>
      </c>
      <c r="F134" s="104">
        <f t="shared" si="21"/>
        <v>-2.4122000000000001E-2</v>
      </c>
      <c r="G134" s="104">
        <f t="shared" si="21"/>
        <v>-2.0024E-2</v>
      </c>
      <c r="H134" s="104">
        <f t="shared" si="21"/>
        <v>-1.9650000000000001E-2</v>
      </c>
      <c r="I134" s="104">
        <f t="shared" si="21"/>
        <v>-6.5550000000000001E-3</v>
      </c>
      <c r="J134" s="104">
        <f t="shared" si="21"/>
        <v>-6.4229999999999999E-3</v>
      </c>
      <c r="K134" s="104">
        <f t="shared" si="21"/>
        <v>-2.7414000000000001E-2</v>
      </c>
      <c r="L134" s="104">
        <f t="shared" si="21"/>
        <v>-6.6456000000000001E-2</v>
      </c>
      <c r="M134" s="104">
        <f t="shared" si="21"/>
        <v>-8.4402000000000005E-2</v>
      </c>
      <c r="N134" s="104">
        <f t="shared" si="21"/>
        <v>-3.7090000000000001E-3</v>
      </c>
      <c r="O134" s="163">
        <f t="shared" si="21"/>
        <v>-1.0430000000000001E-3</v>
      </c>
    </row>
    <row r="135" spans="1:15">
      <c r="A135" s="258"/>
      <c r="B135" s="102" t="s">
        <v>21</v>
      </c>
      <c r="C135" s="161">
        <f>HLOOKUP(C$119,$86:$104,17,FALSE)</f>
        <v>162.00915900000001</v>
      </c>
      <c r="D135" s="161">
        <f t="shared" ref="D135:O135" si="22">HLOOKUP(D$119,$86:$104,17,FALSE)</f>
        <v>144.54443599999999</v>
      </c>
      <c r="E135" s="161">
        <f t="shared" si="22"/>
        <v>78.195680999999993</v>
      </c>
      <c r="F135" s="161">
        <f t="shared" si="22"/>
        <v>77.984769</v>
      </c>
      <c r="G135" s="161">
        <f t="shared" si="22"/>
        <v>85.443509000000006</v>
      </c>
      <c r="H135" s="161">
        <f t="shared" si="22"/>
        <v>90.795297000000005</v>
      </c>
      <c r="I135" s="161">
        <f t="shared" si="22"/>
        <v>113.220591</v>
      </c>
      <c r="J135" s="161">
        <f t="shared" si="22"/>
        <v>85.306769000000003</v>
      </c>
      <c r="K135" s="161">
        <f t="shared" si="22"/>
        <v>110.447626</v>
      </c>
      <c r="L135" s="161">
        <f t="shared" si="22"/>
        <v>171.035324</v>
      </c>
      <c r="M135" s="161">
        <f t="shared" si="22"/>
        <v>188.42781500000001</v>
      </c>
      <c r="N135" s="161">
        <f t="shared" si="22"/>
        <v>208.61120199999999</v>
      </c>
      <c r="O135" s="164">
        <f t="shared" si="22"/>
        <v>166.21217300000001</v>
      </c>
    </row>
    <row r="136" spans="1:15">
      <c r="A136" s="258"/>
      <c r="B136" s="112" t="s">
        <v>1</v>
      </c>
      <c r="C136" s="113">
        <f>HLOOKUP(C$119,$86:$104,18,FALSE)</f>
        <v>557.42833099999996</v>
      </c>
      <c r="D136" s="113">
        <f t="shared" ref="D136:O136" si="23">HLOOKUP(D$119,$86:$104,18,FALSE)</f>
        <v>504.43514099999999</v>
      </c>
      <c r="E136" s="113">
        <f t="shared" si="23"/>
        <v>385.17429900000002</v>
      </c>
      <c r="F136" s="113">
        <f t="shared" si="23"/>
        <v>452.59034200000002</v>
      </c>
      <c r="G136" s="113">
        <f t="shared" si="23"/>
        <v>458.81297799999999</v>
      </c>
      <c r="H136" s="113">
        <f t="shared" si="23"/>
        <v>420.23212899999999</v>
      </c>
      <c r="I136" s="113">
        <f t="shared" si="23"/>
        <v>454.294422</v>
      </c>
      <c r="J136" s="113">
        <f t="shared" si="23"/>
        <v>428.291943</v>
      </c>
      <c r="K136" s="113">
        <f t="shared" si="23"/>
        <v>475.51612299999999</v>
      </c>
      <c r="L136" s="113">
        <f t="shared" si="23"/>
        <v>623.45300399999996</v>
      </c>
      <c r="M136" s="113">
        <f t="shared" si="23"/>
        <v>722.692453</v>
      </c>
      <c r="N136" s="113">
        <f t="shared" si="23"/>
        <v>728.53901099999996</v>
      </c>
      <c r="O136" s="165">
        <f t="shared" si="23"/>
        <v>604.22611800000004</v>
      </c>
    </row>
    <row r="137" spans="1:15" ht="14.25">
      <c r="A137" s="259"/>
      <c r="B137" s="120" t="s">
        <v>66</v>
      </c>
      <c r="C137" s="121">
        <f>C122+C123+C125</f>
        <v>73.729137000000009</v>
      </c>
      <c r="D137" s="121">
        <f>D122+D123+D125</f>
        <v>66.240075000000004</v>
      </c>
      <c r="E137" s="121">
        <f t="shared" ref="E137:O137" si="24">E122+E123+E125</f>
        <v>30.259830999999998</v>
      </c>
      <c r="F137" s="121">
        <f t="shared" si="24"/>
        <v>33.727081999999996</v>
      </c>
      <c r="G137" s="121">
        <f t="shared" si="24"/>
        <v>32.413293000000003</v>
      </c>
      <c r="H137" s="121">
        <f t="shared" si="24"/>
        <v>28.802239</v>
      </c>
      <c r="I137" s="121">
        <f t="shared" si="24"/>
        <v>31.686363</v>
      </c>
      <c r="J137" s="121">
        <f t="shared" si="24"/>
        <v>38.904201999999998</v>
      </c>
      <c r="K137" s="121">
        <f t="shared" si="24"/>
        <v>43.085017000000001</v>
      </c>
      <c r="L137" s="121">
        <f t="shared" si="24"/>
        <v>82.837088999999992</v>
      </c>
      <c r="M137" s="121">
        <f t="shared" si="24"/>
        <v>120.582323</v>
      </c>
      <c r="N137" s="121">
        <f t="shared" si="24"/>
        <v>117.70911799999999</v>
      </c>
      <c r="O137" s="121">
        <f t="shared" si="24"/>
        <v>85.231729000000001</v>
      </c>
    </row>
    <row r="138" spans="1:15" ht="14.1" customHeight="1">
      <c r="A138" s="257" t="s">
        <v>68</v>
      </c>
      <c r="B138" s="122" t="s">
        <v>65</v>
      </c>
      <c r="C138" s="108" t="str">
        <f>TEXT(EDATE($A$2,-12),"mmm")&amp;".-"&amp;TEXT(EDATE($A$2,-12),"aa")</f>
        <v>sep.-24</v>
      </c>
      <c r="D138" s="108" t="str">
        <f>TEXT(EDATE($A$2,-11),"mmm")&amp;".-"&amp;TEXT(EDATE($A$2,-11),"aa")</f>
        <v>oct.-24</v>
      </c>
      <c r="E138" s="108" t="str">
        <f>TEXT(EDATE($A$2,-10),"mmm")&amp;".-"&amp;TEXT(EDATE($A$2,-10),"aa")</f>
        <v>nov.-24</v>
      </c>
      <c r="F138" s="108" t="str">
        <f>TEXT(EDATE($A$2,-9),"mmm")&amp;".-"&amp;TEXT(EDATE($A$2,-9),"aa")</f>
        <v>dic.-24</v>
      </c>
      <c r="G138" s="108" t="str">
        <f>TEXT(EDATE($A$2,-8),"mmm")&amp;".-"&amp;TEXT(EDATE($A$2,-8),"aa")</f>
        <v>ene.-25</v>
      </c>
      <c r="H138" s="108" t="str">
        <f>TEXT(EDATE($A$2,-7),"mmm")&amp;".-"&amp;TEXT(EDATE($A$2,-7),"aa")</f>
        <v>feb.-25</v>
      </c>
      <c r="I138" s="108" t="str">
        <f>TEXT(EDATE($A$2,-6),"mmm")&amp;".-"&amp;TEXT(EDATE($A$2,-6),"aa")</f>
        <v>mar.-25</v>
      </c>
      <c r="J138" s="108" t="str">
        <f>TEXT(EDATE($A$2,-5),"mmm")&amp;".-"&amp;TEXT(EDATE($A$2,-5),"aa")</f>
        <v>abr.-25</v>
      </c>
      <c r="K138" s="108" t="str">
        <f>TEXT(EDATE($A$2,-4),"mmm")&amp;".-"&amp;TEXT(EDATE($A$2,-4),"aa")</f>
        <v>may.-25</v>
      </c>
      <c r="L138" s="108" t="str">
        <f>TEXT(EDATE($A$2,-3),"mmm")&amp;".-"&amp;TEXT(EDATE($A$2,-3),"aa")</f>
        <v>jun.-25</v>
      </c>
      <c r="M138" s="108" t="str">
        <f>TEXT(EDATE($A$2,-2),"mmm")&amp;".-"&amp;TEXT(EDATE($A$2,-2),"aa")</f>
        <v>jul.-25</v>
      </c>
      <c r="N138" s="108" t="str">
        <f>TEXT(EDATE($A$2,-1),"mmm")&amp;".-"&amp;TEXT(EDATE($A$2,-1),"aa")</f>
        <v>ago.-25</v>
      </c>
      <c r="O138" s="109" t="str">
        <f>TEXT($A$2,"mmm")&amp;".-"&amp;TEXT($A$2,"aa")</f>
        <v>sep.-25</v>
      </c>
    </row>
    <row r="139" spans="1:15" ht="15" customHeight="1">
      <c r="A139" s="258"/>
      <c r="B139" s="102" t="s">
        <v>12</v>
      </c>
      <c r="C139" s="104">
        <f>HLOOKUP(C$119,$86:$117,19,FALSE)</f>
        <v>0.27621200000000001</v>
      </c>
      <c r="D139" s="104">
        <f t="shared" ref="D139:O139" si="25">HLOOKUP(D$119,$86:$117,19,FALSE)</f>
        <v>0.29845300000000002</v>
      </c>
      <c r="E139" s="104">
        <f t="shared" si="25"/>
        <v>0.28431800000000002</v>
      </c>
      <c r="F139" s="104">
        <f t="shared" si="25"/>
        <v>0.28783500000000001</v>
      </c>
      <c r="G139" s="104">
        <f t="shared" si="25"/>
        <v>0.285242</v>
      </c>
      <c r="H139" s="104">
        <f t="shared" si="25"/>
        <v>5.4619000000000001E-2</v>
      </c>
      <c r="I139" s="104">
        <f t="shared" si="25"/>
        <v>0</v>
      </c>
      <c r="J139" s="104">
        <f t="shared" si="25"/>
        <v>0</v>
      </c>
      <c r="K139" s="104">
        <f t="shared" si="25"/>
        <v>0</v>
      </c>
      <c r="L139" s="104">
        <f t="shared" si="25"/>
        <v>0</v>
      </c>
      <c r="M139" s="104">
        <f t="shared" si="25"/>
        <v>0</v>
      </c>
      <c r="N139" s="104">
        <f t="shared" si="25"/>
        <v>0</v>
      </c>
      <c r="O139" s="137">
        <f t="shared" si="25"/>
        <v>0</v>
      </c>
    </row>
    <row r="140" spans="1:15" ht="14.1" customHeight="1">
      <c r="A140" s="258"/>
      <c r="B140" s="102" t="s">
        <v>10</v>
      </c>
      <c r="C140" s="104">
        <f>HLOOKUP(C$119,$86:$117,20,FALSE)</f>
        <v>158.02361400000001</v>
      </c>
      <c r="D140" s="104">
        <f t="shared" ref="D140:O140" si="26">HLOOKUP(D$119,$86:$117,20,FALSE)</f>
        <v>161.225874</v>
      </c>
      <c r="E140" s="104">
        <f t="shared" si="26"/>
        <v>162.623898</v>
      </c>
      <c r="F140" s="104">
        <f t="shared" si="26"/>
        <v>158.879446</v>
      </c>
      <c r="G140" s="104">
        <f t="shared" si="26"/>
        <v>164.446281</v>
      </c>
      <c r="H140" s="104">
        <f t="shared" si="26"/>
        <v>147.68749600000001</v>
      </c>
      <c r="I140" s="104">
        <f t="shared" si="26"/>
        <v>173.83343199999999</v>
      </c>
      <c r="J140" s="104">
        <f t="shared" si="26"/>
        <v>146.76996600000001</v>
      </c>
      <c r="K140" s="104">
        <f t="shared" si="26"/>
        <v>139.11880199999999</v>
      </c>
      <c r="L140" s="104">
        <f t="shared" si="26"/>
        <v>133.45317499999999</v>
      </c>
      <c r="M140" s="104">
        <f t="shared" si="26"/>
        <v>138.95270500000001</v>
      </c>
      <c r="N140" s="104">
        <f t="shared" si="26"/>
        <v>156.42968200000001</v>
      </c>
      <c r="O140" s="119">
        <f t="shared" si="26"/>
        <v>146.533942</v>
      </c>
    </row>
    <row r="141" spans="1:15" ht="14.1" customHeight="1">
      <c r="A141" s="258"/>
      <c r="B141" s="102" t="s">
        <v>9</v>
      </c>
      <c r="C141" s="104">
        <f>HLOOKUP(C$119,$86:$117,21,FALSE)</f>
        <v>24.502908999999999</v>
      </c>
      <c r="D141" s="104">
        <f t="shared" ref="D141:O141" si="27">HLOOKUP(D$119,$86:$117,21,FALSE)</f>
        <v>16.364426999999999</v>
      </c>
      <c r="E141" s="104">
        <f t="shared" si="27"/>
        <v>29.713279</v>
      </c>
      <c r="F141" s="104">
        <f t="shared" si="27"/>
        <v>20.429556000000002</v>
      </c>
      <c r="G141" s="104">
        <f t="shared" si="27"/>
        <v>37.045735999999998</v>
      </c>
      <c r="H141" s="104">
        <f t="shared" si="27"/>
        <v>22.268398999999999</v>
      </c>
      <c r="I141" s="104">
        <f t="shared" si="27"/>
        <v>28.510366000000001</v>
      </c>
      <c r="J141" s="104">
        <f t="shared" si="27"/>
        <v>15.002691</v>
      </c>
      <c r="K141" s="104">
        <f t="shared" si="27"/>
        <v>15.518791</v>
      </c>
      <c r="L141" s="104">
        <f t="shared" si="27"/>
        <v>14.439681999999999</v>
      </c>
      <c r="M141" s="104">
        <f t="shared" si="27"/>
        <v>17.277450000000002</v>
      </c>
      <c r="N141" s="104">
        <f t="shared" si="27"/>
        <v>21.905667999999999</v>
      </c>
      <c r="O141" s="119">
        <f t="shared" si="27"/>
        <v>21.204673</v>
      </c>
    </row>
    <row r="142" spans="1:15" ht="14.1" customHeight="1">
      <c r="A142" s="258"/>
      <c r="B142" s="102" t="s">
        <v>8</v>
      </c>
      <c r="C142" s="104">
        <f>HLOOKUP(C$119,$86:$117,22,FALSE)</f>
        <v>76.899137999999994</v>
      </c>
      <c r="D142" s="104">
        <f t="shared" ref="D142:O142" si="28">HLOOKUP(D$119,$86:$117,22,FALSE)</f>
        <v>89.300011999999995</v>
      </c>
      <c r="E142" s="104">
        <f t="shared" si="28"/>
        <v>91.813715999999999</v>
      </c>
      <c r="F142" s="104">
        <f t="shared" si="28"/>
        <v>71.233320000000006</v>
      </c>
      <c r="G142" s="104">
        <f t="shared" si="28"/>
        <v>82.867552000000003</v>
      </c>
      <c r="H142" s="104">
        <f t="shared" si="28"/>
        <v>111.33349800000001</v>
      </c>
      <c r="I142" s="104">
        <f t="shared" si="28"/>
        <v>126.580506</v>
      </c>
      <c r="J142" s="104">
        <f t="shared" si="28"/>
        <v>98.063034000000002</v>
      </c>
      <c r="K142" s="104">
        <f t="shared" si="28"/>
        <v>81.823025999999999</v>
      </c>
      <c r="L142" s="104">
        <f t="shared" si="28"/>
        <v>84.304407999999995</v>
      </c>
      <c r="M142" s="104">
        <f t="shared" si="28"/>
        <v>97.386711000000005</v>
      </c>
      <c r="N142" s="104">
        <f t="shared" si="28"/>
        <v>100.206506</v>
      </c>
      <c r="O142" s="119">
        <f t="shared" si="28"/>
        <v>99.346721000000002</v>
      </c>
    </row>
    <row r="143" spans="1:15" ht="14.45" customHeight="1">
      <c r="A143" s="258"/>
      <c r="B143" s="102" t="s">
        <v>128</v>
      </c>
      <c r="C143" s="104">
        <f>HLOOKUP(C$119,$86:$117,23,FALSE)</f>
        <v>296.23593199999999</v>
      </c>
      <c r="D143" s="104">
        <f t="shared" ref="D143:O143" si="29">HLOOKUP(D$119,$86:$117,23,FALSE)</f>
        <v>354.842107</v>
      </c>
      <c r="E143" s="104">
        <f t="shared" si="29"/>
        <v>391.60655400000002</v>
      </c>
      <c r="F143" s="104">
        <f t="shared" si="29"/>
        <v>377.87321400000002</v>
      </c>
      <c r="G143" s="104">
        <f t="shared" si="29"/>
        <v>342.56568199999998</v>
      </c>
      <c r="H143" s="104">
        <f t="shared" si="29"/>
        <v>249.83534599999999</v>
      </c>
      <c r="I143" s="104">
        <f t="shared" si="29"/>
        <v>290.37200899999999</v>
      </c>
      <c r="J143" s="104">
        <f t="shared" si="29"/>
        <v>290.70250900000002</v>
      </c>
      <c r="K143" s="104">
        <f t="shared" si="29"/>
        <v>328.785506</v>
      </c>
      <c r="L143" s="104">
        <f t="shared" si="29"/>
        <v>284.15903500000002</v>
      </c>
      <c r="M143" s="104">
        <f t="shared" si="29"/>
        <v>316.61882300000002</v>
      </c>
      <c r="N143" s="104">
        <f t="shared" si="29"/>
        <v>340.02993600000002</v>
      </c>
      <c r="O143" s="119">
        <f t="shared" si="29"/>
        <v>307.60187999999999</v>
      </c>
    </row>
    <row r="144" spans="1:15" ht="14.1" customHeight="1">
      <c r="A144" s="258"/>
      <c r="B144" s="102" t="s">
        <v>6</v>
      </c>
      <c r="C144" s="104">
        <f>HLOOKUP(C$119,$86:$117,24,FALSE)</f>
        <v>2.271474</v>
      </c>
      <c r="D144" s="104">
        <f t="shared" ref="D144:O144" si="30">HLOOKUP(D$119,$86:$117,24,FALSE)</f>
        <v>1.869634</v>
      </c>
      <c r="E144" s="104">
        <f t="shared" si="30"/>
        <v>0.32408100000000001</v>
      </c>
      <c r="F144" s="104">
        <f t="shared" si="30"/>
        <v>1.363745</v>
      </c>
      <c r="G144" s="104">
        <f t="shared" si="30"/>
        <v>1.249555</v>
      </c>
      <c r="H144" s="104">
        <f t="shared" si="30"/>
        <v>1.142978</v>
      </c>
      <c r="I144" s="104">
        <f t="shared" si="30"/>
        <v>1.2419039999999999</v>
      </c>
      <c r="J144" s="104">
        <f t="shared" si="30"/>
        <v>1.7632380000000001</v>
      </c>
      <c r="K144" s="104">
        <f t="shared" si="30"/>
        <v>1.701465</v>
      </c>
      <c r="L144" s="104">
        <f t="shared" si="30"/>
        <v>2.9528669999999999</v>
      </c>
      <c r="M144" s="104">
        <f t="shared" si="30"/>
        <v>3.1269979999999999</v>
      </c>
      <c r="N144" s="104">
        <f t="shared" si="30"/>
        <v>2.6583589999999999</v>
      </c>
      <c r="O144" s="119">
        <f t="shared" si="30"/>
        <v>2.5908169999999999</v>
      </c>
    </row>
    <row r="145" spans="1:26" ht="14.1" customHeight="1">
      <c r="A145" s="258"/>
      <c r="B145" s="102" t="s">
        <v>5</v>
      </c>
      <c r="C145" s="104">
        <f>HLOOKUP(C$119,$86:$117,25,FALSE)</f>
        <v>148.53897900000001</v>
      </c>
      <c r="D145" s="104">
        <f t="shared" ref="D145:O145" si="31">HLOOKUP(D$119,$86:$117,25,FALSE)</f>
        <v>116.72577099999999</v>
      </c>
      <c r="E145" s="104">
        <f t="shared" si="31"/>
        <v>42.203436000000004</v>
      </c>
      <c r="F145" s="104">
        <f t="shared" si="31"/>
        <v>98.604742999999999</v>
      </c>
      <c r="G145" s="104">
        <f t="shared" si="31"/>
        <v>94.730716000000001</v>
      </c>
      <c r="H145" s="104">
        <f t="shared" si="31"/>
        <v>107.781023</v>
      </c>
      <c r="I145" s="104">
        <f t="shared" si="31"/>
        <v>77.910471999999999</v>
      </c>
      <c r="J145" s="104">
        <f t="shared" si="31"/>
        <v>105.224018</v>
      </c>
      <c r="K145" s="104">
        <f t="shared" si="31"/>
        <v>99.380206999999999</v>
      </c>
      <c r="L145" s="104">
        <f t="shared" si="31"/>
        <v>143.378455</v>
      </c>
      <c r="M145" s="104">
        <f t="shared" si="31"/>
        <v>163.042329</v>
      </c>
      <c r="N145" s="104">
        <f t="shared" si="31"/>
        <v>149.38965200000001</v>
      </c>
      <c r="O145" s="119">
        <f t="shared" si="31"/>
        <v>165.41228000000001</v>
      </c>
    </row>
    <row r="146" spans="1:26" ht="14.1" customHeight="1">
      <c r="A146" s="258"/>
      <c r="B146" s="102" t="s">
        <v>4</v>
      </c>
      <c r="C146" s="104">
        <f>HLOOKUP(C$119,$86:$117,26,FALSE)</f>
        <v>37.569015999999998</v>
      </c>
      <c r="D146" s="104">
        <f t="shared" ref="D146:O146" si="32">HLOOKUP(D$119,$86:$117,26,FALSE)</f>
        <v>36.358265000000003</v>
      </c>
      <c r="E146" s="104">
        <f t="shared" si="32"/>
        <v>28.568382</v>
      </c>
      <c r="F146" s="104">
        <f t="shared" si="32"/>
        <v>27.419523999999999</v>
      </c>
      <c r="G146" s="104">
        <f t="shared" si="32"/>
        <v>32.134219999999999</v>
      </c>
      <c r="H146" s="104">
        <f t="shared" si="32"/>
        <v>36.099778000000001</v>
      </c>
      <c r="I146" s="104">
        <f t="shared" si="32"/>
        <v>37.372995000000003</v>
      </c>
      <c r="J146" s="104">
        <f t="shared" si="32"/>
        <v>38.245548999999997</v>
      </c>
      <c r="K146" s="104">
        <f t="shared" si="32"/>
        <v>44.380906000000003</v>
      </c>
      <c r="L146" s="104">
        <f t="shared" si="32"/>
        <v>42.392861000000003</v>
      </c>
      <c r="M146" s="104">
        <f t="shared" si="32"/>
        <v>44.388679000000003</v>
      </c>
      <c r="N146" s="104">
        <f t="shared" si="32"/>
        <v>45.802045</v>
      </c>
      <c r="O146" s="119">
        <f t="shared" si="32"/>
        <v>39.402819999999998</v>
      </c>
    </row>
    <row r="147" spans="1:26" ht="14.1" customHeight="1">
      <c r="A147" s="258"/>
      <c r="B147" s="102" t="s">
        <v>22</v>
      </c>
      <c r="C147" s="104">
        <f>HLOOKUP(C$119,$86:$117,27,FALSE)</f>
        <v>1.1101749999999999</v>
      </c>
      <c r="D147" s="104">
        <f t="shared" ref="D147:O147" si="33">HLOOKUP(D$119,$86:$117,27,FALSE)</f>
        <v>1.1028469999999999</v>
      </c>
      <c r="E147" s="104">
        <f t="shared" si="33"/>
        <v>1.1775519999999999</v>
      </c>
      <c r="F147" s="104">
        <f t="shared" si="33"/>
        <v>1.130485</v>
      </c>
      <c r="G147" s="104">
        <f t="shared" si="33"/>
        <v>1.127931</v>
      </c>
      <c r="H147" s="104">
        <f t="shared" si="33"/>
        <v>1.2032910000000001</v>
      </c>
      <c r="I147" s="104">
        <f t="shared" si="33"/>
        <v>1.4286719999999999</v>
      </c>
      <c r="J147" s="104">
        <f t="shared" si="33"/>
        <v>1.4361379999999999</v>
      </c>
      <c r="K147" s="104">
        <f t="shared" si="33"/>
        <v>1.444064</v>
      </c>
      <c r="L147" s="104">
        <f t="shared" si="33"/>
        <v>1.2805299999999999</v>
      </c>
      <c r="M147" s="104">
        <f t="shared" si="33"/>
        <v>1.163958</v>
      </c>
      <c r="N147" s="104">
        <f t="shared" si="33"/>
        <v>0.98014500000000004</v>
      </c>
      <c r="O147" s="119">
        <f t="shared" si="33"/>
        <v>0.36074600000000001</v>
      </c>
    </row>
    <row r="148" spans="1:26" ht="14.1" customHeight="1">
      <c r="A148" s="258"/>
      <c r="B148" s="112" t="s">
        <v>1</v>
      </c>
      <c r="C148" s="113">
        <f>HLOOKUP(C$119,$86:$117,29,FALSE)</f>
        <v>745.42744900000002</v>
      </c>
      <c r="D148" s="113">
        <f t="shared" ref="D148:O148" si="34">HLOOKUP(D$119,$86:$117,29,FALSE)</f>
        <v>778.08739000000003</v>
      </c>
      <c r="E148" s="113">
        <f t="shared" si="34"/>
        <v>748.31521599999996</v>
      </c>
      <c r="F148" s="113">
        <f t="shared" si="34"/>
        <v>757.22186799999997</v>
      </c>
      <c r="G148" s="113">
        <f t="shared" si="34"/>
        <v>756.45291499999996</v>
      </c>
      <c r="H148" s="113">
        <f t="shared" si="34"/>
        <v>677.40642800000001</v>
      </c>
      <c r="I148" s="113">
        <f t="shared" si="34"/>
        <v>737.25035600000001</v>
      </c>
      <c r="J148" s="113">
        <f t="shared" si="34"/>
        <v>697.20714299999997</v>
      </c>
      <c r="K148" s="113">
        <f t="shared" si="34"/>
        <v>712.15276700000004</v>
      </c>
      <c r="L148" s="113">
        <f t="shared" si="34"/>
        <v>706.36101299999996</v>
      </c>
      <c r="M148" s="113">
        <f t="shared" si="34"/>
        <v>781.95765300000005</v>
      </c>
      <c r="N148" s="113">
        <f t="shared" si="34"/>
        <v>817.40199299999995</v>
      </c>
      <c r="O148" s="166">
        <f t="shared" si="34"/>
        <v>782.45387900000003</v>
      </c>
    </row>
    <row r="149" spans="1:26" ht="14.1" customHeight="1">
      <c r="A149" s="258"/>
      <c r="B149" s="114"/>
      <c r="C149" s="115"/>
      <c r="D149" s="115"/>
      <c r="E149" s="115"/>
      <c r="F149" s="115"/>
      <c r="G149" s="115"/>
      <c r="H149" s="115"/>
      <c r="I149" s="115"/>
      <c r="J149" s="115"/>
      <c r="K149" s="115"/>
      <c r="L149" s="115"/>
      <c r="M149" s="115"/>
      <c r="N149" s="115"/>
      <c r="O149" s="123"/>
    </row>
    <row r="150" spans="1:26" ht="14.1" customHeight="1">
      <c r="A150" s="259"/>
      <c r="B150" s="120" t="s">
        <v>66</v>
      </c>
      <c r="C150" s="124">
        <f t="shared" ref="C150:O150" si="35">SUM(C140:C142)</f>
        <v>259.42566099999999</v>
      </c>
      <c r="D150" s="124">
        <f t="shared" si="35"/>
        <v>266.89031299999999</v>
      </c>
      <c r="E150" s="124">
        <f t="shared" si="35"/>
        <v>284.150893</v>
      </c>
      <c r="F150" s="124">
        <f t="shared" si="35"/>
        <v>250.54232200000001</v>
      </c>
      <c r="G150" s="124">
        <f t="shared" si="35"/>
        <v>284.35956900000002</v>
      </c>
      <c r="H150" s="124">
        <f t="shared" si="35"/>
        <v>281.28939300000002</v>
      </c>
      <c r="I150" s="124">
        <f t="shared" si="35"/>
        <v>328.92430400000001</v>
      </c>
      <c r="J150" s="124">
        <f t="shared" si="35"/>
        <v>259.835691</v>
      </c>
      <c r="K150" s="124">
        <f t="shared" si="35"/>
        <v>236.46061899999998</v>
      </c>
      <c r="L150" s="124">
        <f t="shared" si="35"/>
        <v>232.19726499999999</v>
      </c>
      <c r="M150" s="124">
        <f t="shared" si="35"/>
        <v>253.61686600000002</v>
      </c>
      <c r="N150" s="124">
        <f t="shared" si="35"/>
        <v>278.541856</v>
      </c>
      <c r="O150" s="125">
        <f t="shared" si="35"/>
        <v>267.08533599999998</v>
      </c>
    </row>
    <row r="151" spans="1:26" ht="1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</row>
    <row r="152" spans="1:26" ht="1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</row>
    <row r="153" spans="1:26" ht="15">
      <c r="A153" s="149"/>
      <c r="B153" s="149" t="s">
        <v>60</v>
      </c>
      <c r="C153" s="256" t="s">
        <v>49</v>
      </c>
      <c r="D153" s="252"/>
      <c r="E153" s="252"/>
      <c r="F153" s="252"/>
      <c r="G153" s="252"/>
      <c r="H153" s="252"/>
      <c r="I153" s="252"/>
      <c r="J153" s="252"/>
      <c r="K153" s="252"/>
      <c r="L153" s="252"/>
      <c r="M153" s="252"/>
      <c r="N153" s="252"/>
      <c r="O153"/>
      <c r="P153"/>
      <c r="Q153"/>
      <c r="R153"/>
      <c r="S153"/>
      <c r="T153"/>
      <c r="U153"/>
      <c r="V153"/>
      <c r="W153"/>
      <c r="X153"/>
      <c r="Y153"/>
      <c r="Z153"/>
    </row>
    <row r="154" spans="1:26" ht="15">
      <c r="A154" s="149"/>
      <c r="B154" s="149" t="s">
        <v>61</v>
      </c>
      <c r="C154" s="182" t="s">
        <v>80</v>
      </c>
      <c r="D154" s="182" t="s">
        <v>81</v>
      </c>
      <c r="E154" s="182" t="s">
        <v>82</v>
      </c>
      <c r="F154" s="182" t="s">
        <v>83</v>
      </c>
      <c r="G154" s="182" t="s">
        <v>84</v>
      </c>
      <c r="H154" s="182" t="s">
        <v>85</v>
      </c>
      <c r="I154" s="182" t="s">
        <v>86</v>
      </c>
      <c r="J154" s="182" t="s">
        <v>87</v>
      </c>
      <c r="K154" s="182" t="s">
        <v>88</v>
      </c>
      <c r="L154" s="182" t="s">
        <v>89</v>
      </c>
      <c r="M154" s="182" t="s">
        <v>90</v>
      </c>
      <c r="N154" s="182" t="s">
        <v>91</v>
      </c>
      <c r="O154"/>
      <c r="P154"/>
      <c r="Q154"/>
      <c r="R154"/>
      <c r="S154"/>
      <c r="T154"/>
      <c r="U154"/>
      <c r="V154"/>
      <c r="W154"/>
      <c r="X154"/>
      <c r="Y154"/>
      <c r="Z154"/>
    </row>
    <row r="155" spans="1:26" ht="15">
      <c r="A155" s="149" t="s">
        <v>59</v>
      </c>
      <c r="B155" s="149" t="s">
        <v>92</v>
      </c>
      <c r="C155" s="150"/>
      <c r="D155" s="150"/>
      <c r="E155" s="150"/>
      <c r="F155" s="150"/>
      <c r="G155" s="150"/>
      <c r="H155" s="150"/>
      <c r="I155" s="150"/>
      <c r="J155" s="150"/>
      <c r="K155" s="150"/>
      <c r="L155" s="150"/>
      <c r="M155" s="150"/>
      <c r="N155" s="150"/>
      <c r="O155"/>
      <c r="P155"/>
      <c r="Q155"/>
      <c r="R155"/>
      <c r="S155"/>
      <c r="T155"/>
      <c r="U155"/>
      <c r="V155"/>
      <c r="W155"/>
      <c r="X155"/>
      <c r="Y155"/>
      <c r="Z155"/>
    </row>
    <row r="156" spans="1:26" ht="15">
      <c r="A156" s="151" t="s">
        <v>147</v>
      </c>
      <c r="B156" s="151" t="s">
        <v>148</v>
      </c>
      <c r="C156" s="231">
        <v>8.3949999999999997E-2</v>
      </c>
      <c r="D156" s="231">
        <v>2.5999999999999998E-4</v>
      </c>
      <c r="E156" s="231">
        <v>2.392E-2</v>
      </c>
      <c r="F156" s="231">
        <v>5.9769999999999997E-2</v>
      </c>
      <c r="G156" s="231">
        <v>4.1149999999999999E-2</v>
      </c>
      <c r="H156" s="231">
        <v>6.4000000000000005E-4</v>
      </c>
      <c r="I156" s="231">
        <v>1.9470000000000001E-2</v>
      </c>
      <c r="J156" s="231">
        <v>2.104E-2</v>
      </c>
      <c r="K156" s="231">
        <v>3.9530000000000003E-2</v>
      </c>
      <c r="L156" s="231">
        <v>5.9999999999999995E-4</v>
      </c>
      <c r="M156" s="231">
        <v>1.643E-2</v>
      </c>
      <c r="N156" s="231">
        <v>2.2499999999999999E-2</v>
      </c>
      <c r="O156"/>
      <c r="P156"/>
      <c r="Q156"/>
      <c r="R156"/>
      <c r="S156"/>
      <c r="T156"/>
      <c r="U156"/>
      <c r="V156"/>
      <c r="W156"/>
      <c r="X156"/>
      <c r="Y156"/>
      <c r="Z156"/>
    </row>
    <row r="157" spans="1:26" ht="1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</row>
    <row r="158" spans="1:26" ht="1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</row>
    <row r="159" spans="1:26" ht="15">
      <c r="A159" s="149"/>
      <c r="B159" s="149" t="s">
        <v>60</v>
      </c>
      <c r="C159" s="256" t="s">
        <v>50</v>
      </c>
      <c r="D159" s="252"/>
      <c r="E159" s="252"/>
      <c r="F159" s="252"/>
      <c r="G159" s="252"/>
      <c r="H159" s="252"/>
      <c r="I159" s="252"/>
      <c r="J159" s="252"/>
      <c r="K159" s="252"/>
      <c r="L159" s="252"/>
      <c r="M159" s="252"/>
      <c r="N159" s="252"/>
      <c r="O159"/>
      <c r="P159"/>
      <c r="Q159"/>
      <c r="R159"/>
      <c r="S159"/>
      <c r="T159"/>
      <c r="U159"/>
      <c r="V159"/>
      <c r="W159"/>
      <c r="X159"/>
      <c r="Y159"/>
      <c r="Z159"/>
    </row>
    <row r="160" spans="1:26" ht="15">
      <c r="A160" s="149"/>
      <c r="B160" s="149" t="s">
        <v>61</v>
      </c>
      <c r="C160" s="182" t="s">
        <v>80</v>
      </c>
      <c r="D160" s="182" t="s">
        <v>81</v>
      </c>
      <c r="E160" s="182" t="s">
        <v>82</v>
      </c>
      <c r="F160" s="182" t="s">
        <v>83</v>
      </c>
      <c r="G160" s="182" t="s">
        <v>84</v>
      </c>
      <c r="H160" s="182" t="s">
        <v>85</v>
      </c>
      <c r="I160" s="182" t="s">
        <v>86</v>
      </c>
      <c r="J160" s="182" t="s">
        <v>87</v>
      </c>
      <c r="K160" s="182" t="s">
        <v>88</v>
      </c>
      <c r="L160" s="182" t="s">
        <v>89</v>
      </c>
      <c r="M160" s="182" t="s">
        <v>90</v>
      </c>
      <c r="N160" s="182" t="s">
        <v>91</v>
      </c>
      <c r="O160"/>
      <c r="P160"/>
      <c r="Q160"/>
      <c r="R160"/>
      <c r="S160"/>
      <c r="T160"/>
      <c r="U160"/>
      <c r="V160"/>
      <c r="W160"/>
      <c r="X160"/>
      <c r="Y160"/>
      <c r="Z160"/>
    </row>
    <row r="161" spans="1:26" ht="15">
      <c r="A161" s="149" t="s">
        <v>59</v>
      </c>
      <c r="B161" s="149" t="s">
        <v>92</v>
      </c>
      <c r="C161" s="150"/>
      <c r="D161" s="150"/>
      <c r="E161" s="150"/>
      <c r="F161" s="150"/>
      <c r="G161" s="150"/>
      <c r="H161" s="150"/>
      <c r="I161" s="150"/>
      <c r="J161" s="150"/>
      <c r="K161" s="150"/>
      <c r="L161" s="150"/>
      <c r="M161" s="150"/>
      <c r="N161" s="150"/>
      <c r="O161"/>
      <c r="P161"/>
      <c r="Q161"/>
      <c r="R161"/>
      <c r="S161"/>
      <c r="T161"/>
      <c r="U161"/>
      <c r="V161"/>
      <c r="W161"/>
      <c r="X161"/>
      <c r="Y161"/>
      <c r="Z161"/>
    </row>
    <row r="162" spans="1:26" ht="15">
      <c r="A162" s="151" t="s">
        <v>147</v>
      </c>
      <c r="B162" s="151" t="s">
        <v>148</v>
      </c>
      <c r="C162" s="231">
        <v>4.9669999999999999E-2</v>
      </c>
      <c r="D162" s="231">
        <v>4.6299999999999996E-3</v>
      </c>
      <c r="E162" s="231">
        <v>1.157E-2</v>
      </c>
      <c r="F162" s="231">
        <v>3.347E-2</v>
      </c>
      <c r="G162" s="231">
        <v>8.4399999999999996E-3</v>
      </c>
      <c r="H162" s="231">
        <v>-4.8999999999999998E-4</v>
      </c>
      <c r="I162" s="231">
        <v>1.91E-3</v>
      </c>
      <c r="J162" s="231">
        <v>7.0200000000000002E-3</v>
      </c>
      <c r="K162" s="231">
        <v>5.1200000000000004E-3</v>
      </c>
      <c r="L162" s="231">
        <v>6.8999999999999997E-4</v>
      </c>
      <c r="M162" s="231">
        <v>-2.0000000000000001E-4</v>
      </c>
      <c r="N162" s="231">
        <v>4.6299999999999996E-3</v>
      </c>
      <c r="O162"/>
      <c r="P162"/>
      <c r="Q162"/>
      <c r="R162"/>
      <c r="S162"/>
      <c r="T162"/>
      <c r="U162"/>
      <c r="V162"/>
      <c r="W162"/>
      <c r="X162"/>
      <c r="Y162"/>
      <c r="Z162"/>
    </row>
    <row r="163" spans="1:26" ht="1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</row>
    <row r="164" spans="1:26" ht="15">
      <c r="B164" s="222" t="s">
        <v>142</v>
      </c>
      <c r="C164"/>
      <c r="D164"/>
      <c r="E164"/>
      <c r="F164"/>
      <c r="G164"/>
      <c r="H164"/>
      <c r="I164"/>
      <c r="J164"/>
      <c r="K164"/>
      <c r="L164"/>
      <c r="M164"/>
      <c r="N164"/>
    </row>
    <row r="165" spans="1:26">
      <c r="B165" s="249" t="s">
        <v>65</v>
      </c>
      <c r="C165" s="108" t="str">
        <f>TEXT(EDATE(D119,-1),"mmmm aaaa")</f>
        <v>septiembre 2024</v>
      </c>
      <c r="D165" s="108" t="str">
        <f t="shared" ref="D165:N165" si="36">TEXT(EDATE(E119,-1),"mmmm aaaa")</f>
        <v>octubre 2024</v>
      </c>
      <c r="E165" s="108" t="str">
        <f t="shared" si="36"/>
        <v>noviembre 2024</v>
      </c>
      <c r="F165" s="108" t="str">
        <f t="shared" si="36"/>
        <v>diciembre 2024</v>
      </c>
      <c r="G165" s="108" t="str">
        <f t="shared" si="36"/>
        <v>enero 2025</v>
      </c>
      <c r="H165" s="108" t="str">
        <f t="shared" si="36"/>
        <v>febrero 2025</v>
      </c>
      <c r="I165" s="108" t="str">
        <f t="shared" si="36"/>
        <v>marzo 2025</v>
      </c>
      <c r="J165" s="108" t="str">
        <f t="shared" si="36"/>
        <v>abril 2025</v>
      </c>
      <c r="K165" s="108" t="str">
        <f t="shared" si="36"/>
        <v>mayo 2025</v>
      </c>
      <c r="L165" s="108" t="str">
        <f t="shared" si="36"/>
        <v>junio 2025</v>
      </c>
      <c r="M165" s="108" t="str">
        <f t="shared" si="36"/>
        <v>julio 2025</v>
      </c>
      <c r="N165" s="108" t="str">
        <f t="shared" si="36"/>
        <v>agosto 2025</v>
      </c>
      <c r="O165" s="108" t="str">
        <f>A2</f>
        <v>Septiembre 2025</v>
      </c>
    </row>
    <row r="166" spans="1:26">
      <c r="B166" s="250"/>
      <c r="C166" s="116" t="str">
        <f>MID(UPPER(TEXT(C119,"mmm")),1,1)</f>
        <v>S</v>
      </c>
      <c r="D166" s="116" t="str">
        <f t="shared" ref="D166:N166" si="37">MID(UPPER(TEXT(D119,"mmm")),1,1)</f>
        <v>O</v>
      </c>
      <c r="E166" s="116" t="str">
        <f t="shared" si="37"/>
        <v>N</v>
      </c>
      <c r="F166" s="116" t="str">
        <f t="shared" si="37"/>
        <v>D</v>
      </c>
      <c r="G166" s="116" t="str">
        <f t="shared" si="37"/>
        <v>E</v>
      </c>
      <c r="H166" s="116" t="str">
        <f t="shared" si="37"/>
        <v>F</v>
      </c>
      <c r="I166" s="116" t="str">
        <f t="shared" si="37"/>
        <v>M</v>
      </c>
      <c r="J166" s="116" t="str">
        <f t="shared" si="37"/>
        <v>A</v>
      </c>
      <c r="K166" s="116" t="str">
        <f t="shared" si="37"/>
        <v>M</v>
      </c>
      <c r="L166" s="116" t="str">
        <f t="shared" si="37"/>
        <v>J</v>
      </c>
      <c r="M166" s="116" t="str">
        <f t="shared" si="37"/>
        <v>J</v>
      </c>
      <c r="N166" s="116" t="str">
        <f t="shared" si="37"/>
        <v>A</v>
      </c>
      <c r="O166" s="116" t="str">
        <f t="shared" ref="O166" si="38">MID(UPPER(TEXT(O119,"mmm")),1,1)</f>
        <v>S</v>
      </c>
    </row>
    <row r="167" spans="1:26" ht="15">
      <c r="A167"/>
      <c r="B167" s="102" t="s">
        <v>107</v>
      </c>
      <c r="C167" s="220">
        <f>HLOOKUP(C$165,$86:$104,15,FALSE)*1000</f>
        <v>0.47499999999999998</v>
      </c>
      <c r="D167" s="220">
        <f t="shared" ref="D167:O167" si="39">HLOOKUP(D$165,$86:$104,15,FALSE)*1000</f>
        <v>56.973000000000006</v>
      </c>
      <c r="E167" s="220">
        <f t="shared" si="39"/>
        <v>43.603000000000002</v>
      </c>
      <c r="F167" s="220">
        <f t="shared" si="39"/>
        <v>10.196999999999999</v>
      </c>
      <c r="G167" s="220">
        <f t="shared" si="39"/>
        <v>5.3210000000000006</v>
      </c>
      <c r="H167" s="220">
        <f t="shared" si="39"/>
        <v>9.2089999999999996</v>
      </c>
      <c r="I167" s="220">
        <f t="shared" si="39"/>
        <v>1.5620000000000001</v>
      </c>
      <c r="J167" s="220">
        <f t="shared" si="39"/>
        <v>0.98100000000000009</v>
      </c>
      <c r="K167" s="220">
        <f t="shared" si="39"/>
        <v>8.0190000000000001</v>
      </c>
      <c r="L167" s="220">
        <f t="shared" si="39"/>
        <v>33.307000000000002</v>
      </c>
      <c r="M167" s="220">
        <f t="shared" si="39"/>
        <v>25.804000000000002</v>
      </c>
      <c r="N167" s="220">
        <f t="shared" si="39"/>
        <v>0</v>
      </c>
      <c r="O167" s="217">
        <f t="shared" si="39"/>
        <v>0</v>
      </c>
    </row>
    <row r="168" spans="1:26" ht="15">
      <c r="A168"/>
      <c r="B168" s="102" t="s">
        <v>108</v>
      </c>
      <c r="C168" s="220">
        <f>HLOOKUP(C$119,$86:$104,16,FALSE)*1000</f>
        <v>-9.0050000000000008</v>
      </c>
      <c r="D168" s="220">
        <f t="shared" ref="D168:O168" si="40">HLOOKUP(D$119,$86:$104,16,FALSE)*1000</f>
        <v>-127.907</v>
      </c>
      <c r="E168" s="220">
        <f t="shared" si="40"/>
        <v>-87.81</v>
      </c>
      <c r="F168" s="220">
        <f t="shared" si="40"/>
        <v>-24.122</v>
      </c>
      <c r="G168" s="220">
        <f t="shared" si="40"/>
        <v>-20.024000000000001</v>
      </c>
      <c r="H168" s="220">
        <f t="shared" si="40"/>
        <v>-19.650000000000002</v>
      </c>
      <c r="I168" s="220">
        <f t="shared" si="40"/>
        <v>-6.5549999999999997</v>
      </c>
      <c r="J168" s="220">
        <f t="shared" si="40"/>
        <v>-6.423</v>
      </c>
      <c r="K168" s="220">
        <f t="shared" si="40"/>
        <v>-27.414000000000001</v>
      </c>
      <c r="L168" s="220">
        <f t="shared" si="40"/>
        <v>-66.456000000000003</v>
      </c>
      <c r="M168" s="220">
        <f t="shared" si="40"/>
        <v>-84.402000000000001</v>
      </c>
      <c r="N168" s="220">
        <f t="shared" si="40"/>
        <v>-3.7090000000000001</v>
      </c>
      <c r="O168" s="217">
        <f t="shared" si="40"/>
        <v>-1.0430000000000001</v>
      </c>
    </row>
    <row r="169" spans="1:26" ht="15">
      <c r="A169"/>
      <c r="B169" s="111" t="s">
        <v>134</v>
      </c>
      <c r="C169" s="221">
        <f>SUM(C167:C168)</f>
        <v>-8.5300000000000011</v>
      </c>
      <c r="D169" s="221">
        <f t="shared" ref="D169:O169" si="41">SUM(D167:D168)</f>
        <v>-70.933999999999997</v>
      </c>
      <c r="E169" s="221">
        <f t="shared" si="41"/>
        <v>-44.207000000000001</v>
      </c>
      <c r="F169" s="221">
        <f t="shared" si="41"/>
        <v>-13.925000000000001</v>
      </c>
      <c r="G169" s="221">
        <f t="shared" si="41"/>
        <v>-14.702999999999999</v>
      </c>
      <c r="H169" s="221">
        <f t="shared" si="41"/>
        <v>-10.441000000000003</v>
      </c>
      <c r="I169" s="221">
        <f t="shared" si="41"/>
        <v>-4.9929999999999994</v>
      </c>
      <c r="J169" s="221">
        <f t="shared" si="41"/>
        <v>-5.4420000000000002</v>
      </c>
      <c r="K169" s="221">
        <f t="shared" si="41"/>
        <v>-19.395000000000003</v>
      </c>
      <c r="L169" s="221">
        <f t="shared" si="41"/>
        <v>-33.149000000000001</v>
      </c>
      <c r="M169" s="221">
        <f t="shared" si="41"/>
        <v>-58.597999999999999</v>
      </c>
      <c r="N169" s="221">
        <f t="shared" si="41"/>
        <v>-3.7090000000000001</v>
      </c>
      <c r="O169" s="221">
        <f t="shared" si="41"/>
        <v>-1.0430000000000001</v>
      </c>
    </row>
    <row r="170" spans="1:26" ht="1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</row>
    <row r="171" spans="1:26" ht="1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</row>
    <row r="172" spans="1:26" ht="1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</row>
    <row r="173" spans="1:26" ht="1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</row>
    <row r="174" spans="1:26" ht="1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</row>
    <row r="175" spans="1:26" ht="1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</row>
    <row r="176" spans="1:26" ht="1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</row>
    <row r="177" spans="1:14" ht="1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</row>
    <row r="178" spans="1:14" ht="1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</row>
    <row r="179" spans="1:14" ht="1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</row>
    <row r="180" spans="1:14" ht="1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</row>
  </sheetData>
  <mergeCells count="16">
    <mergeCell ref="A138:A150"/>
    <mergeCell ref="A121:A137"/>
    <mergeCell ref="B119:B120"/>
    <mergeCell ref="A88:A103"/>
    <mergeCell ref="B30:C30"/>
    <mergeCell ref="A104:A114"/>
    <mergeCell ref="C85:X85"/>
    <mergeCell ref="B165:B166"/>
    <mergeCell ref="B4:AG4"/>
    <mergeCell ref="B5:I5"/>
    <mergeCell ref="J5:Q5"/>
    <mergeCell ref="R5:Y5"/>
    <mergeCell ref="Z5:AG5"/>
    <mergeCell ref="B29:C29"/>
    <mergeCell ref="C153:N153"/>
    <mergeCell ref="C159:N159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B6"/>
  <sheetViews>
    <sheetView workbookViewId="0"/>
  </sheetViews>
  <sheetFormatPr baseColWidth="10" defaultRowHeight="15"/>
  <sheetData>
    <row r="1" spans="1:2">
      <c r="A1">
        <v>5</v>
      </c>
      <c r="B1" s="96" t="s">
        <v>154</v>
      </c>
    </row>
    <row r="2" spans="1:2">
      <c r="A2" t="s">
        <v>150</v>
      </c>
    </row>
    <row r="3" spans="1:2">
      <c r="A3" t="s">
        <v>149</v>
      </c>
    </row>
    <row r="4" spans="1:2">
      <c r="A4" t="s">
        <v>152</v>
      </c>
    </row>
    <row r="5" spans="1:2">
      <c r="A5" t="s">
        <v>153</v>
      </c>
    </row>
    <row r="6" spans="1:2">
      <c r="A6" t="s">
        <v>155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C1:L22"/>
  <sheetViews>
    <sheetView showGridLines="0" showRowColHeaders="0" topLeftCell="A2" zoomScaleNormal="100" workbookViewId="0">
      <selection activeCell="B2" sqref="B2"/>
    </sheetView>
  </sheetViews>
  <sheetFormatPr baseColWidth="10" defaultColWidth="11.42578125" defaultRowHeight="12.75"/>
  <cols>
    <col min="1" max="1" width="0.1406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6.42578125" style="54" bestFit="1" customWidth="1"/>
    <col min="6" max="16384" width="11.42578125" style="54"/>
  </cols>
  <sheetData>
    <row r="1" spans="3:12" ht="0.6" customHeight="1"/>
    <row r="2" spans="3:12" ht="21" customHeight="1">
      <c r="K2" s="27" t="s">
        <v>19</v>
      </c>
      <c r="L2" s="46"/>
    </row>
    <row r="3" spans="3:12" ht="15" customHeight="1">
      <c r="K3" s="43" t="str">
        <f>Indice!E3</f>
        <v>Septiembre 2025</v>
      </c>
      <c r="L3" s="65"/>
    </row>
    <row r="4" spans="3:12" ht="20.100000000000001" customHeight="1">
      <c r="C4" s="25" t="s">
        <v>39</v>
      </c>
    </row>
    <row r="5" spans="3:12" ht="12.6" customHeight="1"/>
    <row r="7" spans="3:12" ht="12.75" customHeight="1">
      <c r="C7" s="233" t="s">
        <v>40</v>
      </c>
      <c r="E7" s="66"/>
      <c r="F7" s="234" t="str">
        <f>K3</f>
        <v>Septiembre 2025</v>
      </c>
      <c r="G7" s="235"/>
      <c r="H7" s="235" t="s">
        <v>30</v>
      </c>
      <c r="I7" s="235"/>
      <c r="J7" s="235" t="s">
        <v>31</v>
      </c>
      <c r="K7" s="235"/>
    </row>
    <row r="8" spans="3:12">
      <c r="C8" s="233"/>
      <c r="E8" s="67"/>
      <c r="F8" s="68" t="s">
        <v>13</v>
      </c>
      <c r="G8" s="94" t="str">
        <f>CONCATENATE("% ",RIGHT(F7,2),"/",RIGHT(F7,2)-1)</f>
        <v>% 25/24</v>
      </c>
      <c r="H8" s="68" t="s">
        <v>13</v>
      </c>
      <c r="I8" s="69" t="str">
        <f>G8</f>
        <v>% 25/24</v>
      </c>
      <c r="J8" s="68" t="s">
        <v>13</v>
      </c>
      <c r="K8" s="69" t="str">
        <f>G8</f>
        <v>% 25/24</v>
      </c>
    </row>
    <row r="9" spans="3:12">
      <c r="C9" s="70"/>
      <c r="E9" s="71" t="s">
        <v>32</v>
      </c>
      <c r="F9" s="72">
        <f>Dat_01!R26/1000</f>
        <v>604.22611800000004</v>
      </c>
      <c r="G9" s="140">
        <f>Dat_01!T26*100</f>
        <v>8.3953011400000008</v>
      </c>
      <c r="H9" s="72">
        <f>Dat_01!U26/1000</f>
        <v>4916.0581809999994</v>
      </c>
      <c r="I9" s="140">
        <f>Dat_01!W26*100</f>
        <v>4.1154951500000001</v>
      </c>
      <c r="J9" s="72">
        <f>Dat_01!X26/1000</f>
        <v>6258.257963</v>
      </c>
      <c r="K9" s="140">
        <f>Dat_01!Y26*100</f>
        <v>3.9530701000000001</v>
      </c>
    </row>
    <row r="10" spans="3:12">
      <c r="E10" s="13"/>
      <c r="F10" s="73"/>
      <c r="G10" s="73"/>
      <c r="H10" s="73"/>
      <c r="I10" s="73"/>
      <c r="J10" s="73"/>
      <c r="K10" s="73"/>
    </row>
    <row r="11" spans="3:12">
      <c r="E11" s="13" t="s">
        <v>33</v>
      </c>
      <c r="F11" s="73"/>
      <c r="G11" s="73"/>
      <c r="H11" s="73"/>
      <c r="I11" s="73"/>
      <c r="J11" s="73"/>
      <c r="K11" s="73"/>
    </row>
    <row r="12" spans="3:12">
      <c r="E12" s="74" t="s">
        <v>34</v>
      </c>
      <c r="F12" s="73"/>
      <c r="G12" s="91">
        <f>Dat_01!D156*100</f>
        <v>2.5999999999999999E-2</v>
      </c>
      <c r="H12" s="91"/>
      <c r="I12" s="91">
        <f>Dat_01!H156*100</f>
        <v>6.4000000000000001E-2</v>
      </c>
      <c r="J12" s="91"/>
      <c r="K12" s="91">
        <f>Dat_01!L156*100</f>
        <v>0.06</v>
      </c>
    </row>
    <row r="13" spans="3:12">
      <c r="E13" s="74" t="s">
        <v>35</v>
      </c>
      <c r="F13" s="73"/>
      <c r="G13" s="91">
        <f>Dat_01!E156*100</f>
        <v>2.3919999999999999</v>
      </c>
      <c r="H13" s="91"/>
      <c r="I13" s="91">
        <f>Dat_01!I156*100</f>
        <v>1.9470000000000001</v>
      </c>
      <c r="J13" s="91"/>
      <c r="K13" s="91">
        <f>Dat_01!M156*100</f>
        <v>1.643</v>
      </c>
    </row>
    <row r="14" spans="3:12">
      <c r="E14" s="75" t="s">
        <v>36</v>
      </c>
      <c r="F14" s="76"/>
      <c r="G14" s="92">
        <f>Dat_01!F156*100</f>
        <v>5.9769999999999994</v>
      </c>
      <c r="H14" s="92"/>
      <c r="I14" s="92">
        <f>Dat_01!J156*100</f>
        <v>2.1040000000000001</v>
      </c>
      <c r="J14" s="92"/>
      <c r="K14" s="92">
        <f>Dat_01!N156*100</f>
        <v>2.25</v>
      </c>
    </row>
    <row r="15" spans="3:12">
      <c r="E15" s="236" t="s">
        <v>37</v>
      </c>
      <c r="F15" s="236"/>
      <c r="G15" s="236"/>
      <c r="H15" s="236"/>
      <c r="I15" s="236"/>
      <c r="J15" s="236"/>
      <c r="K15" s="236"/>
    </row>
    <row r="16" spans="3:12" ht="21.75" customHeight="1">
      <c r="E16" s="232" t="s">
        <v>38</v>
      </c>
      <c r="F16" s="232"/>
      <c r="G16" s="232"/>
      <c r="H16" s="232"/>
      <c r="I16" s="232"/>
      <c r="J16" s="232"/>
      <c r="K16" s="232"/>
    </row>
    <row r="17" spans="5:11">
      <c r="E17" s="174"/>
    </row>
    <row r="20" spans="5:11">
      <c r="G20" s="152"/>
      <c r="H20" s="152"/>
      <c r="I20" s="152"/>
      <c r="J20" s="152"/>
      <c r="K20" s="152"/>
    </row>
    <row r="21" spans="5:11">
      <c r="G21" s="152"/>
      <c r="H21" s="152"/>
      <c r="I21" s="152"/>
      <c r="J21" s="152"/>
      <c r="K21" s="152"/>
    </row>
    <row r="22" spans="5:11">
      <c r="G22" s="152"/>
      <c r="H22" s="152"/>
      <c r="I22" s="152"/>
      <c r="J22" s="152"/>
      <c r="K22" s="152"/>
    </row>
  </sheetData>
  <mergeCells count="6">
    <mergeCell ref="E16:K16"/>
    <mergeCell ref="C7:C8"/>
    <mergeCell ref="F7:G7"/>
    <mergeCell ref="H7:I7"/>
    <mergeCell ref="J7:K7"/>
    <mergeCell ref="E15:K15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C1:L21"/>
  <sheetViews>
    <sheetView showGridLines="0" showRowColHeaders="0" topLeftCell="A2" workbookViewId="0">
      <selection activeCell="B2" sqref="B2"/>
    </sheetView>
  </sheetViews>
  <sheetFormatPr baseColWidth="10" defaultColWidth="11.42578125" defaultRowHeight="12.75"/>
  <cols>
    <col min="1" max="1" width="0.1406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6.42578125" style="54" bestFit="1" customWidth="1"/>
    <col min="6" max="16384" width="11.42578125" style="54"/>
  </cols>
  <sheetData>
    <row r="1" spans="3:12" ht="0.6" customHeight="1"/>
    <row r="2" spans="3:12" ht="21" customHeight="1">
      <c r="K2" s="27" t="s">
        <v>19</v>
      </c>
      <c r="L2" s="46"/>
    </row>
    <row r="3" spans="3:12" ht="15" customHeight="1">
      <c r="K3" s="43" t="str">
        <f>Indice!E3</f>
        <v>Septiembre 2025</v>
      </c>
      <c r="L3" s="65"/>
    </row>
    <row r="4" spans="3:12" ht="20.100000000000001" customHeight="1">
      <c r="C4" s="25" t="s">
        <v>39</v>
      </c>
    </row>
    <row r="5" spans="3:12" ht="12.6" customHeight="1"/>
    <row r="7" spans="3:12" ht="12.75" customHeight="1">
      <c r="C7" s="233" t="s">
        <v>41</v>
      </c>
      <c r="E7" s="66"/>
      <c r="F7" s="234" t="str">
        <f>K3</f>
        <v>Septiembre 2025</v>
      </c>
      <c r="G7" s="235"/>
      <c r="H7" s="235" t="s">
        <v>30</v>
      </c>
      <c r="I7" s="235"/>
      <c r="J7" s="235" t="s">
        <v>31</v>
      </c>
      <c r="K7" s="235"/>
    </row>
    <row r="8" spans="3:12">
      <c r="C8" s="233"/>
      <c r="E8" s="67"/>
      <c r="F8" s="68" t="s">
        <v>13</v>
      </c>
      <c r="G8" s="94" t="str">
        <f>CONCATENATE("% ",RIGHT(F7,2),"/",RIGHT(F7,2)-1)</f>
        <v>% 25/24</v>
      </c>
      <c r="H8" s="68" t="s">
        <v>13</v>
      </c>
      <c r="I8" s="95" t="str">
        <f>G8</f>
        <v>% 25/24</v>
      </c>
      <c r="J8" s="68" t="s">
        <v>13</v>
      </c>
      <c r="K8" s="95" t="str">
        <f>G8</f>
        <v>% 25/24</v>
      </c>
    </row>
    <row r="9" spans="3:12">
      <c r="C9" s="70"/>
      <c r="E9" s="71" t="s">
        <v>32</v>
      </c>
      <c r="F9" s="72">
        <f>Dat_01!Z26/1000</f>
        <v>782.45387899999992</v>
      </c>
      <c r="G9" s="140">
        <f>Dat_01!AB26*100</f>
        <v>4.96714067</v>
      </c>
      <c r="H9" s="72">
        <f>Dat_01!AC26/1000</f>
        <v>6668.644147</v>
      </c>
      <c r="I9" s="140">
        <f>Dat_01!AE26*100</f>
        <v>0.84353858000000004</v>
      </c>
      <c r="J9" s="72">
        <f>Dat_01!AF26/1000</f>
        <v>8952.2686209999993</v>
      </c>
      <c r="K9" s="140">
        <f>Dat_01!AG26*100</f>
        <v>0.51238163000000003</v>
      </c>
    </row>
    <row r="10" spans="3:12">
      <c r="E10" s="13"/>
      <c r="F10" s="73"/>
      <c r="G10" s="73"/>
      <c r="H10" s="73"/>
      <c r="I10" s="73"/>
      <c r="J10" s="73"/>
      <c r="K10" s="73"/>
    </row>
    <row r="11" spans="3:12">
      <c r="E11" s="13" t="s">
        <v>33</v>
      </c>
      <c r="F11" s="73"/>
      <c r="G11" s="73"/>
      <c r="H11" s="73"/>
      <c r="I11" s="73"/>
      <c r="J11" s="73"/>
      <c r="K11" s="73"/>
    </row>
    <row r="12" spans="3:12">
      <c r="E12" s="74" t="s">
        <v>34</v>
      </c>
      <c r="F12" s="73"/>
      <c r="G12" s="91">
        <f>Dat_01!D162*100</f>
        <v>0.46299999999999997</v>
      </c>
      <c r="H12" s="91"/>
      <c r="I12" s="91">
        <f>Dat_01!H162*100</f>
        <v>-4.9000000000000002E-2</v>
      </c>
      <c r="J12" s="91"/>
      <c r="K12" s="91">
        <f>Dat_01!L162*100</f>
        <v>6.8999999999999992E-2</v>
      </c>
    </row>
    <row r="13" spans="3:12">
      <c r="E13" s="74" t="s">
        <v>35</v>
      </c>
      <c r="F13" s="73"/>
      <c r="G13" s="91">
        <f>Dat_01!E162*100</f>
        <v>1.157</v>
      </c>
      <c r="H13" s="91"/>
      <c r="I13" s="91">
        <f>Dat_01!I162*100</f>
        <v>0.191</v>
      </c>
      <c r="J13" s="91"/>
      <c r="K13" s="91">
        <f>Dat_01!M162*100</f>
        <v>-0.02</v>
      </c>
    </row>
    <row r="14" spans="3:12">
      <c r="E14" s="75" t="s">
        <v>36</v>
      </c>
      <c r="F14" s="76"/>
      <c r="G14" s="92">
        <f>Dat_01!F162*100</f>
        <v>3.347</v>
      </c>
      <c r="H14" s="92"/>
      <c r="I14" s="92">
        <f>Dat_01!J162*100</f>
        <v>0.70200000000000007</v>
      </c>
      <c r="J14" s="92"/>
      <c r="K14" s="92">
        <f>Dat_01!N162*100</f>
        <v>0.46299999999999997</v>
      </c>
    </row>
    <row r="15" spans="3:12">
      <c r="E15" s="236" t="s">
        <v>37</v>
      </c>
      <c r="F15" s="236"/>
      <c r="G15" s="236"/>
      <c r="H15" s="236"/>
      <c r="I15" s="236"/>
      <c r="J15" s="236"/>
      <c r="K15" s="236"/>
    </row>
    <row r="16" spans="3:12" ht="21.75" customHeight="1">
      <c r="E16" s="232" t="s">
        <v>38</v>
      </c>
      <c r="F16" s="232"/>
      <c r="G16" s="232"/>
      <c r="H16" s="232"/>
      <c r="I16" s="232"/>
      <c r="J16" s="232"/>
      <c r="K16" s="232"/>
    </row>
    <row r="17" spans="5:11">
      <c r="E17" s="174"/>
    </row>
    <row r="19" spans="5:11">
      <c r="G19" s="152"/>
      <c r="H19" s="152"/>
      <c r="I19" s="152"/>
      <c r="J19" s="152"/>
      <c r="K19" s="152"/>
    </row>
    <row r="20" spans="5:11">
      <c r="G20" s="152"/>
      <c r="H20" s="152"/>
      <c r="I20" s="152"/>
      <c r="J20" s="152"/>
      <c r="K20" s="152"/>
    </row>
    <row r="21" spans="5:11">
      <c r="G21" s="152"/>
      <c r="H21" s="152"/>
      <c r="I21" s="152"/>
      <c r="J21" s="152"/>
      <c r="K21" s="152"/>
    </row>
  </sheetData>
  <mergeCells count="6">
    <mergeCell ref="E16:K16"/>
    <mergeCell ref="C7:C8"/>
    <mergeCell ref="F7:G7"/>
    <mergeCell ref="H7:I7"/>
    <mergeCell ref="J7:K7"/>
    <mergeCell ref="E15:K15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9">
    <pageSetUpPr autoPageBreaks="0" fitToPage="1"/>
  </sheetPr>
  <dimension ref="C1:W60"/>
  <sheetViews>
    <sheetView showGridLines="0" showRowColHeaders="0" zoomScaleNormal="100" workbookViewId="0">
      <selection activeCell="M12" sqref="M12"/>
    </sheetView>
  </sheetViews>
  <sheetFormatPr baseColWidth="10" defaultRowHeight="11.25"/>
  <cols>
    <col min="1" max="1" width="0.140625" style="1" customWidth="1"/>
    <col min="2" max="2" width="2.5703125" style="1" customWidth="1"/>
    <col min="3" max="3" width="23.5703125" style="1" customWidth="1"/>
    <col min="4" max="4" width="1.42578125" style="1" customWidth="1"/>
    <col min="5" max="5" width="29.140625" style="1" customWidth="1"/>
    <col min="6" max="13" width="7.5703125" style="1" customWidth="1"/>
    <col min="14" max="254" width="11.42578125" style="1"/>
    <col min="255" max="255" width="0.140625" style="1" customWidth="1"/>
    <col min="256" max="256" width="2.5703125" style="1" customWidth="1"/>
    <col min="257" max="257" width="15.42578125" style="1" customWidth="1"/>
    <col min="258" max="258" width="1.42578125" style="1" customWidth="1"/>
    <col min="259" max="259" width="29.140625" style="1" customWidth="1"/>
    <col min="260" max="260" width="7.85546875" style="1" bestFit="1" customWidth="1"/>
    <col min="261" max="261" width="7" style="1" customWidth="1"/>
    <col min="262" max="262" width="7.85546875" style="1" bestFit="1" customWidth="1"/>
    <col min="263" max="263" width="8.42578125" style="1" customWidth="1"/>
    <col min="264" max="264" width="7" style="1" customWidth="1"/>
    <col min="265" max="265" width="6.42578125" style="1" customWidth="1"/>
    <col min="266" max="266" width="7" style="1" customWidth="1"/>
    <col min="267" max="267" width="6.5703125" style="1" customWidth="1"/>
    <col min="268" max="268" width="7" style="1" customWidth="1"/>
    <col min="269" max="269" width="6.42578125" style="1" customWidth="1"/>
    <col min="270" max="510" width="11.42578125" style="1"/>
    <col min="511" max="511" width="0.140625" style="1" customWidth="1"/>
    <col min="512" max="512" width="2.5703125" style="1" customWidth="1"/>
    <col min="513" max="513" width="15.42578125" style="1" customWidth="1"/>
    <col min="514" max="514" width="1.42578125" style="1" customWidth="1"/>
    <col min="515" max="515" width="29.140625" style="1" customWidth="1"/>
    <col min="516" max="516" width="7.85546875" style="1" bestFit="1" customWidth="1"/>
    <col min="517" max="517" width="7" style="1" customWidth="1"/>
    <col min="518" max="518" width="7.85546875" style="1" bestFit="1" customWidth="1"/>
    <col min="519" max="519" width="8.42578125" style="1" customWidth="1"/>
    <col min="520" max="520" width="7" style="1" customWidth="1"/>
    <col min="521" max="521" width="6.42578125" style="1" customWidth="1"/>
    <col min="522" max="522" width="7" style="1" customWidth="1"/>
    <col min="523" max="523" width="6.5703125" style="1" customWidth="1"/>
    <col min="524" max="524" width="7" style="1" customWidth="1"/>
    <col min="525" max="525" width="6.42578125" style="1" customWidth="1"/>
    <col min="526" max="766" width="11.42578125" style="1"/>
    <col min="767" max="767" width="0.140625" style="1" customWidth="1"/>
    <col min="768" max="768" width="2.5703125" style="1" customWidth="1"/>
    <col min="769" max="769" width="15.42578125" style="1" customWidth="1"/>
    <col min="770" max="770" width="1.42578125" style="1" customWidth="1"/>
    <col min="771" max="771" width="29.140625" style="1" customWidth="1"/>
    <col min="772" max="772" width="7.85546875" style="1" bestFit="1" customWidth="1"/>
    <col min="773" max="773" width="7" style="1" customWidth="1"/>
    <col min="774" max="774" width="7.85546875" style="1" bestFit="1" customWidth="1"/>
    <col min="775" max="775" width="8.42578125" style="1" customWidth="1"/>
    <col min="776" max="776" width="7" style="1" customWidth="1"/>
    <col min="777" max="777" width="6.42578125" style="1" customWidth="1"/>
    <col min="778" max="778" width="7" style="1" customWidth="1"/>
    <col min="779" max="779" width="6.5703125" style="1" customWidth="1"/>
    <col min="780" max="780" width="7" style="1" customWidth="1"/>
    <col min="781" max="781" width="6.42578125" style="1" customWidth="1"/>
    <col min="782" max="1022" width="11.42578125" style="1"/>
    <col min="1023" max="1023" width="0.140625" style="1" customWidth="1"/>
    <col min="1024" max="1024" width="2.5703125" style="1" customWidth="1"/>
    <col min="1025" max="1025" width="15.42578125" style="1" customWidth="1"/>
    <col min="1026" max="1026" width="1.42578125" style="1" customWidth="1"/>
    <col min="1027" max="1027" width="29.140625" style="1" customWidth="1"/>
    <col min="1028" max="1028" width="7.85546875" style="1" bestFit="1" customWidth="1"/>
    <col min="1029" max="1029" width="7" style="1" customWidth="1"/>
    <col min="1030" max="1030" width="7.85546875" style="1" bestFit="1" customWidth="1"/>
    <col min="1031" max="1031" width="8.42578125" style="1" customWidth="1"/>
    <col min="1032" max="1032" width="7" style="1" customWidth="1"/>
    <col min="1033" max="1033" width="6.42578125" style="1" customWidth="1"/>
    <col min="1034" max="1034" width="7" style="1" customWidth="1"/>
    <col min="1035" max="1035" width="6.5703125" style="1" customWidth="1"/>
    <col min="1036" max="1036" width="7" style="1" customWidth="1"/>
    <col min="1037" max="1037" width="6.42578125" style="1" customWidth="1"/>
    <col min="1038" max="1278" width="11.42578125" style="1"/>
    <col min="1279" max="1279" width="0.140625" style="1" customWidth="1"/>
    <col min="1280" max="1280" width="2.5703125" style="1" customWidth="1"/>
    <col min="1281" max="1281" width="15.42578125" style="1" customWidth="1"/>
    <col min="1282" max="1282" width="1.42578125" style="1" customWidth="1"/>
    <col min="1283" max="1283" width="29.140625" style="1" customWidth="1"/>
    <col min="1284" max="1284" width="7.85546875" style="1" bestFit="1" customWidth="1"/>
    <col min="1285" max="1285" width="7" style="1" customWidth="1"/>
    <col min="1286" max="1286" width="7.85546875" style="1" bestFit="1" customWidth="1"/>
    <col min="1287" max="1287" width="8.42578125" style="1" customWidth="1"/>
    <col min="1288" max="1288" width="7" style="1" customWidth="1"/>
    <col min="1289" max="1289" width="6.42578125" style="1" customWidth="1"/>
    <col min="1290" max="1290" width="7" style="1" customWidth="1"/>
    <col min="1291" max="1291" width="6.5703125" style="1" customWidth="1"/>
    <col min="1292" max="1292" width="7" style="1" customWidth="1"/>
    <col min="1293" max="1293" width="6.42578125" style="1" customWidth="1"/>
    <col min="1294" max="1534" width="11.42578125" style="1"/>
    <col min="1535" max="1535" width="0.140625" style="1" customWidth="1"/>
    <col min="1536" max="1536" width="2.5703125" style="1" customWidth="1"/>
    <col min="1537" max="1537" width="15.42578125" style="1" customWidth="1"/>
    <col min="1538" max="1538" width="1.42578125" style="1" customWidth="1"/>
    <col min="1539" max="1539" width="29.140625" style="1" customWidth="1"/>
    <col min="1540" max="1540" width="7.85546875" style="1" bestFit="1" customWidth="1"/>
    <col min="1541" max="1541" width="7" style="1" customWidth="1"/>
    <col min="1542" max="1542" width="7.85546875" style="1" bestFit="1" customWidth="1"/>
    <col min="1543" max="1543" width="8.42578125" style="1" customWidth="1"/>
    <col min="1544" max="1544" width="7" style="1" customWidth="1"/>
    <col min="1545" max="1545" width="6.42578125" style="1" customWidth="1"/>
    <col min="1546" max="1546" width="7" style="1" customWidth="1"/>
    <col min="1547" max="1547" width="6.5703125" style="1" customWidth="1"/>
    <col min="1548" max="1548" width="7" style="1" customWidth="1"/>
    <col min="1549" max="1549" width="6.42578125" style="1" customWidth="1"/>
    <col min="1550" max="1790" width="11.42578125" style="1"/>
    <col min="1791" max="1791" width="0.140625" style="1" customWidth="1"/>
    <col min="1792" max="1792" width="2.5703125" style="1" customWidth="1"/>
    <col min="1793" max="1793" width="15.42578125" style="1" customWidth="1"/>
    <col min="1794" max="1794" width="1.42578125" style="1" customWidth="1"/>
    <col min="1795" max="1795" width="29.140625" style="1" customWidth="1"/>
    <col min="1796" max="1796" width="7.85546875" style="1" bestFit="1" customWidth="1"/>
    <col min="1797" max="1797" width="7" style="1" customWidth="1"/>
    <col min="1798" max="1798" width="7.85546875" style="1" bestFit="1" customWidth="1"/>
    <col min="1799" max="1799" width="8.42578125" style="1" customWidth="1"/>
    <col min="1800" max="1800" width="7" style="1" customWidth="1"/>
    <col min="1801" max="1801" width="6.42578125" style="1" customWidth="1"/>
    <col min="1802" max="1802" width="7" style="1" customWidth="1"/>
    <col min="1803" max="1803" width="6.5703125" style="1" customWidth="1"/>
    <col min="1804" max="1804" width="7" style="1" customWidth="1"/>
    <col min="1805" max="1805" width="6.42578125" style="1" customWidth="1"/>
    <col min="1806" max="2046" width="11.42578125" style="1"/>
    <col min="2047" max="2047" width="0.140625" style="1" customWidth="1"/>
    <col min="2048" max="2048" width="2.5703125" style="1" customWidth="1"/>
    <col min="2049" max="2049" width="15.42578125" style="1" customWidth="1"/>
    <col min="2050" max="2050" width="1.42578125" style="1" customWidth="1"/>
    <col min="2051" max="2051" width="29.140625" style="1" customWidth="1"/>
    <col min="2052" max="2052" width="7.85546875" style="1" bestFit="1" customWidth="1"/>
    <col min="2053" max="2053" width="7" style="1" customWidth="1"/>
    <col min="2054" max="2054" width="7.85546875" style="1" bestFit="1" customWidth="1"/>
    <col min="2055" max="2055" width="8.42578125" style="1" customWidth="1"/>
    <col min="2056" max="2056" width="7" style="1" customWidth="1"/>
    <col min="2057" max="2057" width="6.42578125" style="1" customWidth="1"/>
    <col min="2058" max="2058" width="7" style="1" customWidth="1"/>
    <col min="2059" max="2059" width="6.5703125" style="1" customWidth="1"/>
    <col min="2060" max="2060" width="7" style="1" customWidth="1"/>
    <col min="2061" max="2061" width="6.42578125" style="1" customWidth="1"/>
    <col min="2062" max="2302" width="11.42578125" style="1"/>
    <col min="2303" max="2303" width="0.140625" style="1" customWidth="1"/>
    <col min="2304" max="2304" width="2.5703125" style="1" customWidth="1"/>
    <col min="2305" max="2305" width="15.42578125" style="1" customWidth="1"/>
    <col min="2306" max="2306" width="1.42578125" style="1" customWidth="1"/>
    <col min="2307" max="2307" width="29.140625" style="1" customWidth="1"/>
    <col min="2308" max="2308" width="7.85546875" style="1" bestFit="1" customWidth="1"/>
    <col min="2309" max="2309" width="7" style="1" customWidth="1"/>
    <col min="2310" max="2310" width="7.85546875" style="1" bestFit="1" customWidth="1"/>
    <col min="2311" max="2311" width="8.42578125" style="1" customWidth="1"/>
    <col min="2312" max="2312" width="7" style="1" customWidth="1"/>
    <col min="2313" max="2313" width="6.42578125" style="1" customWidth="1"/>
    <col min="2314" max="2314" width="7" style="1" customWidth="1"/>
    <col min="2315" max="2315" width="6.5703125" style="1" customWidth="1"/>
    <col min="2316" max="2316" width="7" style="1" customWidth="1"/>
    <col min="2317" max="2317" width="6.42578125" style="1" customWidth="1"/>
    <col min="2318" max="2558" width="11.42578125" style="1"/>
    <col min="2559" max="2559" width="0.140625" style="1" customWidth="1"/>
    <col min="2560" max="2560" width="2.5703125" style="1" customWidth="1"/>
    <col min="2561" max="2561" width="15.42578125" style="1" customWidth="1"/>
    <col min="2562" max="2562" width="1.42578125" style="1" customWidth="1"/>
    <col min="2563" max="2563" width="29.140625" style="1" customWidth="1"/>
    <col min="2564" max="2564" width="7.85546875" style="1" bestFit="1" customWidth="1"/>
    <col min="2565" max="2565" width="7" style="1" customWidth="1"/>
    <col min="2566" max="2566" width="7.85546875" style="1" bestFit="1" customWidth="1"/>
    <col min="2567" max="2567" width="8.42578125" style="1" customWidth="1"/>
    <col min="2568" max="2568" width="7" style="1" customWidth="1"/>
    <col min="2569" max="2569" width="6.42578125" style="1" customWidth="1"/>
    <col min="2570" max="2570" width="7" style="1" customWidth="1"/>
    <col min="2571" max="2571" width="6.5703125" style="1" customWidth="1"/>
    <col min="2572" max="2572" width="7" style="1" customWidth="1"/>
    <col min="2573" max="2573" width="6.42578125" style="1" customWidth="1"/>
    <col min="2574" max="2814" width="11.42578125" style="1"/>
    <col min="2815" max="2815" width="0.140625" style="1" customWidth="1"/>
    <col min="2816" max="2816" width="2.5703125" style="1" customWidth="1"/>
    <col min="2817" max="2817" width="15.42578125" style="1" customWidth="1"/>
    <col min="2818" max="2818" width="1.42578125" style="1" customWidth="1"/>
    <col min="2819" max="2819" width="29.140625" style="1" customWidth="1"/>
    <col min="2820" max="2820" width="7.85546875" style="1" bestFit="1" customWidth="1"/>
    <col min="2821" max="2821" width="7" style="1" customWidth="1"/>
    <col min="2822" max="2822" width="7.85546875" style="1" bestFit="1" customWidth="1"/>
    <col min="2823" max="2823" width="8.42578125" style="1" customWidth="1"/>
    <col min="2824" max="2824" width="7" style="1" customWidth="1"/>
    <col min="2825" max="2825" width="6.42578125" style="1" customWidth="1"/>
    <col min="2826" max="2826" width="7" style="1" customWidth="1"/>
    <col min="2827" max="2827" width="6.5703125" style="1" customWidth="1"/>
    <col min="2828" max="2828" width="7" style="1" customWidth="1"/>
    <col min="2829" max="2829" width="6.42578125" style="1" customWidth="1"/>
    <col min="2830" max="3070" width="11.42578125" style="1"/>
    <col min="3071" max="3071" width="0.140625" style="1" customWidth="1"/>
    <col min="3072" max="3072" width="2.5703125" style="1" customWidth="1"/>
    <col min="3073" max="3073" width="15.42578125" style="1" customWidth="1"/>
    <col min="3074" max="3074" width="1.42578125" style="1" customWidth="1"/>
    <col min="3075" max="3075" width="29.140625" style="1" customWidth="1"/>
    <col min="3076" max="3076" width="7.85546875" style="1" bestFit="1" customWidth="1"/>
    <col min="3077" max="3077" width="7" style="1" customWidth="1"/>
    <col min="3078" max="3078" width="7.85546875" style="1" bestFit="1" customWidth="1"/>
    <col min="3079" max="3079" width="8.42578125" style="1" customWidth="1"/>
    <col min="3080" max="3080" width="7" style="1" customWidth="1"/>
    <col min="3081" max="3081" width="6.42578125" style="1" customWidth="1"/>
    <col min="3082" max="3082" width="7" style="1" customWidth="1"/>
    <col min="3083" max="3083" width="6.5703125" style="1" customWidth="1"/>
    <col min="3084" max="3084" width="7" style="1" customWidth="1"/>
    <col min="3085" max="3085" width="6.42578125" style="1" customWidth="1"/>
    <col min="3086" max="3326" width="11.42578125" style="1"/>
    <col min="3327" max="3327" width="0.140625" style="1" customWidth="1"/>
    <col min="3328" max="3328" width="2.5703125" style="1" customWidth="1"/>
    <col min="3329" max="3329" width="15.42578125" style="1" customWidth="1"/>
    <col min="3330" max="3330" width="1.42578125" style="1" customWidth="1"/>
    <col min="3331" max="3331" width="29.140625" style="1" customWidth="1"/>
    <col min="3332" max="3332" width="7.85546875" style="1" bestFit="1" customWidth="1"/>
    <col min="3333" max="3333" width="7" style="1" customWidth="1"/>
    <col min="3334" max="3334" width="7.85546875" style="1" bestFit="1" customWidth="1"/>
    <col min="3335" max="3335" width="8.42578125" style="1" customWidth="1"/>
    <col min="3336" max="3336" width="7" style="1" customWidth="1"/>
    <col min="3337" max="3337" width="6.42578125" style="1" customWidth="1"/>
    <col min="3338" max="3338" width="7" style="1" customWidth="1"/>
    <col min="3339" max="3339" width="6.5703125" style="1" customWidth="1"/>
    <col min="3340" max="3340" width="7" style="1" customWidth="1"/>
    <col min="3341" max="3341" width="6.42578125" style="1" customWidth="1"/>
    <col min="3342" max="3582" width="11.42578125" style="1"/>
    <col min="3583" max="3583" width="0.140625" style="1" customWidth="1"/>
    <col min="3584" max="3584" width="2.5703125" style="1" customWidth="1"/>
    <col min="3585" max="3585" width="15.42578125" style="1" customWidth="1"/>
    <col min="3586" max="3586" width="1.42578125" style="1" customWidth="1"/>
    <col min="3587" max="3587" width="29.140625" style="1" customWidth="1"/>
    <col min="3588" max="3588" width="7.85546875" style="1" bestFit="1" customWidth="1"/>
    <col min="3589" max="3589" width="7" style="1" customWidth="1"/>
    <col min="3590" max="3590" width="7.85546875" style="1" bestFit="1" customWidth="1"/>
    <col min="3591" max="3591" width="8.42578125" style="1" customWidth="1"/>
    <col min="3592" max="3592" width="7" style="1" customWidth="1"/>
    <col min="3593" max="3593" width="6.42578125" style="1" customWidth="1"/>
    <col min="3594" max="3594" width="7" style="1" customWidth="1"/>
    <col min="3595" max="3595" width="6.5703125" style="1" customWidth="1"/>
    <col min="3596" max="3596" width="7" style="1" customWidth="1"/>
    <col min="3597" max="3597" width="6.42578125" style="1" customWidth="1"/>
    <col min="3598" max="3838" width="11.42578125" style="1"/>
    <col min="3839" max="3839" width="0.140625" style="1" customWidth="1"/>
    <col min="3840" max="3840" width="2.5703125" style="1" customWidth="1"/>
    <col min="3841" max="3841" width="15.42578125" style="1" customWidth="1"/>
    <col min="3842" max="3842" width="1.42578125" style="1" customWidth="1"/>
    <col min="3843" max="3843" width="29.140625" style="1" customWidth="1"/>
    <col min="3844" max="3844" width="7.85546875" style="1" bestFit="1" customWidth="1"/>
    <col min="3845" max="3845" width="7" style="1" customWidth="1"/>
    <col min="3846" max="3846" width="7.85546875" style="1" bestFit="1" customWidth="1"/>
    <col min="3847" max="3847" width="8.42578125" style="1" customWidth="1"/>
    <col min="3848" max="3848" width="7" style="1" customWidth="1"/>
    <col min="3849" max="3849" width="6.42578125" style="1" customWidth="1"/>
    <col min="3850" max="3850" width="7" style="1" customWidth="1"/>
    <col min="3851" max="3851" width="6.5703125" style="1" customWidth="1"/>
    <col min="3852" max="3852" width="7" style="1" customWidth="1"/>
    <col min="3853" max="3853" width="6.42578125" style="1" customWidth="1"/>
    <col min="3854" max="4094" width="11.42578125" style="1"/>
    <col min="4095" max="4095" width="0.140625" style="1" customWidth="1"/>
    <col min="4096" max="4096" width="2.5703125" style="1" customWidth="1"/>
    <col min="4097" max="4097" width="15.42578125" style="1" customWidth="1"/>
    <col min="4098" max="4098" width="1.42578125" style="1" customWidth="1"/>
    <col min="4099" max="4099" width="29.140625" style="1" customWidth="1"/>
    <col min="4100" max="4100" width="7.85546875" style="1" bestFit="1" customWidth="1"/>
    <col min="4101" max="4101" width="7" style="1" customWidth="1"/>
    <col min="4102" max="4102" width="7.85546875" style="1" bestFit="1" customWidth="1"/>
    <col min="4103" max="4103" width="8.42578125" style="1" customWidth="1"/>
    <col min="4104" max="4104" width="7" style="1" customWidth="1"/>
    <col min="4105" max="4105" width="6.42578125" style="1" customWidth="1"/>
    <col min="4106" max="4106" width="7" style="1" customWidth="1"/>
    <col min="4107" max="4107" width="6.5703125" style="1" customWidth="1"/>
    <col min="4108" max="4108" width="7" style="1" customWidth="1"/>
    <col min="4109" max="4109" width="6.42578125" style="1" customWidth="1"/>
    <col min="4110" max="4350" width="11.42578125" style="1"/>
    <col min="4351" max="4351" width="0.140625" style="1" customWidth="1"/>
    <col min="4352" max="4352" width="2.5703125" style="1" customWidth="1"/>
    <col min="4353" max="4353" width="15.42578125" style="1" customWidth="1"/>
    <col min="4354" max="4354" width="1.42578125" style="1" customWidth="1"/>
    <col min="4355" max="4355" width="29.140625" style="1" customWidth="1"/>
    <col min="4356" max="4356" width="7.85546875" style="1" bestFit="1" customWidth="1"/>
    <col min="4357" max="4357" width="7" style="1" customWidth="1"/>
    <col min="4358" max="4358" width="7.85546875" style="1" bestFit="1" customWidth="1"/>
    <col min="4359" max="4359" width="8.42578125" style="1" customWidth="1"/>
    <col min="4360" max="4360" width="7" style="1" customWidth="1"/>
    <col min="4361" max="4361" width="6.42578125" style="1" customWidth="1"/>
    <col min="4362" max="4362" width="7" style="1" customWidth="1"/>
    <col min="4363" max="4363" width="6.5703125" style="1" customWidth="1"/>
    <col min="4364" max="4364" width="7" style="1" customWidth="1"/>
    <col min="4365" max="4365" width="6.42578125" style="1" customWidth="1"/>
    <col min="4366" max="4606" width="11.42578125" style="1"/>
    <col min="4607" max="4607" width="0.140625" style="1" customWidth="1"/>
    <col min="4608" max="4608" width="2.5703125" style="1" customWidth="1"/>
    <col min="4609" max="4609" width="15.42578125" style="1" customWidth="1"/>
    <col min="4610" max="4610" width="1.42578125" style="1" customWidth="1"/>
    <col min="4611" max="4611" width="29.140625" style="1" customWidth="1"/>
    <col min="4612" max="4612" width="7.85546875" style="1" bestFit="1" customWidth="1"/>
    <col min="4613" max="4613" width="7" style="1" customWidth="1"/>
    <col min="4614" max="4614" width="7.85546875" style="1" bestFit="1" customWidth="1"/>
    <col min="4615" max="4615" width="8.42578125" style="1" customWidth="1"/>
    <col min="4616" max="4616" width="7" style="1" customWidth="1"/>
    <col min="4617" max="4617" width="6.42578125" style="1" customWidth="1"/>
    <col min="4618" max="4618" width="7" style="1" customWidth="1"/>
    <col min="4619" max="4619" width="6.5703125" style="1" customWidth="1"/>
    <col min="4620" max="4620" width="7" style="1" customWidth="1"/>
    <col min="4621" max="4621" width="6.42578125" style="1" customWidth="1"/>
    <col min="4622" max="4862" width="11.42578125" style="1"/>
    <col min="4863" max="4863" width="0.140625" style="1" customWidth="1"/>
    <col min="4864" max="4864" width="2.5703125" style="1" customWidth="1"/>
    <col min="4865" max="4865" width="15.42578125" style="1" customWidth="1"/>
    <col min="4866" max="4866" width="1.42578125" style="1" customWidth="1"/>
    <col min="4867" max="4867" width="29.140625" style="1" customWidth="1"/>
    <col min="4868" max="4868" width="7.85546875" style="1" bestFit="1" customWidth="1"/>
    <col min="4869" max="4869" width="7" style="1" customWidth="1"/>
    <col min="4870" max="4870" width="7.85546875" style="1" bestFit="1" customWidth="1"/>
    <col min="4871" max="4871" width="8.42578125" style="1" customWidth="1"/>
    <col min="4872" max="4872" width="7" style="1" customWidth="1"/>
    <col min="4873" max="4873" width="6.42578125" style="1" customWidth="1"/>
    <col min="4874" max="4874" width="7" style="1" customWidth="1"/>
    <col min="4875" max="4875" width="6.5703125" style="1" customWidth="1"/>
    <col min="4876" max="4876" width="7" style="1" customWidth="1"/>
    <col min="4877" max="4877" width="6.42578125" style="1" customWidth="1"/>
    <col min="4878" max="5118" width="11.42578125" style="1"/>
    <col min="5119" max="5119" width="0.140625" style="1" customWidth="1"/>
    <col min="5120" max="5120" width="2.5703125" style="1" customWidth="1"/>
    <col min="5121" max="5121" width="15.42578125" style="1" customWidth="1"/>
    <col min="5122" max="5122" width="1.42578125" style="1" customWidth="1"/>
    <col min="5123" max="5123" width="29.140625" style="1" customWidth="1"/>
    <col min="5124" max="5124" width="7.85546875" style="1" bestFit="1" customWidth="1"/>
    <col min="5125" max="5125" width="7" style="1" customWidth="1"/>
    <col min="5126" max="5126" width="7.85546875" style="1" bestFit="1" customWidth="1"/>
    <col min="5127" max="5127" width="8.42578125" style="1" customWidth="1"/>
    <col min="5128" max="5128" width="7" style="1" customWidth="1"/>
    <col min="5129" max="5129" width="6.42578125" style="1" customWidth="1"/>
    <col min="5130" max="5130" width="7" style="1" customWidth="1"/>
    <col min="5131" max="5131" width="6.5703125" style="1" customWidth="1"/>
    <col min="5132" max="5132" width="7" style="1" customWidth="1"/>
    <col min="5133" max="5133" width="6.42578125" style="1" customWidth="1"/>
    <col min="5134" max="5374" width="11.42578125" style="1"/>
    <col min="5375" max="5375" width="0.140625" style="1" customWidth="1"/>
    <col min="5376" max="5376" width="2.5703125" style="1" customWidth="1"/>
    <col min="5377" max="5377" width="15.42578125" style="1" customWidth="1"/>
    <col min="5378" max="5378" width="1.42578125" style="1" customWidth="1"/>
    <col min="5379" max="5379" width="29.140625" style="1" customWidth="1"/>
    <col min="5380" max="5380" width="7.85546875" style="1" bestFit="1" customWidth="1"/>
    <col min="5381" max="5381" width="7" style="1" customWidth="1"/>
    <col min="5382" max="5382" width="7.85546875" style="1" bestFit="1" customWidth="1"/>
    <col min="5383" max="5383" width="8.42578125" style="1" customWidth="1"/>
    <col min="5384" max="5384" width="7" style="1" customWidth="1"/>
    <col min="5385" max="5385" width="6.42578125" style="1" customWidth="1"/>
    <col min="5386" max="5386" width="7" style="1" customWidth="1"/>
    <col min="5387" max="5387" width="6.5703125" style="1" customWidth="1"/>
    <col min="5388" max="5388" width="7" style="1" customWidth="1"/>
    <col min="5389" max="5389" width="6.42578125" style="1" customWidth="1"/>
    <col min="5390" max="5630" width="11.42578125" style="1"/>
    <col min="5631" max="5631" width="0.140625" style="1" customWidth="1"/>
    <col min="5632" max="5632" width="2.5703125" style="1" customWidth="1"/>
    <col min="5633" max="5633" width="15.42578125" style="1" customWidth="1"/>
    <col min="5634" max="5634" width="1.42578125" style="1" customWidth="1"/>
    <col min="5635" max="5635" width="29.140625" style="1" customWidth="1"/>
    <col min="5636" max="5636" width="7.85546875" style="1" bestFit="1" customWidth="1"/>
    <col min="5637" max="5637" width="7" style="1" customWidth="1"/>
    <col min="5638" max="5638" width="7.85546875" style="1" bestFit="1" customWidth="1"/>
    <col min="5639" max="5639" width="8.42578125" style="1" customWidth="1"/>
    <col min="5640" max="5640" width="7" style="1" customWidth="1"/>
    <col min="5641" max="5641" width="6.42578125" style="1" customWidth="1"/>
    <col min="5642" max="5642" width="7" style="1" customWidth="1"/>
    <col min="5643" max="5643" width="6.5703125" style="1" customWidth="1"/>
    <col min="5644" max="5644" width="7" style="1" customWidth="1"/>
    <col min="5645" max="5645" width="6.42578125" style="1" customWidth="1"/>
    <col min="5646" max="5886" width="11.42578125" style="1"/>
    <col min="5887" max="5887" width="0.140625" style="1" customWidth="1"/>
    <col min="5888" max="5888" width="2.5703125" style="1" customWidth="1"/>
    <col min="5889" max="5889" width="15.42578125" style="1" customWidth="1"/>
    <col min="5890" max="5890" width="1.42578125" style="1" customWidth="1"/>
    <col min="5891" max="5891" width="29.140625" style="1" customWidth="1"/>
    <col min="5892" max="5892" width="7.85546875" style="1" bestFit="1" customWidth="1"/>
    <col min="5893" max="5893" width="7" style="1" customWidth="1"/>
    <col min="5894" max="5894" width="7.85546875" style="1" bestFit="1" customWidth="1"/>
    <col min="5895" max="5895" width="8.42578125" style="1" customWidth="1"/>
    <col min="5896" max="5896" width="7" style="1" customWidth="1"/>
    <col min="5897" max="5897" width="6.42578125" style="1" customWidth="1"/>
    <col min="5898" max="5898" width="7" style="1" customWidth="1"/>
    <col min="5899" max="5899" width="6.5703125" style="1" customWidth="1"/>
    <col min="5900" max="5900" width="7" style="1" customWidth="1"/>
    <col min="5901" max="5901" width="6.42578125" style="1" customWidth="1"/>
    <col min="5902" max="6142" width="11.42578125" style="1"/>
    <col min="6143" max="6143" width="0.140625" style="1" customWidth="1"/>
    <col min="6144" max="6144" width="2.5703125" style="1" customWidth="1"/>
    <col min="6145" max="6145" width="15.42578125" style="1" customWidth="1"/>
    <col min="6146" max="6146" width="1.42578125" style="1" customWidth="1"/>
    <col min="6147" max="6147" width="29.140625" style="1" customWidth="1"/>
    <col min="6148" max="6148" width="7.85546875" style="1" bestFit="1" customWidth="1"/>
    <col min="6149" max="6149" width="7" style="1" customWidth="1"/>
    <col min="6150" max="6150" width="7.85546875" style="1" bestFit="1" customWidth="1"/>
    <col min="6151" max="6151" width="8.42578125" style="1" customWidth="1"/>
    <col min="6152" max="6152" width="7" style="1" customWidth="1"/>
    <col min="6153" max="6153" width="6.42578125" style="1" customWidth="1"/>
    <col min="6154" max="6154" width="7" style="1" customWidth="1"/>
    <col min="6155" max="6155" width="6.5703125" style="1" customWidth="1"/>
    <col min="6156" max="6156" width="7" style="1" customWidth="1"/>
    <col min="6157" max="6157" width="6.42578125" style="1" customWidth="1"/>
    <col min="6158" max="6398" width="11.42578125" style="1"/>
    <col min="6399" max="6399" width="0.140625" style="1" customWidth="1"/>
    <col min="6400" max="6400" width="2.5703125" style="1" customWidth="1"/>
    <col min="6401" max="6401" width="15.42578125" style="1" customWidth="1"/>
    <col min="6402" max="6402" width="1.42578125" style="1" customWidth="1"/>
    <col min="6403" max="6403" width="29.140625" style="1" customWidth="1"/>
    <col min="6404" max="6404" width="7.85546875" style="1" bestFit="1" customWidth="1"/>
    <col min="6405" max="6405" width="7" style="1" customWidth="1"/>
    <col min="6406" max="6406" width="7.85546875" style="1" bestFit="1" customWidth="1"/>
    <col min="6407" max="6407" width="8.42578125" style="1" customWidth="1"/>
    <col min="6408" max="6408" width="7" style="1" customWidth="1"/>
    <col min="6409" max="6409" width="6.42578125" style="1" customWidth="1"/>
    <col min="6410" max="6410" width="7" style="1" customWidth="1"/>
    <col min="6411" max="6411" width="6.5703125" style="1" customWidth="1"/>
    <col min="6412" max="6412" width="7" style="1" customWidth="1"/>
    <col min="6413" max="6413" width="6.42578125" style="1" customWidth="1"/>
    <col min="6414" max="6654" width="11.42578125" style="1"/>
    <col min="6655" max="6655" width="0.140625" style="1" customWidth="1"/>
    <col min="6656" max="6656" width="2.5703125" style="1" customWidth="1"/>
    <col min="6657" max="6657" width="15.42578125" style="1" customWidth="1"/>
    <col min="6658" max="6658" width="1.42578125" style="1" customWidth="1"/>
    <col min="6659" max="6659" width="29.140625" style="1" customWidth="1"/>
    <col min="6660" max="6660" width="7.85546875" style="1" bestFit="1" customWidth="1"/>
    <col min="6661" max="6661" width="7" style="1" customWidth="1"/>
    <col min="6662" max="6662" width="7.85546875" style="1" bestFit="1" customWidth="1"/>
    <col min="6663" max="6663" width="8.42578125" style="1" customWidth="1"/>
    <col min="6664" max="6664" width="7" style="1" customWidth="1"/>
    <col min="6665" max="6665" width="6.42578125" style="1" customWidth="1"/>
    <col min="6666" max="6666" width="7" style="1" customWidth="1"/>
    <col min="6667" max="6667" width="6.5703125" style="1" customWidth="1"/>
    <col min="6668" max="6668" width="7" style="1" customWidth="1"/>
    <col min="6669" max="6669" width="6.42578125" style="1" customWidth="1"/>
    <col min="6670" max="6910" width="11.42578125" style="1"/>
    <col min="6911" max="6911" width="0.140625" style="1" customWidth="1"/>
    <col min="6912" max="6912" width="2.5703125" style="1" customWidth="1"/>
    <col min="6913" max="6913" width="15.42578125" style="1" customWidth="1"/>
    <col min="6914" max="6914" width="1.42578125" style="1" customWidth="1"/>
    <col min="6915" max="6915" width="29.140625" style="1" customWidth="1"/>
    <col min="6916" max="6916" width="7.85546875" style="1" bestFit="1" customWidth="1"/>
    <col min="6917" max="6917" width="7" style="1" customWidth="1"/>
    <col min="6918" max="6918" width="7.85546875" style="1" bestFit="1" customWidth="1"/>
    <col min="6919" max="6919" width="8.42578125" style="1" customWidth="1"/>
    <col min="6920" max="6920" width="7" style="1" customWidth="1"/>
    <col min="6921" max="6921" width="6.42578125" style="1" customWidth="1"/>
    <col min="6922" max="6922" width="7" style="1" customWidth="1"/>
    <col min="6923" max="6923" width="6.5703125" style="1" customWidth="1"/>
    <col min="6924" max="6924" width="7" style="1" customWidth="1"/>
    <col min="6925" max="6925" width="6.42578125" style="1" customWidth="1"/>
    <col min="6926" max="7166" width="11.42578125" style="1"/>
    <col min="7167" max="7167" width="0.140625" style="1" customWidth="1"/>
    <col min="7168" max="7168" width="2.5703125" style="1" customWidth="1"/>
    <col min="7169" max="7169" width="15.42578125" style="1" customWidth="1"/>
    <col min="7170" max="7170" width="1.42578125" style="1" customWidth="1"/>
    <col min="7171" max="7171" width="29.140625" style="1" customWidth="1"/>
    <col min="7172" max="7172" width="7.85546875" style="1" bestFit="1" customWidth="1"/>
    <col min="7173" max="7173" width="7" style="1" customWidth="1"/>
    <col min="7174" max="7174" width="7.85546875" style="1" bestFit="1" customWidth="1"/>
    <col min="7175" max="7175" width="8.42578125" style="1" customWidth="1"/>
    <col min="7176" max="7176" width="7" style="1" customWidth="1"/>
    <col min="7177" max="7177" width="6.42578125" style="1" customWidth="1"/>
    <col min="7178" max="7178" width="7" style="1" customWidth="1"/>
    <col min="7179" max="7179" width="6.5703125" style="1" customWidth="1"/>
    <col min="7180" max="7180" width="7" style="1" customWidth="1"/>
    <col min="7181" max="7181" width="6.42578125" style="1" customWidth="1"/>
    <col min="7182" max="7422" width="11.42578125" style="1"/>
    <col min="7423" max="7423" width="0.140625" style="1" customWidth="1"/>
    <col min="7424" max="7424" width="2.5703125" style="1" customWidth="1"/>
    <col min="7425" max="7425" width="15.42578125" style="1" customWidth="1"/>
    <col min="7426" max="7426" width="1.42578125" style="1" customWidth="1"/>
    <col min="7427" max="7427" width="29.140625" style="1" customWidth="1"/>
    <col min="7428" max="7428" width="7.85546875" style="1" bestFit="1" customWidth="1"/>
    <col min="7429" max="7429" width="7" style="1" customWidth="1"/>
    <col min="7430" max="7430" width="7.85546875" style="1" bestFit="1" customWidth="1"/>
    <col min="7431" max="7431" width="8.42578125" style="1" customWidth="1"/>
    <col min="7432" max="7432" width="7" style="1" customWidth="1"/>
    <col min="7433" max="7433" width="6.42578125" style="1" customWidth="1"/>
    <col min="7434" max="7434" width="7" style="1" customWidth="1"/>
    <col min="7435" max="7435" width="6.5703125" style="1" customWidth="1"/>
    <col min="7436" max="7436" width="7" style="1" customWidth="1"/>
    <col min="7437" max="7437" width="6.42578125" style="1" customWidth="1"/>
    <col min="7438" max="7678" width="11.42578125" style="1"/>
    <col min="7679" max="7679" width="0.140625" style="1" customWidth="1"/>
    <col min="7680" max="7680" width="2.5703125" style="1" customWidth="1"/>
    <col min="7681" max="7681" width="15.42578125" style="1" customWidth="1"/>
    <col min="7682" max="7682" width="1.42578125" style="1" customWidth="1"/>
    <col min="7683" max="7683" width="29.140625" style="1" customWidth="1"/>
    <col min="7684" max="7684" width="7.85546875" style="1" bestFit="1" customWidth="1"/>
    <col min="7685" max="7685" width="7" style="1" customWidth="1"/>
    <col min="7686" max="7686" width="7.85546875" style="1" bestFit="1" customWidth="1"/>
    <col min="7687" max="7687" width="8.42578125" style="1" customWidth="1"/>
    <col min="7688" max="7688" width="7" style="1" customWidth="1"/>
    <col min="7689" max="7689" width="6.42578125" style="1" customWidth="1"/>
    <col min="7690" max="7690" width="7" style="1" customWidth="1"/>
    <col min="7691" max="7691" width="6.5703125" style="1" customWidth="1"/>
    <col min="7692" max="7692" width="7" style="1" customWidth="1"/>
    <col min="7693" max="7693" width="6.42578125" style="1" customWidth="1"/>
    <col min="7694" max="7934" width="11.42578125" style="1"/>
    <col min="7935" max="7935" width="0.140625" style="1" customWidth="1"/>
    <col min="7936" max="7936" width="2.5703125" style="1" customWidth="1"/>
    <col min="7937" max="7937" width="15.42578125" style="1" customWidth="1"/>
    <col min="7938" max="7938" width="1.42578125" style="1" customWidth="1"/>
    <col min="7939" max="7939" width="29.140625" style="1" customWidth="1"/>
    <col min="7940" max="7940" width="7.85546875" style="1" bestFit="1" customWidth="1"/>
    <col min="7941" max="7941" width="7" style="1" customWidth="1"/>
    <col min="7942" max="7942" width="7.85546875" style="1" bestFit="1" customWidth="1"/>
    <col min="7943" max="7943" width="8.42578125" style="1" customWidth="1"/>
    <col min="7944" max="7944" width="7" style="1" customWidth="1"/>
    <col min="7945" max="7945" width="6.42578125" style="1" customWidth="1"/>
    <col min="7946" max="7946" width="7" style="1" customWidth="1"/>
    <col min="7947" max="7947" width="6.5703125" style="1" customWidth="1"/>
    <col min="7948" max="7948" width="7" style="1" customWidth="1"/>
    <col min="7949" max="7949" width="6.42578125" style="1" customWidth="1"/>
    <col min="7950" max="8190" width="11.42578125" style="1"/>
    <col min="8191" max="8191" width="0.140625" style="1" customWidth="1"/>
    <col min="8192" max="8192" width="2.5703125" style="1" customWidth="1"/>
    <col min="8193" max="8193" width="15.42578125" style="1" customWidth="1"/>
    <col min="8194" max="8194" width="1.42578125" style="1" customWidth="1"/>
    <col min="8195" max="8195" width="29.140625" style="1" customWidth="1"/>
    <col min="8196" max="8196" width="7.85546875" style="1" bestFit="1" customWidth="1"/>
    <col min="8197" max="8197" width="7" style="1" customWidth="1"/>
    <col min="8198" max="8198" width="7.85546875" style="1" bestFit="1" customWidth="1"/>
    <col min="8199" max="8199" width="8.42578125" style="1" customWidth="1"/>
    <col min="8200" max="8200" width="7" style="1" customWidth="1"/>
    <col min="8201" max="8201" width="6.42578125" style="1" customWidth="1"/>
    <col min="8202" max="8202" width="7" style="1" customWidth="1"/>
    <col min="8203" max="8203" width="6.5703125" style="1" customWidth="1"/>
    <col min="8204" max="8204" width="7" style="1" customWidth="1"/>
    <col min="8205" max="8205" width="6.42578125" style="1" customWidth="1"/>
    <col min="8206" max="8446" width="11.42578125" style="1"/>
    <col min="8447" max="8447" width="0.140625" style="1" customWidth="1"/>
    <col min="8448" max="8448" width="2.5703125" style="1" customWidth="1"/>
    <col min="8449" max="8449" width="15.42578125" style="1" customWidth="1"/>
    <col min="8450" max="8450" width="1.42578125" style="1" customWidth="1"/>
    <col min="8451" max="8451" width="29.140625" style="1" customWidth="1"/>
    <col min="8452" max="8452" width="7.85546875" style="1" bestFit="1" customWidth="1"/>
    <col min="8453" max="8453" width="7" style="1" customWidth="1"/>
    <col min="8454" max="8454" width="7.85546875" style="1" bestFit="1" customWidth="1"/>
    <col min="8455" max="8455" width="8.42578125" style="1" customWidth="1"/>
    <col min="8456" max="8456" width="7" style="1" customWidth="1"/>
    <col min="8457" max="8457" width="6.42578125" style="1" customWidth="1"/>
    <col min="8458" max="8458" width="7" style="1" customWidth="1"/>
    <col min="8459" max="8459" width="6.5703125" style="1" customWidth="1"/>
    <col min="8460" max="8460" width="7" style="1" customWidth="1"/>
    <col min="8461" max="8461" width="6.42578125" style="1" customWidth="1"/>
    <col min="8462" max="8702" width="11.42578125" style="1"/>
    <col min="8703" max="8703" width="0.140625" style="1" customWidth="1"/>
    <col min="8704" max="8704" width="2.5703125" style="1" customWidth="1"/>
    <col min="8705" max="8705" width="15.42578125" style="1" customWidth="1"/>
    <col min="8706" max="8706" width="1.42578125" style="1" customWidth="1"/>
    <col min="8707" max="8707" width="29.140625" style="1" customWidth="1"/>
    <col min="8708" max="8708" width="7.85546875" style="1" bestFit="1" customWidth="1"/>
    <col min="8709" max="8709" width="7" style="1" customWidth="1"/>
    <col min="8710" max="8710" width="7.85546875" style="1" bestFit="1" customWidth="1"/>
    <col min="8711" max="8711" width="8.42578125" style="1" customWidth="1"/>
    <col min="8712" max="8712" width="7" style="1" customWidth="1"/>
    <col min="8713" max="8713" width="6.42578125" style="1" customWidth="1"/>
    <col min="8714" max="8714" width="7" style="1" customWidth="1"/>
    <col min="8715" max="8715" width="6.5703125" style="1" customWidth="1"/>
    <col min="8716" max="8716" width="7" style="1" customWidth="1"/>
    <col min="8717" max="8717" width="6.42578125" style="1" customWidth="1"/>
    <col min="8718" max="8958" width="11.42578125" style="1"/>
    <col min="8959" max="8959" width="0.140625" style="1" customWidth="1"/>
    <col min="8960" max="8960" width="2.5703125" style="1" customWidth="1"/>
    <col min="8961" max="8961" width="15.42578125" style="1" customWidth="1"/>
    <col min="8962" max="8962" width="1.42578125" style="1" customWidth="1"/>
    <col min="8963" max="8963" width="29.140625" style="1" customWidth="1"/>
    <col min="8964" max="8964" width="7.85546875" style="1" bestFit="1" customWidth="1"/>
    <col min="8965" max="8965" width="7" style="1" customWidth="1"/>
    <col min="8966" max="8966" width="7.85546875" style="1" bestFit="1" customWidth="1"/>
    <col min="8967" max="8967" width="8.42578125" style="1" customWidth="1"/>
    <col min="8968" max="8968" width="7" style="1" customWidth="1"/>
    <col min="8969" max="8969" width="6.42578125" style="1" customWidth="1"/>
    <col min="8970" max="8970" width="7" style="1" customWidth="1"/>
    <col min="8971" max="8971" width="6.5703125" style="1" customWidth="1"/>
    <col min="8972" max="8972" width="7" style="1" customWidth="1"/>
    <col min="8973" max="8973" width="6.42578125" style="1" customWidth="1"/>
    <col min="8974" max="9214" width="11.42578125" style="1"/>
    <col min="9215" max="9215" width="0.140625" style="1" customWidth="1"/>
    <col min="9216" max="9216" width="2.5703125" style="1" customWidth="1"/>
    <col min="9217" max="9217" width="15.42578125" style="1" customWidth="1"/>
    <col min="9218" max="9218" width="1.42578125" style="1" customWidth="1"/>
    <col min="9219" max="9219" width="29.140625" style="1" customWidth="1"/>
    <col min="9220" max="9220" width="7.85546875" style="1" bestFit="1" customWidth="1"/>
    <col min="9221" max="9221" width="7" style="1" customWidth="1"/>
    <col min="9222" max="9222" width="7.85546875" style="1" bestFit="1" customWidth="1"/>
    <col min="9223" max="9223" width="8.42578125" style="1" customWidth="1"/>
    <col min="9224" max="9224" width="7" style="1" customWidth="1"/>
    <col min="9225" max="9225" width="6.42578125" style="1" customWidth="1"/>
    <col min="9226" max="9226" width="7" style="1" customWidth="1"/>
    <col min="9227" max="9227" width="6.5703125" style="1" customWidth="1"/>
    <col min="9228" max="9228" width="7" style="1" customWidth="1"/>
    <col min="9229" max="9229" width="6.42578125" style="1" customWidth="1"/>
    <col min="9230" max="9470" width="11.42578125" style="1"/>
    <col min="9471" max="9471" width="0.140625" style="1" customWidth="1"/>
    <col min="9472" max="9472" width="2.5703125" style="1" customWidth="1"/>
    <col min="9473" max="9473" width="15.42578125" style="1" customWidth="1"/>
    <col min="9474" max="9474" width="1.42578125" style="1" customWidth="1"/>
    <col min="9475" max="9475" width="29.140625" style="1" customWidth="1"/>
    <col min="9476" max="9476" width="7.85546875" style="1" bestFit="1" customWidth="1"/>
    <col min="9477" max="9477" width="7" style="1" customWidth="1"/>
    <col min="9478" max="9478" width="7.85546875" style="1" bestFit="1" customWidth="1"/>
    <col min="9479" max="9479" width="8.42578125" style="1" customWidth="1"/>
    <col min="9480" max="9480" width="7" style="1" customWidth="1"/>
    <col min="9481" max="9481" width="6.42578125" style="1" customWidth="1"/>
    <col min="9482" max="9482" width="7" style="1" customWidth="1"/>
    <col min="9483" max="9483" width="6.5703125" style="1" customWidth="1"/>
    <col min="9484" max="9484" width="7" style="1" customWidth="1"/>
    <col min="9485" max="9485" width="6.42578125" style="1" customWidth="1"/>
    <col min="9486" max="9726" width="11.42578125" style="1"/>
    <col min="9727" max="9727" width="0.140625" style="1" customWidth="1"/>
    <col min="9728" max="9728" width="2.5703125" style="1" customWidth="1"/>
    <col min="9729" max="9729" width="15.42578125" style="1" customWidth="1"/>
    <col min="9730" max="9730" width="1.42578125" style="1" customWidth="1"/>
    <col min="9731" max="9731" width="29.140625" style="1" customWidth="1"/>
    <col min="9732" max="9732" width="7.85546875" style="1" bestFit="1" customWidth="1"/>
    <col min="9733" max="9733" width="7" style="1" customWidth="1"/>
    <col min="9734" max="9734" width="7.85546875" style="1" bestFit="1" customWidth="1"/>
    <col min="9735" max="9735" width="8.42578125" style="1" customWidth="1"/>
    <col min="9736" max="9736" width="7" style="1" customWidth="1"/>
    <col min="9737" max="9737" width="6.42578125" style="1" customWidth="1"/>
    <col min="9738" max="9738" width="7" style="1" customWidth="1"/>
    <col min="9739" max="9739" width="6.5703125" style="1" customWidth="1"/>
    <col min="9740" max="9740" width="7" style="1" customWidth="1"/>
    <col min="9741" max="9741" width="6.42578125" style="1" customWidth="1"/>
    <col min="9742" max="9982" width="11.42578125" style="1"/>
    <col min="9983" max="9983" width="0.140625" style="1" customWidth="1"/>
    <col min="9984" max="9984" width="2.5703125" style="1" customWidth="1"/>
    <col min="9985" max="9985" width="15.42578125" style="1" customWidth="1"/>
    <col min="9986" max="9986" width="1.42578125" style="1" customWidth="1"/>
    <col min="9987" max="9987" width="29.140625" style="1" customWidth="1"/>
    <col min="9988" max="9988" width="7.85546875" style="1" bestFit="1" customWidth="1"/>
    <col min="9989" max="9989" width="7" style="1" customWidth="1"/>
    <col min="9990" max="9990" width="7.85546875" style="1" bestFit="1" customWidth="1"/>
    <col min="9991" max="9991" width="8.42578125" style="1" customWidth="1"/>
    <col min="9992" max="9992" width="7" style="1" customWidth="1"/>
    <col min="9993" max="9993" width="6.42578125" style="1" customWidth="1"/>
    <col min="9994" max="9994" width="7" style="1" customWidth="1"/>
    <col min="9995" max="9995" width="6.5703125" style="1" customWidth="1"/>
    <col min="9996" max="9996" width="7" style="1" customWidth="1"/>
    <col min="9997" max="9997" width="6.42578125" style="1" customWidth="1"/>
    <col min="9998" max="10238" width="11.42578125" style="1"/>
    <col min="10239" max="10239" width="0.140625" style="1" customWidth="1"/>
    <col min="10240" max="10240" width="2.5703125" style="1" customWidth="1"/>
    <col min="10241" max="10241" width="15.42578125" style="1" customWidth="1"/>
    <col min="10242" max="10242" width="1.42578125" style="1" customWidth="1"/>
    <col min="10243" max="10243" width="29.140625" style="1" customWidth="1"/>
    <col min="10244" max="10244" width="7.85546875" style="1" bestFit="1" customWidth="1"/>
    <col min="10245" max="10245" width="7" style="1" customWidth="1"/>
    <col min="10246" max="10246" width="7.85546875" style="1" bestFit="1" customWidth="1"/>
    <col min="10247" max="10247" width="8.42578125" style="1" customWidth="1"/>
    <col min="10248" max="10248" width="7" style="1" customWidth="1"/>
    <col min="10249" max="10249" width="6.42578125" style="1" customWidth="1"/>
    <col min="10250" max="10250" width="7" style="1" customWidth="1"/>
    <col min="10251" max="10251" width="6.5703125" style="1" customWidth="1"/>
    <col min="10252" max="10252" width="7" style="1" customWidth="1"/>
    <col min="10253" max="10253" width="6.42578125" style="1" customWidth="1"/>
    <col min="10254" max="10494" width="11.42578125" style="1"/>
    <col min="10495" max="10495" width="0.140625" style="1" customWidth="1"/>
    <col min="10496" max="10496" width="2.5703125" style="1" customWidth="1"/>
    <col min="10497" max="10497" width="15.42578125" style="1" customWidth="1"/>
    <col min="10498" max="10498" width="1.42578125" style="1" customWidth="1"/>
    <col min="10499" max="10499" width="29.140625" style="1" customWidth="1"/>
    <col min="10500" max="10500" width="7.85546875" style="1" bestFit="1" customWidth="1"/>
    <col min="10501" max="10501" width="7" style="1" customWidth="1"/>
    <col min="10502" max="10502" width="7.85546875" style="1" bestFit="1" customWidth="1"/>
    <col min="10503" max="10503" width="8.42578125" style="1" customWidth="1"/>
    <col min="10504" max="10504" width="7" style="1" customWidth="1"/>
    <col min="10505" max="10505" width="6.42578125" style="1" customWidth="1"/>
    <col min="10506" max="10506" width="7" style="1" customWidth="1"/>
    <col min="10507" max="10507" width="6.5703125" style="1" customWidth="1"/>
    <col min="10508" max="10508" width="7" style="1" customWidth="1"/>
    <col min="10509" max="10509" width="6.42578125" style="1" customWidth="1"/>
    <col min="10510" max="10750" width="11.42578125" style="1"/>
    <col min="10751" max="10751" width="0.140625" style="1" customWidth="1"/>
    <col min="10752" max="10752" width="2.5703125" style="1" customWidth="1"/>
    <col min="10753" max="10753" width="15.42578125" style="1" customWidth="1"/>
    <col min="10754" max="10754" width="1.42578125" style="1" customWidth="1"/>
    <col min="10755" max="10755" width="29.140625" style="1" customWidth="1"/>
    <col min="10756" max="10756" width="7.85546875" style="1" bestFit="1" customWidth="1"/>
    <col min="10757" max="10757" width="7" style="1" customWidth="1"/>
    <col min="10758" max="10758" width="7.85546875" style="1" bestFit="1" customWidth="1"/>
    <col min="10759" max="10759" width="8.42578125" style="1" customWidth="1"/>
    <col min="10760" max="10760" width="7" style="1" customWidth="1"/>
    <col min="10761" max="10761" width="6.42578125" style="1" customWidth="1"/>
    <col min="10762" max="10762" width="7" style="1" customWidth="1"/>
    <col min="10763" max="10763" width="6.5703125" style="1" customWidth="1"/>
    <col min="10764" max="10764" width="7" style="1" customWidth="1"/>
    <col min="10765" max="10765" width="6.42578125" style="1" customWidth="1"/>
    <col min="10766" max="11006" width="11.42578125" style="1"/>
    <col min="11007" max="11007" width="0.140625" style="1" customWidth="1"/>
    <col min="11008" max="11008" width="2.5703125" style="1" customWidth="1"/>
    <col min="11009" max="11009" width="15.42578125" style="1" customWidth="1"/>
    <col min="11010" max="11010" width="1.42578125" style="1" customWidth="1"/>
    <col min="11011" max="11011" width="29.140625" style="1" customWidth="1"/>
    <col min="11012" max="11012" width="7.85546875" style="1" bestFit="1" customWidth="1"/>
    <col min="11013" max="11013" width="7" style="1" customWidth="1"/>
    <col min="11014" max="11014" width="7.85546875" style="1" bestFit="1" customWidth="1"/>
    <col min="11015" max="11015" width="8.42578125" style="1" customWidth="1"/>
    <col min="11016" max="11016" width="7" style="1" customWidth="1"/>
    <col min="11017" max="11017" width="6.42578125" style="1" customWidth="1"/>
    <col min="11018" max="11018" width="7" style="1" customWidth="1"/>
    <col min="11019" max="11019" width="6.5703125" style="1" customWidth="1"/>
    <col min="11020" max="11020" width="7" style="1" customWidth="1"/>
    <col min="11021" max="11021" width="6.42578125" style="1" customWidth="1"/>
    <col min="11022" max="11262" width="11.42578125" style="1"/>
    <col min="11263" max="11263" width="0.140625" style="1" customWidth="1"/>
    <col min="11264" max="11264" width="2.5703125" style="1" customWidth="1"/>
    <col min="11265" max="11265" width="15.42578125" style="1" customWidth="1"/>
    <col min="11266" max="11266" width="1.42578125" style="1" customWidth="1"/>
    <col min="11267" max="11267" width="29.140625" style="1" customWidth="1"/>
    <col min="11268" max="11268" width="7.85546875" style="1" bestFit="1" customWidth="1"/>
    <col min="11269" max="11269" width="7" style="1" customWidth="1"/>
    <col min="11270" max="11270" width="7.85546875" style="1" bestFit="1" customWidth="1"/>
    <col min="11271" max="11271" width="8.42578125" style="1" customWidth="1"/>
    <col min="11272" max="11272" width="7" style="1" customWidth="1"/>
    <col min="11273" max="11273" width="6.42578125" style="1" customWidth="1"/>
    <col min="11274" max="11274" width="7" style="1" customWidth="1"/>
    <col min="11275" max="11275" width="6.5703125" style="1" customWidth="1"/>
    <col min="11276" max="11276" width="7" style="1" customWidth="1"/>
    <col min="11277" max="11277" width="6.42578125" style="1" customWidth="1"/>
    <col min="11278" max="11518" width="11.42578125" style="1"/>
    <col min="11519" max="11519" width="0.140625" style="1" customWidth="1"/>
    <col min="11520" max="11520" width="2.5703125" style="1" customWidth="1"/>
    <col min="11521" max="11521" width="15.42578125" style="1" customWidth="1"/>
    <col min="11522" max="11522" width="1.42578125" style="1" customWidth="1"/>
    <col min="11523" max="11523" width="29.140625" style="1" customWidth="1"/>
    <col min="11524" max="11524" width="7.85546875" style="1" bestFit="1" customWidth="1"/>
    <col min="11525" max="11525" width="7" style="1" customWidth="1"/>
    <col min="11526" max="11526" width="7.85546875" style="1" bestFit="1" customWidth="1"/>
    <col min="11527" max="11527" width="8.42578125" style="1" customWidth="1"/>
    <col min="11528" max="11528" width="7" style="1" customWidth="1"/>
    <col min="11529" max="11529" width="6.42578125" style="1" customWidth="1"/>
    <col min="11530" max="11530" width="7" style="1" customWidth="1"/>
    <col min="11531" max="11531" width="6.5703125" style="1" customWidth="1"/>
    <col min="11532" max="11532" width="7" style="1" customWidth="1"/>
    <col min="11533" max="11533" width="6.42578125" style="1" customWidth="1"/>
    <col min="11534" max="11774" width="11.42578125" style="1"/>
    <col min="11775" max="11775" width="0.140625" style="1" customWidth="1"/>
    <col min="11776" max="11776" width="2.5703125" style="1" customWidth="1"/>
    <col min="11777" max="11777" width="15.42578125" style="1" customWidth="1"/>
    <col min="11778" max="11778" width="1.42578125" style="1" customWidth="1"/>
    <col min="11779" max="11779" width="29.140625" style="1" customWidth="1"/>
    <col min="11780" max="11780" width="7.85546875" style="1" bestFit="1" customWidth="1"/>
    <col min="11781" max="11781" width="7" style="1" customWidth="1"/>
    <col min="11782" max="11782" width="7.85546875" style="1" bestFit="1" customWidth="1"/>
    <col min="11783" max="11783" width="8.42578125" style="1" customWidth="1"/>
    <col min="11784" max="11784" width="7" style="1" customWidth="1"/>
    <col min="11785" max="11785" width="6.42578125" style="1" customWidth="1"/>
    <col min="11786" max="11786" width="7" style="1" customWidth="1"/>
    <col min="11787" max="11787" width="6.5703125" style="1" customWidth="1"/>
    <col min="11788" max="11788" width="7" style="1" customWidth="1"/>
    <col min="11789" max="11789" width="6.42578125" style="1" customWidth="1"/>
    <col min="11790" max="12030" width="11.42578125" style="1"/>
    <col min="12031" max="12031" width="0.140625" style="1" customWidth="1"/>
    <col min="12032" max="12032" width="2.5703125" style="1" customWidth="1"/>
    <col min="12033" max="12033" width="15.42578125" style="1" customWidth="1"/>
    <col min="12034" max="12034" width="1.42578125" style="1" customWidth="1"/>
    <col min="12035" max="12035" width="29.140625" style="1" customWidth="1"/>
    <col min="12036" max="12036" width="7.85546875" style="1" bestFit="1" customWidth="1"/>
    <col min="12037" max="12037" width="7" style="1" customWidth="1"/>
    <col min="12038" max="12038" width="7.85546875" style="1" bestFit="1" customWidth="1"/>
    <col min="12039" max="12039" width="8.42578125" style="1" customWidth="1"/>
    <col min="12040" max="12040" width="7" style="1" customWidth="1"/>
    <col min="12041" max="12041" width="6.42578125" style="1" customWidth="1"/>
    <col min="12042" max="12042" width="7" style="1" customWidth="1"/>
    <col min="12043" max="12043" width="6.5703125" style="1" customWidth="1"/>
    <col min="12044" max="12044" width="7" style="1" customWidth="1"/>
    <col min="12045" max="12045" width="6.42578125" style="1" customWidth="1"/>
    <col min="12046" max="12286" width="11.42578125" style="1"/>
    <col min="12287" max="12287" width="0.140625" style="1" customWidth="1"/>
    <col min="12288" max="12288" width="2.5703125" style="1" customWidth="1"/>
    <col min="12289" max="12289" width="15.42578125" style="1" customWidth="1"/>
    <col min="12290" max="12290" width="1.42578125" style="1" customWidth="1"/>
    <col min="12291" max="12291" width="29.140625" style="1" customWidth="1"/>
    <col min="12292" max="12292" width="7.85546875" style="1" bestFit="1" customWidth="1"/>
    <col min="12293" max="12293" width="7" style="1" customWidth="1"/>
    <col min="12294" max="12294" width="7.85546875" style="1" bestFit="1" customWidth="1"/>
    <col min="12295" max="12295" width="8.42578125" style="1" customWidth="1"/>
    <col min="12296" max="12296" width="7" style="1" customWidth="1"/>
    <col min="12297" max="12297" width="6.42578125" style="1" customWidth="1"/>
    <col min="12298" max="12298" width="7" style="1" customWidth="1"/>
    <col min="12299" max="12299" width="6.5703125" style="1" customWidth="1"/>
    <col min="12300" max="12300" width="7" style="1" customWidth="1"/>
    <col min="12301" max="12301" width="6.42578125" style="1" customWidth="1"/>
    <col min="12302" max="12542" width="11.42578125" style="1"/>
    <col min="12543" max="12543" width="0.140625" style="1" customWidth="1"/>
    <col min="12544" max="12544" width="2.5703125" style="1" customWidth="1"/>
    <col min="12545" max="12545" width="15.42578125" style="1" customWidth="1"/>
    <col min="12546" max="12546" width="1.42578125" style="1" customWidth="1"/>
    <col min="12547" max="12547" width="29.140625" style="1" customWidth="1"/>
    <col min="12548" max="12548" width="7.85546875" style="1" bestFit="1" customWidth="1"/>
    <col min="12549" max="12549" width="7" style="1" customWidth="1"/>
    <col min="12550" max="12550" width="7.85546875" style="1" bestFit="1" customWidth="1"/>
    <col min="12551" max="12551" width="8.42578125" style="1" customWidth="1"/>
    <col min="12552" max="12552" width="7" style="1" customWidth="1"/>
    <col min="12553" max="12553" width="6.42578125" style="1" customWidth="1"/>
    <col min="12554" max="12554" width="7" style="1" customWidth="1"/>
    <col min="12555" max="12555" width="6.5703125" style="1" customWidth="1"/>
    <col min="12556" max="12556" width="7" style="1" customWidth="1"/>
    <col min="12557" max="12557" width="6.42578125" style="1" customWidth="1"/>
    <col min="12558" max="12798" width="11.42578125" style="1"/>
    <col min="12799" max="12799" width="0.140625" style="1" customWidth="1"/>
    <col min="12800" max="12800" width="2.5703125" style="1" customWidth="1"/>
    <col min="12801" max="12801" width="15.42578125" style="1" customWidth="1"/>
    <col min="12802" max="12802" width="1.42578125" style="1" customWidth="1"/>
    <col min="12803" max="12803" width="29.140625" style="1" customWidth="1"/>
    <col min="12804" max="12804" width="7.85546875" style="1" bestFit="1" customWidth="1"/>
    <col min="12805" max="12805" width="7" style="1" customWidth="1"/>
    <col min="12806" max="12806" width="7.85546875" style="1" bestFit="1" customWidth="1"/>
    <col min="12807" max="12807" width="8.42578125" style="1" customWidth="1"/>
    <col min="12808" max="12808" width="7" style="1" customWidth="1"/>
    <col min="12809" max="12809" width="6.42578125" style="1" customWidth="1"/>
    <col min="12810" max="12810" width="7" style="1" customWidth="1"/>
    <col min="12811" max="12811" width="6.5703125" style="1" customWidth="1"/>
    <col min="12812" max="12812" width="7" style="1" customWidth="1"/>
    <col min="12813" max="12813" width="6.42578125" style="1" customWidth="1"/>
    <col min="12814" max="13054" width="11.42578125" style="1"/>
    <col min="13055" max="13055" width="0.140625" style="1" customWidth="1"/>
    <col min="13056" max="13056" width="2.5703125" style="1" customWidth="1"/>
    <col min="13057" max="13057" width="15.42578125" style="1" customWidth="1"/>
    <col min="13058" max="13058" width="1.42578125" style="1" customWidth="1"/>
    <col min="13059" max="13059" width="29.140625" style="1" customWidth="1"/>
    <col min="13060" max="13060" width="7.85546875" style="1" bestFit="1" customWidth="1"/>
    <col min="13061" max="13061" width="7" style="1" customWidth="1"/>
    <col min="13062" max="13062" width="7.85546875" style="1" bestFit="1" customWidth="1"/>
    <col min="13063" max="13063" width="8.42578125" style="1" customWidth="1"/>
    <col min="13064" max="13064" width="7" style="1" customWidth="1"/>
    <col min="13065" max="13065" width="6.42578125" style="1" customWidth="1"/>
    <col min="13066" max="13066" width="7" style="1" customWidth="1"/>
    <col min="13067" max="13067" width="6.5703125" style="1" customWidth="1"/>
    <col min="13068" max="13068" width="7" style="1" customWidth="1"/>
    <col min="13069" max="13069" width="6.42578125" style="1" customWidth="1"/>
    <col min="13070" max="13310" width="11.42578125" style="1"/>
    <col min="13311" max="13311" width="0.140625" style="1" customWidth="1"/>
    <col min="13312" max="13312" width="2.5703125" style="1" customWidth="1"/>
    <col min="13313" max="13313" width="15.42578125" style="1" customWidth="1"/>
    <col min="13314" max="13314" width="1.42578125" style="1" customWidth="1"/>
    <col min="13315" max="13315" width="29.140625" style="1" customWidth="1"/>
    <col min="13316" max="13316" width="7.85546875" style="1" bestFit="1" customWidth="1"/>
    <col min="13317" max="13317" width="7" style="1" customWidth="1"/>
    <col min="13318" max="13318" width="7.85546875" style="1" bestFit="1" customWidth="1"/>
    <col min="13319" max="13319" width="8.42578125" style="1" customWidth="1"/>
    <col min="13320" max="13320" width="7" style="1" customWidth="1"/>
    <col min="13321" max="13321" width="6.42578125" style="1" customWidth="1"/>
    <col min="13322" max="13322" width="7" style="1" customWidth="1"/>
    <col min="13323" max="13323" width="6.5703125" style="1" customWidth="1"/>
    <col min="13324" max="13324" width="7" style="1" customWidth="1"/>
    <col min="13325" max="13325" width="6.42578125" style="1" customWidth="1"/>
    <col min="13326" max="13566" width="11.42578125" style="1"/>
    <col min="13567" max="13567" width="0.140625" style="1" customWidth="1"/>
    <col min="13568" max="13568" width="2.5703125" style="1" customWidth="1"/>
    <col min="13569" max="13569" width="15.42578125" style="1" customWidth="1"/>
    <col min="13570" max="13570" width="1.42578125" style="1" customWidth="1"/>
    <col min="13571" max="13571" width="29.140625" style="1" customWidth="1"/>
    <col min="13572" max="13572" width="7.85546875" style="1" bestFit="1" customWidth="1"/>
    <col min="13573" max="13573" width="7" style="1" customWidth="1"/>
    <col min="13574" max="13574" width="7.85546875" style="1" bestFit="1" customWidth="1"/>
    <col min="13575" max="13575" width="8.42578125" style="1" customWidth="1"/>
    <col min="13576" max="13576" width="7" style="1" customWidth="1"/>
    <col min="13577" max="13577" width="6.42578125" style="1" customWidth="1"/>
    <col min="13578" max="13578" width="7" style="1" customWidth="1"/>
    <col min="13579" max="13579" width="6.5703125" style="1" customWidth="1"/>
    <col min="13580" max="13580" width="7" style="1" customWidth="1"/>
    <col min="13581" max="13581" width="6.42578125" style="1" customWidth="1"/>
    <col min="13582" max="13822" width="11.42578125" style="1"/>
    <col min="13823" max="13823" width="0.140625" style="1" customWidth="1"/>
    <col min="13824" max="13824" width="2.5703125" style="1" customWidth="1"/>
    <col min="13825" max="13825" width="15.42578125" style="1" customWidth="1"/>
    <col min="13826" max="13826" width="1.42578125" style="1" customWidth="1"/>
    <col min="13827" max="13827" width="29.140625" style="1" customWidth="1"/>
    <col min="13828" max="13828" width="7.85546875" style="1" bestFit="1" customWidth="1"/>
    <col min="13829" max="13829" width="7" style="1" customWidth="1"/>
    <col min="13830" max="13830" width="7.85546875" style="1" bestFit="1" customWidth="1"/>
    <col min="13831" max="13831" width="8.42578125" style="1" customWidth="1"/>
    <col min="13832" max="13832" width="7" style="1" customWidth="1"/>
    <col min="13833" max="13833" width="6.42578125" style="1" customWidth="1"/>
    <col min="13834" max="13834" width="7" style="1" customWidth="1"/>
    <col min="13835" max="13835" width="6.5703125" style="1" customWidth="1"/>
    <col min="13836" max="13836" width="7" style="1" customWidth="1"/>
    <col min="13837" max="13837" width="6.42578125" style="1" customWidth="1"/>
    <col min="13838" max="14078" width="11.42578125" style="1"/>
    <col min="14079" max="14079" width="0.140625" style="1" customWidth="1"/>
    <col min="14080" max="14080" width="2.5703125" style="1" customWidth="1"/>
    <col min="14081" max="14081" width="15.42578125" style="1" customWidth="1"/>
    <col min="14082" max="14082" width="1.42578125" style="1" customWidth="1"/>
    <col min="14083" max="14083" width="29.140625" style="1" customWidth="1"/>
    <col min="14084" max="14084" width="7.85546875" style="1" bestFit="1" customWidth="1"/>
    <col min="14085" max="14085" width="7" style="1" customWidth="1"/>
    <col min="14086" max="14086" width="7.85546875" style="1" bestFit="1" customWidth="1"/>
    <col min="14087" max="14087" width="8.42578125" style="1" customWidth="1"/>
    <col min="14088" max="14088" width="7" style="1" customWidth="1"/>
    <col min="14089" max="14089" width="6.42578125" style="1" customWidth="1"/>
    <col min="14090" max="14090" width="7" style="1" customWidth="1"/>
    <col min="14091" max="14091" width="6.5703125" style="1" customWidth="1"/>
    <col min="14092" max="14092" width="7" style="1" customWidth="1"/>
    <col min="14093" max="14093" width="6.42578125" style="1" customWidth="1"/>
    <col min="14094" max="14334" width="11.42578125" style="1"/>
    <col min="14335" max="14335" width="0.140625" style="1" customWidth="1"/>
    <col min="14336" max="14336" width="2.5703125" style="1" customWidth="1"/>
    <col min="14337" max="14337" width="15.42578125" style="1" customWidth="1"/>
    <col min="14338" max="14338" width="1.42578125" style="1" customWidth="1"/>
    <col min="14339" max="14339" width="29.140625" style="1" customWidth="1"/>
    <col min="14340" max="14340" width="7.85546875" style="1" bestFit="1" customWidth="1"/>
    <col min="14341" max="14341" width="7" style="1" customWidth="1"/>
    <col min="14342" max="14342" width="7.85546875" style="1" bestFit="1" customWidth="1"/>
    <col min="14343" max="14343" width="8.42578125" style="1" customWidth="1"/>
    <col min="14344" max="14344" width="7" style="1" customWidth="1"/>
    <col min="14345" max="14345" width="6.42578125" style="1" customWidth="1"/>
    <col min="14346" max="14346" width="7" style="1" customWidth="1"/>
    <col min="14347" max="14347" width="6.5703125" style="1" customWidth="1"/>
    <col min="14348" max="14348" width="7" style="1" customWidth="1"/>
    <col min="14349" max="14349" width="6.42578125" style="1" customWidth="1"/>
    <col min="14350" max="14590" width="11.42578125" style="1"/>
    <col min="14591" max="14591" width="0.140625" style="1" customWidth="1"/>
    <col min="14592" max="14592" width="2.5703125" style="1" customWidth="1"/>
    <col min="14593" max="14593" width="15.42578125" style="1" customWidth="1"/>
    <col min="14594" max="14594" width="1.42578125" style="1" customWidth="1"/>
    <col min="14595" max="14595" width="29.140625" style="1" customWidth="1"/>
    <col min="14596" max="14596" width="7.85546875" style="1" bestFit="1" customWidth="1"/>
    <col min="14597" max="14597" width="7" style="1" customWidth="1"/>
    <col min="14598" max="14598" width="7.85546875" style="1" bestFit="1" customWidth="1"/>
    <col min="14599" max="14599" width="8.42578125" style="1" customWidth="1"/>
    <col min="14600" max="14600" width="7" style="1" customWidth="1"/>
    <col min="14601" max="14601" width="6.42578125" style="1" customWidth="1"/>
    <col min="14602" max="14602" width="7" style="1" customWidth="1"/>
    <col min="14603" max="14603" width="6.5703125" style="1" customWidth="1"/>
    <col min="14604" max="14604" width="7" style="1" customWidth="1"/>
    <col min="14605" max="14605" width="6.42578125" style="1" customWidth="1"/>
    <col min="14606" max="14846" width="11.42578125" style="1"/>
    <col min="14847" max="14847" width="0.140625" style="1" customWidth="1"/>
    <col min="14848" max="14848" width="2.5703125" style="1" customWidth="1"/>
    <col min="14849" max="14849" width="15.42578125" style="1" customWidth="1"/>
    <col min="14850" max="14850" width="1.42578125" style="1" customWidth="1"/>
    <col min="14851" max="14851" width="29.140625" style="1" customWidth="1"/>
    <col min="14852" max="14852" width="7.85546875" style="1" bestFit="1" customWidth="1"/>
    <col min="14853" max="14853" width="7" style="1" customWidth="1"/>
    <col min="14854" max="14854" width="7.85546875" style="1" bestFit="1" customWidth="1"/>
    <col min="14855" max="14855" width="8.42578125" style="1" customWidth="1"/>
    <col min="14856" max="14856" width="7" style="1" customWidth="1"/>
    <col min="14857" max="14857" width="6.42578125" style="1" customWidth="1"/>
    <col min="14858" max="14858" width="7" style="1" customWidth="1"/>
    <col min="14859" max="14859" width="6.5703125" style="1" customWidth="1"/>
    <col min="14860" max="14860" width="7" style="1" customWidth="1"/>
    <col min="14861" max="14861" width="6.42578125" style="1" customWidth="1"/>
    <col min="14862" max="15102" width="11.42578125" style="1"/>
    <col min="15103" max="15103" width="0.140625" style="1" customWidth="1"/>
    <col min="15104" max="15104" width="2.5703125" style="1" customWidth="1"/>
    <col min="15105" max="15105" width="15.42578125" style="1" customWidth="1"/>
    <col min="15106" max="15106" width="1.42578125" style="1" customWidth="1"/>
    <col min="15107" max="15107" width="29.140625" style="1" customWidth="1"/>
    <col min="15108" max="15108" width="7.85546875" style="1" bestFit="1" customWidth="1"/>
    <col min="15109" max="15109" width="7" style="1" customWidth="1"/>
    <col min="15110" max="15110" width="7.85546875" style="1" bestFit="1" customWidth="1"/>
    <col min="15111" max="15111" width="8.42578125" style="1" customWidth="1"/>
    <col min="15112" max="15112" width="7" style="1" customWidth="1"/>
    <col min="15113" max="15113" width="6.42578125" style="1" customWidth="1"/>
    <col min="15114" max="15114" width="7" style="1" customWidth="1"/>
    <col min="15115" max="15115" width="6.5703125" style="1" customWidth="1"/>
    <col min="15116" max="15116" width="7" style="1" customWidth="1"/>
    <col min="15117" max="15117" width="6.42578125" style="1" customWidth="1"/>
    <col min="15118" max="15358" width="11.42578125" style="1"/>
    <col min="15359" max="15359" width="0.140625" style="1" customWidth="1"/>
    <col min="15360" max="15360" width="2.5703125" style="1" customWidth="1"/>
    <col min="15361" max="15361" width="15.42578125" style="1" customWidth="1"/>
    <col min="15362" max="15362" width="1.42578125" style="1" customWidth="1"/>
    <col min="15363" max="15363" width="29.140625" style="1" customWidth="1"/>
    <col min="15364" max="15364" width="7.85546875" style="1" bestFit="1" customWidth="1"/>
    <col min="15365" max="15365" width="7" style="1" customWidth="1"/>
    <col min="15366" max="15366" width="7.85546875" style="1" bestFit="1" customWidth="1"/>
    <col min="15367" max="15367" width="8.42578125" style="1" customWidth="1"/>
    <col min="15368" max="15368" width="7" style="1" customWidth="1"/>
    <col min="15369" max="15369" width="6.42578125" style="1" customWidth="1"/>
    <col min="15370" max="15370" width="7" style="1" customWidth="1"/>
    <col min="15371" max="15371" width="6.5703125" style="1" customWidth="1"/>
    <col min="15372" max="15372" width="7" style="1" customWidth="1"/>
    <col min="15373" max="15373" width="6.42578125" style="1" customWidth="1"/>
    <col min="15374" max="15614" width="11.42578125" style="1"/>
    <col min="15615" max="15615" width="0.140625" style="1" customWidth="1"/>
    <col min="15616" max="15616" width="2.5703125" style="1" customWidth="1"/>
    <col min="15617" max="15617" width="15.42578125" style="1" customWidth="1"/>
    <col min="15618" max="15618" width="1.42578125" style="1" customWidth="1"/>
    <col min="15619" max="15619" width="29.140625" style="1" customWidth="1"/>
    <col min="15620" max="15620" width="7.85546875" style="1" bestFit="1" customWidth="1"/>
    <col min="15621" max="15621" width="7" style="1" customWidth="1"/>
    <col min="15622" max="15622" width="7.85546875" style="1" bestFit="1" customWidth="1"/>
    <col min="15623" max="15623" width="8.42578125" style="1" customWidth="1"/>
    <col min="15624" max="15624" width="7" style="1" customWidth="1"/>
    <col min="15625" max="15625" width="6.42578125" style="1" customWidth="1"/>
    <col min="15626" max="15626" width="7" style="1" customWidth="1"/>
    <col min="15627" max="15627" width="6.5703125" style="1" customWidth="1"/>
    <col min="15628" max="15628" width="7" style="1" customWidth="1"/>
    <col min="15629" max="15629" width="6.42578125" style="1" customWidth="1"/>
    <col min="15630" max="15870" width="11.42578125" style="1"/>
    <col min="15871" max="15871" width="0.140625" style="1" customWidth="1"/>
    <col min="15872" max="15872" width="2.5703125" style="1" customWidth="1"/>
    <col min="15873" max="15873" width="15.42578125" style="1" customWidth="1"/>
    <col min="15874" max="15874" width="1.42578125" style="1" customWidth="1"/>
    <col min="15875" max="15875" width="29.140625" style="1" customWidth="1"/>
    <col min="15876" max="15876" width="7.85546875" style="1" bestFit="1" customWidth="1"/>
    <col min="15877" max="15877" width="7" style="1" customWidth="1"/>
    <col min="15878" max="15878" width="7.85546875" style="1" bestFit="1" customWidth="1"/>
    <col min="15879" max="15879" width="8.42578125" style="1" customWidth="1"/>
    <col min="15880" max="15880" width="7" style="1" customWidth="1"/>
    <col min="15881" max="15881" width="6.42578125" style="1" customWidth="1"/>
    <col min="15882" max="15882" width="7" style="1" customWidth="1"/>
    <col min="15883" max="15883" width="6.5703125" style="1" customWidth="1"/>
    <col min="15884" max="15884" width="7" style="1" customWidth="1"/>
    <col min="15885" max="15885" width="6.42578125" style="1" customWidth="1"/>
    <col min="15886" max="16126" width="11.42578125" style="1"/>
    <col min="16127" max="16127" width="0.140625" style="1" customWidth="1"/>
    <col min="16128" max="16128" width="2.5703125" style="1" customWidth="1"/>
    <col min="16129" max="16129" width="15.42578125" style="1" customWidth="1"/>
    <col min="16130" max="16130" width="1.42578125" style="1" customWidth="1"/>
    <col min="16131" max="16131" width="29.140625" style="1" customWidth="1"/>
    <col min="16132" max="16132" width="7.85546875" style="1" bestFit="1" customWidth="1"/>
    <col min="16133" max="16133" width="7" style="1" customWidth="1"/>
    <col min="16134" max="16134" width="7.85546875" style="1" bestFit="1" customWidth="1"/>
    <col min="16135" max="16135" width="8.42578125" style="1" customWidth="1"/>
    <col min="16136" max="16136" width="7" style="1" customWidth="1"/>
    <col min="16137" max="16137" width="6.42578125" style="1" customWidth="1"/>
    <col min="16138" max="16138" width="7" style="1" customWidth="1"/>
    <col min="16139" max="16139" width="6.5703125" style="1" customWidth="1"/>
    <col min="16140" max="16140" width="7" style="1" customWidth="1"/>
    <col min="16141" max="16141" width="6.42578125" style="1" customWidth="1"/>
    <col min="16142" max="16384" width="11.42578125" style="1"/>
  </cols>
  <sheetData>
    <row r="1" spans="3:23" ht="0.75" customHeight="1"/>
    <row r="2" spans="3:23" ht="21" customHeight="1">
      <c r="M2" s="27" t="s">
        <v>19</v>
      </c>
    </row>
    <row r="3" spans="3:23" ht="15" customHeight="1">
      <c r="M3" s="26" t="str">
        <f>Indice!E3</f>
        <v>Septiembre 2025</v>
      </c>
    </row>
    <row r="4" spans="3:23" ht="20.25" customHeight="1">
      <c r="C4" s="25" t="s">
        <v>39</v>
      </c>
    </row>
    <row r="5" spans="3:23" ht="12.75" customHeight="1"/>
    <row r="6" spans="3:23" ht="13.5" customHeight="1"/>
    <row r="7" spans="3:23" s="21" customFormat="1" ht="12.75" customHeight="1">
      <c r="C7" s="237" t="s">
        <v>18</v>
      </c>
      <c r="E7" s="24"/>
      <c r="F7" s="238" t="s">
        <v>17</v>
      </c>
      <c r="G7" s="239"/>
      <c r="H7" s="238" t="s">
        <v>16</v>
      </c>
      <c r="I7" s="239"/>
      <c r="J7" s="238" t="s">
        <v>15</v>
      </c>
      <c r="K7" s="239"/>
      <c r="L7" s="238" t="s">
        <v>14</v>
      </c>
      <c r="M7" s="239"/>
    </row>
    <row r="8" spans="3:23" s="21" customFormat="1" ht="12.75" customHeight="1">
      <c r="C8" s="237"/>
      <c r="E8" s="23"/>
      <c r="F8" s="22" t="s">
        <v>13</v>
      </c>
      <c r="G8" s="93" t="str">
        <f>CONCATENATE("% ",RIGHT(M3,2),"/",RIGHT(M3,2)-1)</f>
        <v>% 25/24</v>
      </c>
      <c r="H8" s="22" t="s">
        <v>13</v>
      </c>
      <c r="I8" s="93" t="str">
        <f>G8</f>
        <v>% 25/24</v>
      </c>
      <c r="J8" s="22" t="s">
        <v>13</v>
      </c>
      <c r="K8" s="93" t="str">
        <f>I8</f>
        <v>% 25/24</v>
      </c>
      <c r="L8" s="22" t="s">
        <v>13</v>
      </c>
      <c r="M8" s="93" t="str">
        <f>K8</f>
        <v>% 25/24</v>
      </c>
    </row>
    <row r="9" spans="3:23" s="20" customFormat="1" ht="12.75" customHeight="1">
      <c r="C9" s="17"/>
      <c r="E9" s="15" t="s">
        <v>12</v>
      </c>
      <c r="F9" s="132" t="s">
        <v>3</v>
      </c>
      <c r="G9" s="12" t="s">
        <v>3</v>
      </c>
      <c r="H9" s="132">
        <f>Dat_01!Z8/1000</f>
        <v>0</v>
      </c>
      <c r="I9" s="12" t="str">
        <f>IF(Dat_01!AB8*100=-100,"-",Dat_01!AB8*100)</f>
        <v>-</v>
      </c>
      <c r="J9" s="132" t="s">
        <v>3</v>
      </c>
      <c r="K9" s="12" t="s">
        <v>3</v>
      </c>
      <c r="L9" s="132" t="s">
        <v>3</v>
      </c>
      <c r="M9" s="12" t="s">
        <v>3</v>
      </c>
      <c r="N9" s="7"/>
      <c r="O9" s="7"/>
    </row>
    <row r="10" spans="3:23" ht="12.75" customHeight="1">
      <c r="E10" s="15" t="s">
        <v>6</v>
      </c>
      <c r="F10" s="132" t="s">
        <v>3</v>
      </c>
      <c r="G10" s="12" t="s">
        <v>3</v>
      </c>
      <c r="H10" s="132">
        <f>Dat_01!Z15/1000</f>
        <v>2.5908169999999999</v>
      </c>
      <c r="I10" s="12">
        <f>Dat_01!AB15*100</f>
        <v>14.058844609999998</v>
      </c>
      <c r="J10" s="132" t="s">
        <v>3</v>
      </c>
      <c r="K10" s="12" t="s">
        <v>3</v>
      </c>
      <c r="L10" s="132" t="s">
        <v>3</v>
      </c>
      <c r="M10" s="12" t="s">
        <v>3</v>
      </c>
      <c r="N10" s="7"/>
      <c r="O10" s="7"/>
    </row>
    <row r="11" spans="3:23" ht="12.75" customHeight="1">
      <c r="E11" s="15" t="s">
        <v>5</v>
      </c>
      <c r="F11" s="132">
        <f>Dat_01!R16/1000</f>
        <v>0</v>
      </c>
      <c r="G11" s="12" t="str">
        <f>IF(Dat_01!R16=0,"-",Dat_01!T16*100)</f>
        <v>-</v>
      </c>
      <c r="H11" s="132">
        <f>Dat_01!Z16/1000</f>
        <v>165.41228000000001</v>
      </c>
      <c r="I11" s="12">
        <f>Dat_01!AB16*100</f>
        <v>11.35951056</v>
      </c>
      <c r="J11" s="132" t="s">
        <v>3</v>
      </c>
      <c r="K11" s="12" t="s">
        <v>3</v>
      </c>
      <c r="L11" s="132" t="s">
        <v>3</v>
      </c>
      <c r="M11" s="12" t="s">
        <v>3</v>
      </c>
      <c r="N11" s="7"/>
      <c r="O11" s="7"/>
    </row>
    <row r="12" spans="3:23" ht="12.75" customHeight="1">
      <c r="C12" s="10"/>
      <c r="E12" s="15" t="s">
        <v>4</v>
      </c>
      <c r="F12" s="132">
        <f>Dat_01!R17/1000</f>
        <v>47.636026999999999</v>
      </c>
      <c r="G12" s="12">
        <f>Dat_01!T17*100</f>
        <v>8.1527330199999994</v>
      </c>
      <c r="H12" s="132">
        <f>Dat_01!Z17/1000</f>
        <v>39.402819999999998</v>
      </c>
      <c r="I12" s="12">
        <f>Dat_01!AB17*100</f>
        <v>4.8811605799999995</v>
      </c>
      <c r="J12" s="132">
        <f>Dat_01!B17</f>
        <v>0</v>
      </c>
      <c r="K12" s="12" t="str">
        <f>IF(Dat_01!D17=-100%,"-",Dat_01!D17*100)</f>
        <v>-</v>
      </c>
      <c r="L12" s="132">
        <f>Dat_01!J17/1000</f>
        <v>6.051E-3</v>
      </c>
      <c r="M12" s="12">
        <f>IF(Dat_01!L17*100=-100,"-",Dat_01!L17*100)</f>
        <v>-10.65997342</v>
      </c>
      <c r="N12" s="7"/>
      <c r="O12" s="7"/>
      <c r="P12" s="14"/>
    </row>
    <row r="13" spans="3:23" ht="12.75" customHeight="1">
      <c r="C13" s="10"/>
      <c r="E13" s="13" t="s">
        <v>73</v>
      </c>
      <c r="F13" s="12">
        <f>Dat_01!R18/1000</f>
        <v>0.16319</v>
      </c>
      <c r="G13" s="12">
        <f>IF(Dat_01!T18=-100%,"-",Dat_01!T18*100)</f>
        <v>-55.267493209999998</v>
      </c>
      <c r="H13" s="132">
        <f>Dat_01!Z18/1000</f>
        <v>0.36074599999999996</v>
      </c>
      <c r="I13" s="12">
        <f>IF(Dat_01!AB18*100=-100,"-",Dat_01!AB18*100)</f>
        <v>-67.505483369999993</v>
      </c>
      <c r="J13" s="132" t="s">
        <v>3</v>
      </c>
      <c r="K13" s="12" t="s">
        <v>3</v>
      </c>
      <c r="L13" s="132" t="s">
        <v>3</v>
      </c>
      <c r="M13" s="12" t="s">
        <v>3</v>
      </c>
      <c r="N13" s="7"/>
      <c r="O13" s="7"/>
    </row>
    <row r="14" spans="3:23" ht="12.75" customHeight="1">
      <c r="C14" s="10"/>
      <c r="E14" s="13" t="s">
        <v>46</v>
      </c>
      <c r="F14" s="132">
        <f>Dat_01!R21/1000</f>
        <v>13.929979999999999</v>
      </c>
      <c r="G14" s="12">
        <f>Dat_01!T21*100</f>
        <v>-1.8747963599999999</v>
      </c>
      <c r="H14" s="132" t="s">
        <v>3</v>
      </c>
      <c r="I14" s="12" t="s">
        <v>3</v>
      </c>
      <c r="J14" s="132" t="s">
        <v>3</v>
      </c>
      <c r="K14" s="12" t="s">
        <v>3</v>
      </c>
      <c r="L14" s="132">
        <f>Dat_01!J21/1000</f>
        <v>0.34399550000000001</v>
      </c>
      <c r="M14" s="12">
        <f>Dat_01!L21*100</f>
        <v>-26.381068559999999</v>
      </c>
      <c r="N14" s="7"/>
      <c r="O14" s="7"/>
    </row>
    <row r="15" spans="3:23" ht="12.75" customHeight="1">
      <c r="C15" s="10"/>
      <c r="E15" s="144" t="s">
        <v>71</v>
      </c>
      <c r="F15" s="147">
        <f>SUM(F9:F14)</f>
        <v>61.729196999999999</v>
      </c>
      <c r="G15" s="148">
        <f>((SUM(Dat_01!R8,Dat_01!R15:R18,Dat_01!R20)/SUM(Dat_01!S8,Dat_01!S15:S18,Dat_01!S20))-1)*100</f>
        <v>5.328988403431234</v>
      </c>
      <c r="H15" s="147">
        <f>SUM(H9:H14)</f>
        <v>207.76666299999999</v>
      </c>
      <c r="I15" s="148">
        <f>((SUM(Dat_01!Z8,Dat_01!Z15:Z18,Dat_01!Z20)/SUM(Dat_01!AA8,Dat_01!AA15:AA18,Dat_01!AA20))-1)*100</f>
        <v>9.4857986465173525</v>
      </c>
      <c r="J15" s="147">
        <f>SUM(J9:J14)</f>
        <v>0</v>
      </c>
      <c r="K15" s="148" t="str">
        <f>IF(Dat_01!D17=-100%,"-",Dat_01!D17*100)</f>
        <v>-</v>
      </c>
      <c r="L15" s="147">
        <f>SUM(L9:L14)</f>
        <v>0.35004649999999998</v>
      </c>
      <c r="M15" s="148">
        <f>((SUM(Dat_01!J8,Dat_01!J15:J18,Dat_01!J20)/SUM(Dat_01!K8,Dat_01!K15:K18,Dat_01!K20))-1)*100</f>
        <v>-26.156447373417326</v>
      </c>
      <c r="N15" s="7"/>
      <c r="O15" s="7"/>
    </row>
    <row r="16" spans="3:23" ht="12.75" customHeight="1">
      <c r="C16" s="17"/>
      <c r="E16" s="15" t="s">
        <v>11</v>
      </c>
      <c r="F16" s="132">
        <f>Dat_01!R9/1000</f>
        <v>0</v>
      </c>
      <c r="G16" s="12" t="s">
        <v>3</v>
      </c>
      <c r="H16" s="132" t="s">
        <v>3</v>
      </c>
      <c r="I16" s="12" t="s">
        <v>3</v>
      </c>
      <c r="J16" s="132" t="s">
        <v>3</v>
      </c>
      <c r="K16" s="12" t="s">
        <v>3</v>
      </c>
      <c r="L16" s="132" t="s">
        <v>3</v>
      </c>
      <c r="M16" s="12" t="s">
        <v>3</v>
      </c>
      <c r="N16" s="7"/>
      <c r="O16" s="7"/>
      <c r="P16" s="6"/>
      <c r="Q16" s="6"/>
      <c r="R16" s="6"/>
      <c r="S16" s="6"/>
      <c r="T16" s="6"/>
      <c r="U16" s="6"/>
      <c r="V16" s="6"/>
      <c r="W16" s="6"/>
    </row>
    <row r="17" spans="3:23" ht="12.75" customHeight="1">
      <c r="C17" s="17"/>
      <c r="E17" s="19" t="s">
        <v>10</v>
      </c>
      <c r="F17" s="133">
        <f>SUM(Dat_01!R10,Dat_01!R14)/1000</f>
        <v>45.454339999999995</v>
      </c>
      <c r="G17" s="18">
        <f>((SUM(Dat_01!R10,Dat_01!R14)/SUM(Dat_01!S10,Dat_01!S14))-1)*100</f>
        <v>22.513823401312894</v>
      </c>
      <c r="H17" s="133">
        <f>SUM(Dat_01!Z10,Dat_01!Z14)/1000</f>
        <v>146.533942</v>
      </c>
      <c r="I17" s="18">
        <f>((SUM(Dat_01!Z10,Dat_01!Z14)/SUM(Dat_01!AA10,Dat_01!AA14))-1)*100</f>
        <v>-7.2708576327079726</v>
      </c>
      <c r="J17" s="133">
        <f>Dat_01!B10/1000</f>
        <v>17.843855999999999</v>
      </c>
      <c r="K17" s="18">
        <f>Dat_01!D10*100</f>
        <v>11.07217509</v>
      </c>
      <c r="L17" s="133">
        <f>Dat_01!J10/1000</f>
        <v>19.388259999999999</v>
      </c>
      <c r="M17" s="18">
        <f>Dat_01!L10*100</f>
        <v>11.186484609999999</v>
      </c>
      <c r="N17" s="139"/>
      <c r="O17" s="138"/>
      <c r="Q17" s="6"/>
      <c r="R17" s="6"/>
      <c r="S17" s="6"/>
      <c r="T17" s="6"/>
      <c r="U17" s="6"/>
      <c r="V17" s="6"/>
      <c r="W17" s="6"/>
    </row>
    <row r="18" spans="3:23" ht="12.75" customHeight="1">
      <c r="C18" s="17"/>
      <c r="E18" s="19" t="s">
        <v>9</v>
      </c>
      <c r="F18" s="133">
        <f>Dat_01!R11/1000</f>
        <v>39.777388999999999</v>
      </c>
      <c r="G18" s="18">
        <f>Dat_01!T11*100</f>
        <v>8.5990809200000005</v>
      </c>
      <c r="H18" s="133">
        <f>Dat_01!Z11/1000</f>
        <v>21.204673</v>
      </c>
      <c r="I18" s="18">
        <f>Dat_01!AB11*100</f>
        <v>-13.460589519999999</v>
      </c>
      <c r="J18" s="133">
        <f>Dat_01!B11/1000</f>
        <v>1.6175999999999999E-2</v>
      </c>
      <c r="K18" s="18">
        <f>IF(Dat_01!D11=-100%,"-",Dat_01!D11*100)</f>
        <v>-93.823643959999998</v>
      </c>
      <c r="L18" s="133">
        <f>Dat_01!J11/1000</f>
        <v>5.7400000000000003E-3</v>
      </c>
      <c r="M18" s="18">
        <f>IF(Dat_01!L11*100=-100,"-",Dat_01!L11*100)</f>
        <v>318.06263655999999</v>
      </c>
      <c r="N18" s="139"/>
      <c r="O18" s="16"/>
      <c r="P18" s="6"/>
      <c r="Q18" s="6"/>
      <c r="R18" s="6"/>
      <c r="S18" s="6"/>
      <c r="T18" s="6"/>
      <c r="U18" s="6"/>
      <c r="V18" s="6"/>
      <c r="W18" s="6"/>
    </row>
    <row r="19" spans="3:23" ht="12.75" customHeight="1">
      <c r="C19" s="17"/>
      <c r="E19" s="19" t="s">
        <v>8</v>
      </c>
      <c r="F19" s="133" t="s">
        <v>3</v>
      </c>
      <c r="G19" s="18" t="s">
        <v>3</v>
      </c>
      <c r="H19" s="133">
        <f>Dat_01!Z12/1000</f>
        <v>99.346721000000002</v>
      </c>
      <c r="I19" s="18">
        <f>Dat_01!AB12*100</f>
        <v>29.1909423</v>
      </c>
      <c r="J19" s="133" t="s">
        <v>3</v>
      </c>
      <c r="K19" s="133" t="s">
        <v>3</v>
      </c>
      <c r="L19" s="133" t="s">
        <v>3</v>
      </c>
      <c r="M19" s="133" t="s">
        <v>3</v>
      </c>
      <c r="N19" s="139"/>
      <c r="O19" s="16"/>
      <c r="P19" s="6"/>
      <c r="Q19" s="6"/>
      <c r="R19" s="6"/>
      <c r="S19" s="6"/>
      <c r="T19" s="6"/>
      <c r="U19" s="6"/>
      <c r="V19" s="6"/>
      <c r="W19" s="6"/>
    </row>
    <row r="20" spans="3:23" ht="12.75" customHeight="1">
      <c r="C20" s="17"/>
      <c r="E20" s="15" t="s">
        <v>7</v>
      </c>
      <c r="F20" s="132">
        <f>SUM(F17:F19)</f>
        <v>85.231729000000001</v>
      </c>
      <c r="G20" s="12">
        <f>((SUM(Dat_01!R10:R12,Dat_01!R14)/SUM(Dat_01!S10:S12,Dat_01!S14))-1)*100</f>
        <v>15.601148295008539</v>
      </c>
      <c r="H20" s="132">
        <f>SUM(H17:H19)</f>
        <v>267.08533599999998</v>
      </c>
      <c r="I20" s="12">
        <f>(H20/(H17/(I17/100+1)+H18/(I18/100+1)+H19/(I19/100+1))-1)*100</f>
        <v>2.9525510204189809</v>
      </c>
      <c r="J20" s="132">
        <f>SUM(J17:J19)</f>
        <v>17.860032</v>
      </c>
      <c r="K20" s="12">
        <f>((SUM(Dat_01!B10:B12)/SUM(Dat_01!C10:C12))-1)*100</f>
        <v>9.3895376505741766</v>
      </c>
      <c r="L20" s="132">
        <f>SUM(L17:L19)</f>
        <v>19.393999999999998</v>
      </c>
      <c r="M20" s="12">
        <f>((SUM(Dat_01!J10:J12)/SUM(Dat_01!K10:K12))-1)*100</f>
        <v>11.210645486220594</v>
      </c>
      <c r="N20" s="7"/>
      <c r="O20" s="7"/>
      <c r="P20" s="6"/>
      <c r="Q20" s="6"/>
      <c r="R20" s="6"/>
      <c r="S20" s="6"/>
      <c r="T20" s="6"/>
      <c r="U20" s="6"/>
      <c r="V20" s="6"/>
      <c r="W20" s="6"/>
    </row>
    <row r="21" spans="3:23" ht="12.75" customHeight="1">
      <c r="C21" s="17"/>
      <c r="E21" s="15" t="s">
        <v>74</v>
      </c>
      <c r="F21" s="132">
        <f>Dat_01!R13/1000</f>
        <v>274.78788700000001</v>
      </c>
      <c r="G21" s="12">
        <f>Dat_01!T13*100</f>
        <v>11.64908791</v>
      </c>
      <c r="H21" s="132">
        <f>Dat_01!Z13/1000</f>
        <v>307.60187999999999</v>
      </c>
      <c r="I21" s="12">
        <f>Dat_01!AB13*100</f>
        <v>3.8367891199999997</v>
      </c>
      <c r="J21" s="132" t="s">
        <v>3</v>
      </c>
      <c r="K21" s="12" t="s">
        <v>3</v>
      </c>
      <c r="L21" s="132" t="s">
        <v>3</v>
      </c>
      <c r="M21" s="12" t="s">
        <v>3</v>
      </c>
      <c r="N21" s="7"/>
      <c r="O21" s="7"/>
      <c r="P21" s="6"/>
      <c r="Q21" s="6"/>
      <c r="R21" s="6"/>
      <c r="S21" s="6"/>
      <c r="T21" s="6"/>
      <c r="U21" s="6"/>
      <c r="V21" s="6"/>
      <c r="W21" s="6"/>
    </row>
    <row r="22" spans="3:23" ht="12.75" customHeight="1">
      <c r="C22" s="10"/>
      <c r="E22" s="13" t="s">
        <v>23</v>
      </c>
      <c r="F22" s="132">
        <f>Dat_01!R19/1000</f>
        <v>2.336195</v>
      </c>
      <c r="G22" s="12">
        <f>Dat_01!T19*100</f>
        <v>-15.931004400000001</v>
      </c>
      <c r="H22" s="132">
        <f>Dat_01!Z19/1000</f>
        <v>0</v>
      </c>
      <c r="I22" s="12" t="s">
        <v>3</v>
      </c>
      <c r="J22" s="132" t="s">
        <v>3</v>
      </c>
      <c r="K22" s="12" t="s">
        <v>3</v>
      </c>
      <c r="L22" s="132" t="s">
        <v>3</v>
      </c>
      <c r="M22" s="12" t="s">
        <v>3</v>
      </c>
      <c r="N22" s="7"/>
      <c r="O22" s="7"/>
    </row>
    <row r="23" spans="3:23" ht="12.75" customHeight="1">
      <c r="C23" s="10"/>
      <c r="E23" s="13" t="s">
        <v>47</v>
      </c>
      <c r="F23" s="132">
        <f>Dat_01!R20/1000</f>
        <v>13.929979999999999</v>
      </c>
      <c r="G23" s="12">
        <f>Dat_01!T20*100</f>
        <v>-1.8747963599999999</v>
      </c>
      <c r="H23" s="132" t="s">
        <v>3</v>
      </c>
      <c r="I23" s="12" t="s">
        <v>3</v>
      </c>
      <c r="J23" s="132" t="s">
        <v>3</v>
      </c>
      <c r="K23" s="12" t="s">
        <v>3</v>
      </c>
      <c r="L23" s="132">
        <f>Dat_01!J20/1000</f>
        <v>0.34399550000000001</v>
      </c>
      <c r="M23" s="12">
        <f>Dat_01!L20*100</f>
        <v>-26.381068559999999</v>
      </c>
      <c r="N23" s="7"/>
      <c r="O23" s="7"/>
    </row>
    <row r="24" spans="3:23" ht="12.75" customHeight="1">
      <c r="C24" s="10"/>
      <c r="E24" s="144" t="s">
        <v>72</v>
      </c>
      <c r="F24" s="134">
        <f>SUM(F16,F20:F23)</f>
        <v>376.28579100000002</v>
      </c>
      <c r="G24" s="148">
        <f>((SUM(Dat_01!R9:R14,Dat_01!R19,Dat_01!R21)/SUM(Dat_01!S9:S14,Dat_01!S19,Dat_01!S21))-1)*100</f>
        <v>11.716639481183645</v>
      </c>
      <c r="H24" s="134">
        <f>SUM(H16,H20:H23)</f>
        <v>574.68721600000003</v>
      </c>
      <c r="I24" s="148">
        <f>((SUM(Dat_01!Z9:Z14,Dat_01!Z19,Dat_01!Z21)/SUM(Dat_01!AA9:AA14,Dat_01!AA19,Dat_01!AA21))-1)*100</f>
        <v>3.4239586179208858</v>
      </c>
      <c r="J24" s="134">
        <f>SUM(J16,J20:J23)</f>
        <v>17.860032</v>
      </c>
      <c r="K24" s="148">
        <f>((SUM(Dat_01!B9:B14,Dat_01!B19,Dat_01!B21)/SUM(Dat_01!C9:C14,Dat_01!C19,Dat_01!C21))-1)*100</f>
        <v>9.3895376505741766</v>
      </c>
      <c r="L24" s="134">
        <f>SUM(L16,L20:L23)</f>
        <v>19.737995499999997</v>
      </c>
      <c r="M24" s="148">
        <f>((SUM(Dat_01!J9:J14,Dat_01!J19,Dat_01!J21)/SUM(Dat_01!K9:K14,Dat_01!K19,Dat_01!K21))-1)*100</f>
        <v>10.229686372512671</v>
      </c>
      <c r="N24" s="7"/>
      <c r="O24" s="7"/>
    </row>
    <row r="25" spans="3:23" ht="12.75" customHeight="1">
      <c r="C25" s="10"/>
      <c r="E25" s="170" t="s">
        <v>107</v>
      </c>
      <c r="F25" s="132">
        <f>Dat_01!R23/1000</f>
        <v>0</v>
      </c>
      <c r="G25" s="12" t="str" cm="1">
        <f t="array" ref="G25">_xlfn.IFS(Dat_01!T23=0%,"-",Dat_01!T23=-100%,"-",TRUE,Dat_01!T23*100)</f>
        <v>-</v>
      </c>
      <c r="H25" s="171" t="s">
        <v>3</v>
      </c>
      <c r="I25" s="171" t="s">
        <v>3</v>
      </c>
      <c r="J25" s="171" t="s">
        <v>3</v>
      </c>
      <c r="K25" s="171" t="s">
        <v>3</v>
      </c>
      <c r="L25" s="171" t="s">
        <v>3</v>
      </c>
      <c r="M25" s="171" t="s">
        <v>3</v>
      </c>
      <c r="N25" s="7"/>
      <c r="O25" s="7"/>
    </row>
    <row r="26" spans="3:23" ht="12.75" customHeight="1">
      <c r="C26" s="10"/>
      <c r="E26" s="170" t="s">
        <v>108</v>
      </c>
      <c r="F26" s="132">
        <f>Dat_01!R24/1000</f>
        <v>-1.0429999999999999E-3</v>
      </c>
      <c r="G26" s="12">
        <f>IF(Dat_01!T24=-100%,"-",Dat_01!T24*100)</f>
        <v>-88.417545809999993</v>
      </c>
      <c r="H26" s="132" t="s">
        <v>3</v>
      </c>
      <c r="I26" s="132" t="s">
        <v>3</v>
      </c>
      <c r="J26" s="132" t="s">
        <v>3</v>
      </c>
      <c r="K26" s="132" t="s">
        <v>3</v>
      </c>
      <c r="L26" s="132" t="s">
        <v>3</v>
      </c>
      <c r="M26" s="132" t="s">
        <v>3</v>
      </c>
      <c r="N26" s="7"/>
      <c r="O26" s="7"/>
    </row>
    <row r="27" spans="3:23" ht="12.75" customHeight="1">
      <c r="C27" s="10"/>
      <c r="E27" s="144" t="s">
        <v>110</v>
      </c>
      <c r="F27" s="134">
        <f>SUM(F25:F26)</f>
        <v>-1.0429999999999999E-3</v>
      </c>
      <c r="G27" s="148">
        <f>IF(SUM(Dat_01!R23:R24)=0,"-",((SUM(Dat_01!R23:R24)/SUM(Dat_01!S23:S24))-1)*100)</f>
        <v>-87.772567409144202</v>
      </c>
      <c r="H27" s="134" t="s">
        <v>3</v>
      </c>
      <c r="I27" s="134" t="s">
        <v>3</v>
      </c>
      <c r="J27" s="134" t="s">
        <v>3</v>
      </c>
      <c r="K27" s="134" t="s">
        <v>3</v>
      </c>
      <c r="L27" s="134" t="s">
        <v>3</v>
      </c>
      <c r="M27" s="134" t="s">
        <v>3</v>
      </c>
      <c r="N27" s="7"/>
      <c r="O27" s="7"/>
    </row>
    <row r="28" spans="3:23" ht="12.75" customHeight="1">
      <c r="C28" s="11"/>
      <c r="E28" s="167" t="s">
        <v>77</v>
      </c>
      <c r="F28" s="168">
        <f>Dat_01!R25/1000</f>
        <v>166.21217300000001</v>
      </c>
      <c r="G28" s="169">
        <f>Dat_01!T25*100</f>
        <v>2.5943064100000002</v>
      </c>
      <c r="H28" s="168" t="s">
        <v>3</v>
      </c>
      <c r="I28" s="168" t="s">
        <v>3</v>
      </c>
      <c r="J28" s="168" t="s">
        <v>3</v>
      </c>
      <c r="K28" s="168" t="s">
        <v>3</v>
      </c>
      <c r="L28" s="168" t="s">
        <v>3</v>
      </c>
      <c r="M28" s="168" t="s">
        <v>3</v>
      </c>
      <c r="N28" s="7"/>
      <c r="O28" s="7"/>
    </row>
    <row r="29" spans="3:23" ht="16.350000000000001" customHeight="1">
      <c r="C29" s="10"/>
      <c r="E29" s="9" t="s">
        <v>1</v>
      </c>
      <c r="F29" s="135">
        <f>Dat_01!R26/1000</f>
        <v>604.22611800000004</v>
      </c>
      <c r="G29" s="8">
        <f>Dat_01!T26*100</f>
        <v>8.3953011400000008</v>
      </c>
      <c r="H29" s="135">
        <f>Dat_01!Z26/1000</f>
        <v>782.45387899999992</v>
      </c>
      <c r="I29" s="8">
        <f>Dat_01!AB26*100</f>
        <v>4.96714067</v>
      </c>
      <c r="J29" s="135">
        <f>Dat_01!B26/1000</f>
        <v>17.860032</v>
      </c>
      <c r="K29" s="8">
        <f>Dat_01!D26*100</f>
        <v>9.3895309499999993</v>
      </c>
      <c r="L29" s="135">
        <f>Dat_01!J26/1000</f>
        <v>20.088042000000002</v>
      </c>
      <c r="M29" s="8">
        <f>Dat_01!L26*100</f>
        <v>9.2912670899999998</v>
      </c>
      <c r="N29" s="7"/>
      <c r="O29" s="7"/>
    </row>
    <row r="30" spans="3:23" ht="16.350000000000001" customHeight="1">
      <c r="C30" s="10"/>
      <c r="E30" s="242" t="s">
        <v>48</v>
      </c>
      <c r="F30" s="242"/>
      <c r="G30" s="242"/>
      <c r="H30" s="242"/>
      <c r="I30" s="242"/>
      <c r="J30" s="242"/>
      <c r="K30" s="242"/>
      <c r="L30" s="145"/>
      <c r="M30" s="146"/>
      <c r="N30" s="7"/>
      <c r="O30" s="7"/>
    </row>
    <row r="31" spans="3:23" ht="12.75" customHeight="1">
      <c r="C31" s="3"/>
      <c r="D31" s="3"/>
      <c r="E31" s="241" t="s">
        <v>0</v>
      </c>
      <c r="F31" s="241"/>
      <c r="G31" s="241"/>
      <c r="H31" s="241"/>
      <c r="I31" s="241"/>
      <c r="J31" s="241"/>
      <c r="K31" s="241"/>
      <c r="L31" s="241"/>
      <c r="M31" s="241"/>
      <c r="O31" s="6"/>
    </row>
    <row r="32" spans="3:23" ht="12.75" customHeight="1">
      <c r="E32" s="240" t="s">
        <v>121</v>
      </c>
      <c r="F32" s="240"/>
      <c r="G32" s="240"/>
      <c r="H32" s="240"/>
      <c r="I32" s="240"/>
      <c r="J32" s="240"/>
      <c r="K32" s="240"/>
      <c r="L32" s="240"/>
      <c r="M32" s="240"/>
    </row>
    <row r="33" spans="3:13" ht="12.75" customHeight="1">
      <c r="C33" s="3"/>
      <c r="D33" s="3"/>
      <c r="E33" s="240" t="s">
        <v>75</v>
      </c>
      <c r="F33" s="240"/>
      <c r="G33" s="240"/>
      <c r="H33" s="240"/>
      <c r="I33" s="240"/>
      <c r="J33" s="240"/>
      <c r="K33" s="240"/>
      <c r="L33" s="240"/>
      <c r="M33" s="240"/>
    </row>
    <row r="34" spans="3:13" ht="12.75" customHeight="1">
      <c r="E34" s="240" t="s">
        <v>76</v>
      </c>
      <c r="F34" s="240"/>
      <c r="G34" s="240"/>
      <c r="H34" s="240"/>
      <c r="I34" s="240"/>
      <c r="J34" s="240"/>
      <c r="K34" s="240"/>
      <c r="L34" s="240"/>
      <c r="M34" s="240"/>
    </row>
    <row r="35" spans="3:13" ht="12.75" customHeight="1">
      <c r="E35" s="240"/>
      <c r="F35" s="240"/>
      <c r="G35" s="240"/>
      <c r="H35" s="240"/>
      <c r="I35" s="240"/>
      <c r="J35" s="240"/>
      <c r="K35" s="240"/>
      <c r="L35" s="240"/>
      <c r="M35" s="240"/>
    </row>
    <row r="36" spans="3:13" ht="12.75" customHeight="1">
      <c r="E36" s="5"/>
      <c r="F36" s="5"/>
      <c r="G36" s="180"/>
      <c r="H36" s="5"/>
      <c r="I36" s="5"/>
      <c r="J36" s="5"/>
      <c r="K36" s="5"/>
      <c r="L36" s="5"/>
      <c r="M36" s="5"/>
    </row>
    <row r="37" spans="3:13" ht="12.75" customHeight="1">
      <c r="E37" s="4"/>
      <c r="G37" s="3"/>
      <c r="I37" s="3"/>
      <c r="K37" s="3"/>
      <c r="L37" s="3"/>
      <c r="M37" s="3"/>
    </row>
    <row r="38" spans="3:13">
      <c r="E38" s="2"/>
      <c r="F38" s="2"/>
      <c r="G38" s="2"/>
      <c r="H38" s="2"/>
      <c r="I38" s="2"/>
      <c r="J38" s="2"/>
      <c r="K38" s="2"/>
    </row>
    <row r="39" spans="3:13">
      <c r="E39" s="2"/>
      <c r="F39" s="2"/>
      <c r="G39" s="2"/>
      <c r="H39" s="2"/>
      <c r="I39" s="2"/>
      <c r="J39" s="2"/>
      <c r="K39" s="2"/>
    </row>
    <row r="40" spans="3:13">
      <c r="E40" s="2"/>
      <c r="F40" s="2"/>
      <c r="G40" s="2"/>
      <c r="H40" s="2"/>
      <c r="I40" s="2"/>
      <c r="J40" s="2"/>
      <c r="K40" s="2"/>
    </row>
    <row r="41" spans="3:13">
      <c r="E41" s="2"/>
      <c r="F41" s="2"/>
      <c r="G41" s="2"/>
      <c r="H41" s="2"/>
      <c r="I41" s="2"/>
      <c r="J41" s="2"/>
      <c r="K41" s="2"/>
    </row>
    <row r="42" spans="3:13">
      <c r="E42" s="2"/>
      <c r="F42" s="2"/>
      <c r="G42" s="2"/>
      <c r="H42" s="2"/>
      <c r="I42" s="2"/>
      <c r="J42" s="2"/>
      <c r="K42" s="2"/>
    </row>
    <row r="43" spans="3:13">
      <c r="E43" s="2"/>
      <c r="F43" s="2"/>
      <c r="G43" s="2"/>
      <c r="H43" s="2"/>
      <c r="I43" s="2"/>
      <c r="J43" s="2"/>
      <c r="K43" s="2"/>
    </row>
    <row r="44" spans="3:13">
      <c r="E44" s="2"/>
      <c r="F44" s="2"/>
      <c r="G44" s="2"/>
      <c r="H44" s="2"/>
      <c r="I44" s="2"/>
      <c r="J44" s="2"/>
      <c r="K44" s="2"/>
    </row>
    <row r="45" spans="3:13">
      <c r="C45" s="2"/>
      <c r="D45" s="2"/>
      <c r="E45" s="2"/>
      <c r="F45" s="2"/>
      <c r="G45" s="2"/>
      <c r="H45" s="2"/>
      <c r="I45" s="2"/>
      <c r="J45" s="2"/>
      <c r="K45" s="2"/>
    </row>
    <row r="46" spans="3:13">
      <c r="C46" s="2"/>
      <c r="D46" s="2"/>
      <c r="E46" s="2"/>
      <c r="F46" s="2"/>
      <c r="G46" s="2"/>
      <c r="H46" s="2"/>
      <c r="I46" s="2"/>
      <c r="J46" s="2"/>
      <c r="K46" s="2"/>
    </row>
    <row r="47" spans="3:13">
      <c r="C47" s="2"/>
      <c r="D47" s="2"/>
      <c r="E47" s="2"/>
      <c r="F47" s="2"/>
      <c r="G47" s="2"/>
      <c r="H47" s="2"/>
      <c r="I47" s="2"/>
      <c r="J47" s="2"/>
      <c r="K47" s="2"/>
    </row>
    <row r="48" spans="3:13">
      <c r="C48" s="2"/>
      <c r="D48" s="2"/>
      <c r="E48" s="2"/>
      <c r="F48" s="2"/>
      <c r="G48" s="2"/>
      <c r="H48" s="2"/>
      <c r="I48" s="2"/>
      <c r="J48" s="2"/>
      <c r="K48" s="2"/>
    </row>
    <row r="49" spans="3:11">
      <c r="C49" s="2"/>
      <c r="D49" s="2"/>
      <c r="E49" s="2"/>
      <c r="F49" s="2"/>
      <c r="G49" s="2"/>
      <c r="H49" s="2"/>
      <c r="I49" s="2"/>
      <c r="J49" s="2"/>
      <c r="K49" s="2"/>
    </row>
    <row r="50" spans="3:11">
      <c r="C50" s="2"/>
      <c r="D50" s="2"/>
      <c r="E50" s="2"/>
      <c r="F50" s="2"/>
      <c r="G50" s="2"/>
      <c r="H50" s="2"/>
      <c r="I50" s="2"/>
      <c r="J50" s="2"/>
      <c r="K50" s="2"/>
    </row>
    <row r="51" spans="3:11">
      <c r="C51" s="2"/>
      <c r="D51" s="2"/>
      <c r="E51" s="2"/>
      <c r="F51" s="2"/>
      <c r="G51" s="2"/>
      <c r="H51" s="2"/>
      <c r="I51" s="2"/>
      <c r="J51" s="2"/>
      <c r="K51" s="2"/>
    </row>
    <row r="52" spans="3:11">
      <c r="C52" s="2"/>
      <c r="D52" s="2"/>
      <c r="E52" s="2"/>
      <c r="F52" s="2"/>
      <c r="G52" s="2"/>
      <c r="H52" s="2"/>
      <c r="I52" s="2"/>
      <c r="J52" s="2"/>
      <c r="K52" s="2"/>
    </row>
    <row r="53" spans="3:11">
      <c r="C53" s="2"/>
      <c r="D53" s="2"/>
      <c r="E53" s="2"/>
      <c r="F53" s="2"/>
      <c r="G53" s="2"/>
      <c r="H53" s="2"/>
      <c r="I53" s="2"/>
      <c r="J53" s="2"/>
      <c r="K53" s="2"/>
    </row>
    <row r="54" spans="3:11">
      <c r="C54" s="2"/>
      <c r="D54" s="2"/>
      <c r="E54" s="2"/>
      <c r="F54" s="2"/>
      <c r="G54" s="2"/>
      <c r="H54" s="2"/>
      <c r="I54" s="2"/>
      <c r="J54" s="2"/>
      <c r="K54" s="2"/>
    </row>
    <row r="55" spans="3:11">
      <c r="C55" s="2"/>
      <c r="D55" s="2"/>
      <c r="E55" s="2"/>
      <c r="F55" s="2"/>
      <c r="G55" s="2"/>
      <c r="H55" s="2"/>
      <c r="I55" s="2"/>
      <c r="J55" s="2"/>
      <c r="K55" s="2"/>
    </row>
    <row r="56" spans="3:11">
      <c r="C56" s="2"/>
      <c r="D56" s="2"/>
      <c r="E56" s="2"/>
      <c r="F56" s="2"/>
      <c r="G56" s="2"/>
      <c r="H56" s="2"/>
      <c r="I56" s="2"/>
      <c r="J56" s="2"/>
      <c r="K56" s="2"/>
    </row>
    <row r="57" spans="3:11">
      <c r="C57" s="2"/>
      <c r="D57" s="2"/>
      <c r="E57" s="2"/>
      <c r="F57" s="2"/>
      <c r="G57" s="2"/>
      <c r="H57" s="2"/>
      <c r="I57" s="2"/>
      <c r="J57" s="2"/>
      <c r="K57" s="2"/>
    </row>
    <row r="58" spans="3:11">
      <c r="C58" s="2"/>
      <c r="D58" s="2"/>
      <c r="E58" s="2"/>
      <c r="F58" s="2"/>
      <c r="G58" s="2"/>
      <c r="H58" s="2"/>
      <c r="I58" s="2"/>
      <c r="J58" s="2"/>
      <c r="K58" s="2"/>
    </row>
    <row r="59" spans="3:11">
      <c r="C59" s="2"/>
      <c r="D59" s="2"/>
      <c r="E59" s="2"/>
      <c r="F59" s="2"/>
      <c r="G59" s="2"/>
      <c r="H59" s="2"/>
      <c r="I59" s="2"/>
      <c r="J59" s="2"/>
      <c r="K59" s="2"/>
    </row>
    <row r="60" spans="3:11">
      <c r="C60" s="2"/>
      <c r="D60" s="2"/>
    </row>
  </sheetData>
  <mergeCells count="11">
    <mergeCell ref="C7:C8"/>
    <mergeCell ref="F7:G7"/>
    <mergeCell ref="H7:I7"/>
    <mergeCell ref="J7:K7"/>
    <mergeCell ref="E35:M35"/>
    <mergeCell ref="L7:M7"/>
    <mergeCell ref="E31:M31"/>
    <mergeCell ref="E32:M32"/>
    <mergeCell ref="E33:M33"/>
    <mergeCell ref="E34:M34"/>
    <mergeCell ref="E30:K30"/>
  </mergeCells>
  <printOptions horizontalCentered="1" verticalCentered="1"/>
  <pageMargins left="0.39370078740157483" right="0.75" top="0.39370078740157483" bottom="0.39370078740157483" header="0" footer="0"/>
  <pageSetup paperSize="9" scale="99" orientation="landscape" r:id="rId1"/>
  <headerFooter alignWithMargins="0"/>
  <ignoredErrors>
    <ignoredError sqref="G15 I15 G20 I24 K24 I20" formula="1"/>
    <ignoredError sqref="M20" formulaRange="1"/>
    <ignoredError sqref="K20" formula="1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5">
    <pageSetUpPr fitToPage="1"/>
  </sheetPr>
  <dimension ref="A1:L37"/>
  <sheetViews>
    <sheetView showGridLines="0" showRowColHeaders="0" zoomScaleNormal="100" workbookViewId="0">
      <selection activeCell="I26" sqref="I26"/>
    </sheetView>
  </sheetViews>
  <sheetFormatPr baseColWidth="10" defaultRowHeight="12.75"/>
  <cols>
    <col min="1" max="1" width="0.1406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85546875" style="29" customWidth="1"/>
    <col min="6" max="6" width="11.42578125" style="28"/>
    <col min="7" max="7" width="19.85546875" style="28" customWidth="1"/>
    <col min="8" max="9" width="11.42578125" style="28"/>
    <col min="10" max="10" width="11" style="28" bestFit="1" customWidth="1"/>
    <col min="11" max="253" width="11.42578125" style="28"/>
    <col min="254" max="254" width="0.140625" style="28" customWidth="1"/>
    <col min="255" max="255" width="2.5703125" style="28" customWidth="1"/>
    <col min="256" max="256" width="18.5703125" style="28" customWidth="1"/>
    <col min="257" max="257" width="1.42578125" style="28" customWidth="1"/>
    <col min="258" max="258" width="58.85546875" style="28" customWidth="1"/>
    <col min="259" max="260" width="11.42578125" style="28"/>
    <col min="261" max="261" width="2.140625" style="28" customWidth="1"/>
    <col min="262" max="262" width="11.42578125" style="28"/>
    <col min="263" max="263" width="9.5703125" style="28" customWidth="1"/>
    <col min="264" max="509" width="11.42578125" style="28"/>
    <col min="510" max="510" width="0.140625" style="28" customWidth="1"/>
    <col min="511" max="511" width="2.5703125" style="28" customWidth="1"/>
    <col min="512" max="512" width="18.5703125" style="28" customWidth="1"/>
    <col min="513" max="513" width="1.42578125" style="28" customWidth="1"/>
    <col min="514" max="514" width="58.85546875" style="28" customWidth="1"/>
    <col min="515" max="516" width="11.42578125" style="28"/>
    <col min="517" max="517" width="2.140625" style="28" customWidth="1"/>
    <col min="518" max="518" width="11.42578125" style="28"/>
    <col min="519" max="519" width="9.5703125" style="28" customWidth="1"/>
    <col min="520" max="765" width="11.42578125" style="28"/>
    <col min="766" max="766" width="0.140625" style="28" customWidth="1"/>
    <col min="767" max="767" width="2.5703125" style="28" customWidth="1"/>
    <col min="768" max="768" width="18.5703125" style="28" customWidth="1"/>
    <col min="769" max="769" width="1.42578125" style="28" customWidth="1"/>
    <col min="770" max="770" width="58.85546875" style="28" customWidth="1"/>
    <col min="771" max="772" width="11.42578125" style="28"/>
    <col min="773" max="773" width="2.140625" style="28" customWidth="1"/>
    <col min="774" max="774" width="11.42578125" style="28"/>
    <col min="775" max="775" width="9.5703125" style="28" customWidth="1"/>
    <col min="776" max="1021" width="11.42578125" style="28"/>
    <col min="1022" max="1022" width="0.140625" style="28" customWidth="1"/>
    <col min="1023" max="1023" width="2.5703125" style="28" customWidth="1"/>
    <col min="1024" max="1024" width="18.5703125" style="28" customWidth="1"/>
    <col min="1025" max="1025" width="1.42578125" style="28" customWidth="1"/>
    <col min="1026" max="1026" width="58.85546875" style="28" customWidth="1"/>
    <col min="1027" max="1028" width="11.42578125" style="28"/>
    <col min="1029" max="1029" width="2.140625" style="28" customWidth="1"/>
    <col min="1030" max="1030" width="11.42578125" style="28"/>
    <col min="1031" max="1031" width="9.5703125" style="28" customWidth="1"/>
    <col min="1032" max="1277" width="11.42578125" style="28"/>
    <col min="1278" max="1278" width="0.140625" style="28" customWidth="1"/>
    <col min="1279" max="1279" width="2.5703125" style="28" customWidth="1"/>
    <col min="1280" max="1280" width="18.5703125" style="28" customWidth="1"/>
    <col min="1281" max="1281" width="1.42578125" style="28" customWidth="1"/>
    <col min="1282" max="1282" width="58.85546875" style="28" customWidth="1"/>
    <col min="1283" max="1284" width="11.42578125" style="28"/>
    <col min="1285" max="1285" width="2.140625" style="28" customWidth="1"/>
    <col min="1286" max="1286" width="11.42578125" style="28"/>
    <col min="1287" max="1287" width="9.5703125" style="28" customWidth="1"/>
    <col min="1288" max="1533" width="11.42578125" style="28"/>
    <col min="1534" max="1534" width="0.140625" style="28" customWidth="1"/>
    <col min="1535" max="1535" width="2.5703125" style="28" customWidth="1"/>
    <col min="1536" max="1536" width="18.5703125" style="28" customWidth="1"/>
    <col min="1537" max="1537" width="1.42578125" style="28" customWidth="1"/>
    <col min="1538" max="1538" width="58.85546875" style="28" customWidth="1"/>
    <col min="1539" max="1540" width="11.42578125" style="28"/>
    <col min="1541" max="1541" width="2.140625" style="28" customWidth="1"/>
    <col min="1542" max="1542" width="11.42578125" style="28"/>
    <col min="1543" max="1543" width="9.5703125" style="28" customWidth="1"/>
    <col min="1544" max="1789" width="11.42578125" style="28"/>
    <col min="1790" max="1790" width="0.140625" style="28" customWidth="1"/>
    <col min="1791" max="1791" width="2.5703125" style="28" customWidth="1"/>
    <col min="1792" max="1792" width="18.5703125" style="28" customWidth="1"/>
    <col min="1793" max="1793" width="1.42578125" style="28" customWidth="1"/>
    <col min="1794" max="1794" width="58.85546875" style="28" customWidth="1"/>
    <col min="1795" max="1796" width="11.42578125" style="28"/>
    <col min="1797" max="1797" width="2.140625" style="28" customWidth="1"/>
    <col min="1798" max="1798" width="11.42578125" style="28"/>
    <col min="1799" max="1799" width="9.5703125" style="28" customWidth="1"/>
    <col min="1800" max="2045" width="11.42578125" style="28"/>
    <col min="2046" max="2046" width="0.140625" style="28" customWidth="1"/>
    <col min="2047" max="2047" width="2.5703125" style="28" customWidth="1"/>
    <col min="2048" max="2048" width="18.5703125" style="28" customWidth="1"/>
    <col min="2049" max="2049" width="1.42578125" style="28" customWidth="1"/>
    <col min="2050" max="2050" width="58.85546875" style="28" customWidth="1"/>
    <col min="2051" max="2052" width="11.42578125" style="28"/>
    <col min="2053" max="2053" width="2.140625" style="28" customWidth="1"/>
    <col min="2054" max="2054" width="11.42578125" style="28"/>
    <col min="2055" max="2055" width="9.5703125" style="28" customWidth="1"/>
    <col min="2056" max="2301" width="11.42578125" style="28"/>
    <col min="2302" max="2302" width="0.140625" style="28" customWidth="1"/>
    <col min="2303" max="2303" width="2.5703125" style="28" customWidth="1"/>
    <col min="2304" max="2304" width="18.5703125" style="28" customWidth="1"/>
    <col min="2305" max="2305" width="1.42578125" style="28" customWidth="1"/>
    <col min="2306" max="2306" width="58.85546875" style="28" customWidth="1"/>
    <col min="2307" max="2308" width="11.42578125" style="28"/>
    <col min="2309" max="2309" width="2.140625" style="28" customWidth="1"/>
    <col min="2310" max="2310" width="11.42578125" style="28"/>
    <col min="2311" max="2311" width="9.5703125" style="28" customWidth="1"/>
    <col min="2312" max="2557" width="11.42578125" style="28"/>
    <col min="2558" max="2558" width="0.140625" style="28" customWidth="1"/>
    <col min="2559" max="2559" width="2.5703125" style="28" customWidth="1"/>
    <col min="2560" max="2560" width="18.5703125" style="28" customWidth="1"/>
    <col min="2561" max="2561" width="1.42578125" style="28" customWidth="1"/>
    <col min="2562" max="2562" width="58.85546875" style="28" customWidth="1"/>
    <col min="2563" max="2564" width="11.42578125" style="28"/>
    <col min="2565" max="2565" width="2.140625" style="28" customWidth="1"/>
    <col min="2566" max="2566" width="11.42578125" style="28"/>
    <col min="2567" max="2567" width="9.5703125" style="28" customWidth="1"/>
    <col min="2568" max="2813" width="11.42578125" style="28"/>
    <col min="2814" max="2814" width="0.140625" style="28" customWidth="1"/>
    <col min="2815" max="2815" width="2.5703125" style="28" customWidth="1"/>
    <col min="2816" max="2816" width="18.5703125" style="28" customWidth="1"/>
    <col min="2817" max="2817" width="1.42578125" style="28" customWidth="1"/>
    <col min="2818" max="2818" width="58.85546875" style="28" customWidth="1"/>
    <col min="2819" max="2820" width="11.42578125" style="28"/>
    <col min="2821" max="2821" width="2.140625" style="28" customWidth="1"/>
    <col min="2822" max="2822" width="11.42578125" style="28"/>
    <col min="2823" max="2823" width="9.5703125" style="28" customWidth="1"/>
    <col min="2824" max="3069" width="11.42578125" style="28"/>
    <col min="3070" max="3070" width="0.140625" style="28" customWidth="1"/>
    <col min="3071" max="3071" width="2.5703125" style="28" customWidth="1"/>
    <col min="3072" max="3072" width="18.5703125" style="28" customWidth="1"/>
    <col min="3073" max="3073" width="1.42578125" style="28" customWidth="1"/>
    <col min="3074" max="3074" width="58.85546875" style="28" customWidth="1"/>
    <col min="3075" max="3076" width="11.42578125" style="28"/>
    <col min="3077" max="3077" width="2.140625" style="28" customWidth="1"/>
    <col min="3078" max="3078" width="11.42578125" style="28"/>
    <col min="3079" max="3079" width="9.5703125" style="28" customWidth="1"/>
    <col min="3080" max="3325" width="11.42578125" style="28"/>
    <col min="3326" max="3326" width="0.140625" style="28" customWidth="1"/>
    <col min="3327" max="3327" width="2.5703125" style="28" customWidth="1"/>
    <col min="3328" max="3328" width="18.5703125" style="28" customWidth="1"/>
    <col min="3329" max="3329" width="1.42578125" style="28" customWidth="1"/>
    <col min="3330" max="3330" width="58.85546875" style="28" customWidth="1"/>
    <col min="3331" max="3332" width="11.42578125" style="28"/>
    <col min="3333" max="3333" width="2.140625" style="28" customWidth="1"/>
    <col min="3334" max="3334" width="11.42578125" style="28"/>
    <col min="3335" max="3335" width="9.5703125" style="28" customWidth="1"/>
    <col min="3336" max="3581" width="11.42578125" style="28"/>
    <col min="3582" max="3582" width="0.140625" style="28" customWidth="1"/>
    <col min="3583" max="3583" width="2.5703125" style="28" customWidth="1"/>
    <col min="3584" max="3584" width="18.5703125" style="28" customWidth="1"/>
    <col min="3585" max="3585" width="1.42578125" style="28" customWidth="1"/>
    <col min="3586" max="3586" width="58.85546875" style="28" customWidth="1"/>
    <col min="3587" max="3588" width="11.42578125" style="28"/>
    <col min="3589" max="3589" width="2.140625" style="28" customWidth="1"/>
    <col min="3590" max="3590" width="11.42578125" style="28"/>
    <col min="3591" max="3591" width="9.5703125" style="28" customWidth="1"/>
    <col min="3592" max="3837" width="11.42578125" style="28"/>
    <col min="3838" max="3838" width="0.140625" style="28" customWidth="1"/>
    <col min="3839" max="3839" width="2.5703125" style="28" customWidth="1"/>
    <col min="3840" max="3840" width="18.5703125" style="28" customWidth="1"/>
    <col min="3841" max="3841" width="1.42578125" style="28" customWidth="1"/>
    <col min="3842" max="3842" width="58.85546875" style="28" customWidth="1"/>
    <col min="3843" max="3844" width="11.42578125" style="28"/>
    <col min="3845" max="3845" width="2.140625" style="28" customWidth="1"/>
    <col min="3846" max="3846" width="11.42578125" style="28"/>
    <col min="3847" max="3847" width="9.5703125" style="28" customWidth="1"/>
    <col min="3848" max="4093" width="11.42578125" style="28"/>
    <col min="4094" max="4094" width="0.140625" style="28" customWidth="1"/>
    <col min="4095" max="4095" width="2.5703125" style="28" customWidth="1"/>
    <col min="4096" max="4096" width="18.5703125" style="28" customWidth="1"/>
    <col min="4097" max="4097" width="1.42578125" style="28" customWidth="1"/>
    <col min="4098" max="4098" width="58.85546875" style="28" customWidth="1"/>
    <col min="4099" max="4100" width="11.42578125" style="28"/>
    <col min="4101" max="4101" width="2.140625" style="28" customWidth="1"/>
    <col min="4102" max="4102" width="11.42578125" style="28"/>
    <col min="4103" max="4103" width="9.5703125" style="28" customWidth="1"/>
    <col min="4104" max="4349" width="11.42578125" style="28"/>
    <col min="4350" max="4350" width="0.140625" style="28" customWidth="1"/>
    <col min="4351" max="4351" width="2.5703125" style="28" customWidth="1"/>
    <col min="4352" max="4352" width="18.5703125" style="28" customWidth="1"/>
    <col min="4353" max="4353" width="1.42578125" style="28" customWidth="1"/>
    <col min="4354" max="4354" width="58.85546875" style="28" customWidth="1"/>
    <col min="4355" max="4356" width="11.42578125" style="28"/>
    <col min="4357" max="4357" width="2.140625" style="28" customWidth="1"/>
    <col min="4358" max="4358" width="11.42578125" style="28"/>
    <col min="4359" max="4359" width="9.5703125" style="28" customWidth="1"/>
    <col min="4360" max="4605" width="11.42578125" style="28"/>
    <col min="4606" max="4606" width="0.140625" style="28" customWidth="1"/>
    <col min="4607" max="4607" width="2.5703125" style="28" customWidth="1"/>
    <col min="4608" max="4608" width="18.5703125" style="28" customWidth="1"/>
    <col min="4609" max="4609" width="1.42578125" style="28" customWidth="1"/>
    <col min="4610" max="4610" width="58.85546875" style="28" customWidth="1"/>
    <col min="4611" max="4612" width="11.42578125" style="28"/>
    <col min="4613" max="4613" width="2.140625" style="28" customWidth="1"/>
    <col min="4614" max="4614" width="11.42578125" style="28"/>
    <col min="4615" max="4615" width="9.5703125" style="28" customWidth="1"/>
    <col min="4616" max="4861" width="11.42578125" style="28"/>
    <col min="4862" max="4862" width="0.140625" style="28" customWidth="1"/>
    <col min="4863" max="4863" width="2.5703125" style="28" customWidth="1"/>
    <col min="4864" max="4864" width="18.5703125" style="28" customWidth="1"/>
    <col min="4865" max="4865" width="1.42578125" style="28" customWidth="1"/>
    <col min="4866" max="4866" width="58.85546875" style="28" customWidth="1"/>
    <col min="4867" max="4868" width="11.42578125" style="28"/>
    <col min="4869" max="4869" width="2.140625" style="28" customWidth="1"/>
    <col min="4870" max="4870" width="11.42578125" style="28"/>
    <col min="4871" max="4871" width="9.5703125" style="28" customWidth="1"/>
    <col min="4872" max="5117" width="11.42578125" style="28"/>
    <col min="5118" max="5118" width="0.140625" style="28" customWidth="1"/>
    <col min="5119" max="5119" width="2.5703125" style="28" customWidth="1"/>
    <col min="5120" max="5120" width="18.5703125" style="28" customWidth="1"/>
    <col min="5121" max="5121" width="1.42578125" style="28" customWidth="1"/>
    <col min="5122" max="5122" width="58.85546875" style="28" customWidth="1"/>
    <col min="5123" max="5124" width="11.42578125" style="28"/>
    <col min="5125" max="5125" width="2.140625" style="28" customWidth="1"/>
    <col min="5126" max="5126" width="11.42578125" style="28"/>
    <col min="5127" max="5127" width="9.5703125" style="28" customWidth="1"/>
    <col min="5128" max="5373" width="11.42578125" style="28"/>
    <col min="5374" max="5374" width="0.140625" style="28" customWidth="1"/>
    <col min="5375" max="5375" width="2.5703125" style="28" customWidth="1"/>
    <col min="5376" max="5376" width="18.5703125" style="28" customWidth="1"/>
    <col min="5377" max="5377" width="1.42578125" style="28" customWidth="1"/>
    <col min="5378" max="5378" width="58.85546875" style="28" customWidth="1"/>
    <col min="5379" max="5380" width="11.42578125" style="28"/>
    <col min="5381" max="5381" width="2.140625" style="28" customWidth="1"/>
    <col min="5382" max="5382" width="11.42578125" style="28"/>
    <col min="5383" max="5383" width="9.5703125" style="28" customWidth="1"/>
    <col min="5384" max="5629" width="11.42578125" style="28"/>
    <col min="5630" max="5630" width="0.140625" style="28" customWidth="1"/>
    <col min="5631" max="5631" width="2.5703125" style="28" customWidth="1"/>
    <col min="5632" max="5632" width="18.5703125" style="28" customWidth="1"/>
    <col min="5633" max="5633" width="1.42578125" style="28" customWidth="1"/>
    <col min="5634" max="5634" width="58.85546875" style="28" customWidth="1"/>
    <col min="5635" max="5636" width="11.42578125" style="28"/>
    <col min="5637" max="5637" width="2.140625" style="28" customWidth="1"/>
    <col min="5638" max="5638" width="11.42578125" style="28"/>
    <col min="5639" max="5639" width="9.5703125" style="28" customWidth="1"/>
    <col min="5640" max="5885" width="11.42578125" style="28"/>
    <col min="5886" max="5886" width="0.140625" style="28" customWidth="1"/>
    <col min="5887" max="5887" width="2.5703125" style="28" customWidth="1"/>
    <col min="5888" max="5888" width="18.5703125" style="28" customWidth="1"/>
    <col min="5889" max="5889" width="1.42578125" style="28" customWidth="1"/>
    <col min="5890" max="5890" width="58.85546875" style="28" customWidth="1"/>
    <col min="5891" max="5892" width="11.42578125" style="28"/>
    <col min="5893" max="5893" width="2.140625" style="28" customWidth="1"/>
    <col min="5894" max="5894" width="11.42578125" style="28"/>
    <col min="5895" max="5895" width="9.5703125" style="28" customWidth="1"/>
    <col min="5896" max="6141" width="11.42578125" style="28"/>
    <col min="6142" max="6142" width="0.140625" style="28" customWidth="1"/>
    <col min="6143" max="6143" width="2.5703125" style="28" customWidth="1"/>
    <col min="6144" max="6144" width="18.5703125" style="28" customWidth="1"/>
    <col min="6145" max="6145" width="1.42578125" style="28" customWidth="1"/>
    <col min="6146" max="6146" width="58.85546875" style="28" customWidth="1"/>
    <col min="6147" max="6148" width="11.42578125" style="28"/>
    <col min="6149" max="6149" width="2.140625" style="28" customWidth="1"/>
    <col min="6150" max="6150" width="11.42578125" style="28"/>
    <col min="6151" max="6151" width="9.5703125" style="28" customWidth="1"/>
    <col min="6152" max="6397" width="11.42578125" style="28"/>
    <col min="6398" max="6398" width="0.140625" style="28" customWidth="1"/>
    <col min="6399" max="6399" width="2.5703125" style="28" customWidth="1"/>
    <col min="6400" max="6400" width="18.5703125" style="28" customWidth="1"/>
    <col min="6401" max="6401" width="1.42578125" style="28" customWidth="1"/>
    <col min="6402" max="6402" width="58.85546875" style="28" customWidth="1"/>
    <col min="6403" max="6404" width="11.42578125" style="28"/>
    <col min="6405" max="6405" width="2.140625" style="28" customWidth="1"/>
    <col min="6406" max="6406" width="11.42578125" style="28"/>
    <col min="6407" max="6407" width="9.5703125" style="28" customWidth="1"/>
    <col min="6408" max="6653" width="11.42578125" style="28"/>
    <col min="6654" max="6654" width="0.140625" style="28" customWidth="1"/>
    <col min="6655" max="6655" width="2.5703125" style="28" customWidth="1"/>
    <col min="6656" max="6656" width="18.5703125" style="28" customWidth="1"/>
    <col min="6657" max="6657" width="1.42578125" style="28" customWidth="1"/>
    <col min="6658" max="6658" width="58.85546875" style="28" customWidth="1"/>
    <col min="6659" max="6660" width="11.42578125" style="28"/>
    <col min="6661" max="6661" width="2.140625" style="28" customWidth="1"/>
    <col min="6662" max="6662" width="11.42578125" style="28"/>
    <col min="6663" max="6663" width="9.5703125" style="28" customWidth="1"/>
    <col min="6664" max="6909" width="11.42578125" style="28"/>
    <col min="6910" max="6910" width="0.140625" style="28" customWidth="1"/>
    <col min="6911" max="6911" width="2.5703125" style="28" customWidth="1"/>
    <col min="6912" max="6912" width="18.5703125" style="28" customWidth="1"/>
    <col min="6913" max="6913" width="1.42578125" style="28" customWidth="1"/>
    <col min="6914" max="6914" width="58.85546875" style="28" customWidth="1"/>
    <col min="6915" max="6916" width="11.42578125" style="28"/>
    <col min="6917" max="6917" width="2.140625" style="28" customWidth="1"/>
    <col min="6918" max="6918" width="11.42578125" style="28"/>
    <col min="6919" max="6919" width="9.5703125" style="28" customWidth="1"/>
    <col min="6920" max="7165" width="11.42578125" style="28"/>
    <col min="7166" max="7166" width="0.140625" style="28" customWidth="1"/>
    <col min="7167" max="7167" width="2.5703125" style="28" customWidth="1"/>
    <col min="7168" max="7168" width="18.5703125" style="28" customWidth="1"/>
    <col min="7169" max="7169" width="1.42578125" style="28" customWidth="1"/>
    <col min="7170" max="7170" width="58.85546875" style="28" customWidth="1"/>
    <col min="7171" max="7172" width="11.42578125" style="28"/>
    <col min="7173" max="7173" width="2.140625" style="28" customWidth="1"/>
    <col min="7174" max="7174" width="11.42578125" style="28"/>
    <col min="7175" max="7175" width="9.5703125" style="28" customWidth="1"/>
    <col min="7176" max="7421" width="11.42578125" style="28"/>
    <col min="7422" max="7422" width="0.140625" style="28" customWidth="1"/>
    <col min="7423" max="7423" width="2.5703125" style="28" customWidth="1"/>
    <col min="7424" max="7424" width="18.5703125" style="28" customWidth="1"/>
    <col min="7425" max="7425" width="1.42578125" style="28" customWidth="1"/>
    <col min="7426" max="7426" width="58.85546875" style="28" customWidth="1"/>
    <col min="7427" max="7428" width="11.42578125" style="28"/>
    <col min="7429" max="7429" width="2.140625" style="28" customWidth="1"/>
    <col min="7430" max="7430" width="11.42578125" style="28"/>
    <col min="7431" max="7431" width="9.5703125" style="28" customWidth="1"/>
    <col min="7432" max="7677" width="11.42578125" style="28"/>
    <col min="7678" max="7678" width="0.140625" style="28" customWidth="1"/>
    <col min="7679" max="7679" width="2.5703125" style="28" customWidth="1"/>
    <col min="7680" max="7680" width="18.5703125" style="28" customWidth="1"/>
    <col min="7681" max="7681" width="1.42578125" style="28" customWidth="1"/>
    <col min="7682" max="7682" width="58.85546875" style="28" customWidth="1"/>
    <col min="7683" max="7684" width="11.42578125" style="28"/>
    <col min="7685" max="7685" width="2.140625" style="28" customWidth="1"/>
    <col min="7686" max="7686" width="11.42578125" style="28"/>
    <col min="7687" max="7687" width="9.5703125" style="28" customWidth="1"/>
    <col min="7688" max="7933" width="11.42578125" style="28"/>
    <col min="7934" max="7934" width="0.140625" style="28" customWidth="1"/>
    <col min="7935" max="7935" width="2.5703125" style="28" customWidth="1"/>
    <col min="7936" max="7936" width="18.5703125" style="28" customWidth="1"/>
    <col min="7937" max="7937" width="1.42578125" style="28" customWidth="1"/>
    <col min="7938" max="7938" width="58.85546875" style="28" customWidth="1"/>
    <col min="7939" max="7940" width="11.42578125" style="28"/>
    <col min="7941" max="7941" width="2.140625" style="28" customWidth="1"/>
    <col min="7942" max="7942" width="11.42578125" style="28"/>
    <col min="7943" max="7943" width="9.5703125" style="28" customWidth="1"/>
    <col min="7944" max="8189" width="11.42578125" style="28"/>
    <col min="8190" max="8190" width="0.140625" style="28" customWidth="1"/>
    <col min="8191" max="8191" width="2.5703125" style="28" customWidth="1"/>
    <col min="8192" max="8192" width="18.5703125" style="28" customWidth="1"/>
    <col min="8193" max="8193" width="1.42578125" style="28" customWidth="1"/>
    <col min="8194" max="8194" width="58.85546875" style="28" customWidth="1"/>
    <col min="8195" max="8196" width="11.42578125" style="28"/>
    <col min="8197" max="8197" width="2.140625" style="28" customWidth="1"/>
    <col min="8198" max="8198" width="11.42578125" style="28"/>
    <col min="8199" max="8199" width="9.5703125" style="28" customWidth="1"/>
    <col min="8200" max="8445" width="11.42578125" style="28"/>
    <col min="8446" max="8446" width="0.140625" style="28" customWidth="1"/>
    <col min="8447" max="8447" width="2.5703125" style="28" customWidth="1"/>
    <col min="8448" max="8448" width="18.5703125" style="28" customWidth="1"/>
    <col min="8449" max="8449" width="1.42578125" style="28" customWidth="1"/>
    <col min="8450" max="8450" width="58.85546875" style="28" customWidth="1"/>
    <col min="8451" max="8452" width="11.42578125" style="28"/>
    <col min="8453" max="8453" width="2.140625" style="28" customWidth="1"/>
    <col min="8454" max="8454" width="11.42578125" style="28"/>
    <col min="8455" max="8455" width="9.5703125" style="28" customWidth="1"/>
    <col min="8456" max="8701" width="11.42578125" style="28"/>
    <col min="8702" max="8702" width="0.140625" style="28" customWidth="1"/>
    <col min="8703" max="8703" width="2.5703125" style="28" customWidth="1"/>
    <col min="8704" max="8704" width="18.5703125" style="28" customWidth="1"/>
    <col min="8705" max="8705" width="1.42578125" style="28" customWidth="1"/>
    <col min="8706" max="8706" width="58.85546875" style="28" customWidth="1"/>
    <col min="8707" max="8708" width="11.42578125" style="28"/>
    <col min="8709" max="8709" width="2.140625" style="28" customWidth="1"/>
    <col min="8710" max="8710" width="11.42578125" style="28"/>
    <col min="8711" max="8711" width="9.5703125" style="28" customWidth="1"/>
    <col min="8712" max="8957" width="11.42578125" style="28"/>
    <col min="8958" max="8958" width="0.140625" style="28" customWidth="1"/>
    <col min="8959" max="8959" width="2.5703125" style="28" customWidth="1"/>
    <col min="8960" max="8960" width="18.5703125" style="28" customWidth="1"/>
    <col min="8961" max="8961" width="1.42578125" style="28" customWidth="1"/>
    <col min="8962" max="8962" width="58.85546875" style="28" customWidth="1"/>
    <col min="8963" max="8964" width="11.42578125" style="28"/>
    <col min="8965" max="8965" width="2.140625" style="28" customWidth="1"/>
    <col min="8966" max="8966" width="11.42578125" style="28"/>
    <col min="8967" max="8967" width="9.5703125" style="28" customWidth="1"/>
    <col min="8968" max="9213" width="11.42578125" style="28"/>
    <col min="9214" max="9214" width="0.140625" style="28" customWidth="1"/>
    <col min="9215" max="9215" width="2.5703125" style="28" customWidth="1"/>
    <col min="9216" max="9216" width="18.5703125" style="28" customWidth="1"/>
    <col min="9217" max="9217" width="1.42578125" style="28" customWidth="1"/>
    <col min="9218" max="9218" width="58.85546875" style="28" customWidth="1"/>
    <col min="9219" max="9220" width="11.42578125" style="28"/>
    <col min="9221" max="9221" width="2.140625" style="28" customWidth="1"/>
    <col min="9222" max="9222" width="11.42578125" style="28"/>
    <col min="9223" max="9223" width="9.5703125" style="28" customWidth="1"/>
    <col min="9224" max="9469" width="11.42578125" style="28"/>
    <col min="9470" max="9470" width="0.140625" style="28" customWidth="1"/>
    <col min="9471" max="9471" width="2.5703125" style="28" customWidth="1"/>
    <col min="9472" max="9472" width="18.5703125" style="28" customWidth="1"/>
    <col min="9473" max="9473" width="1.42578125" style="28" customWidth="1"/>
    <col min="9474" max="9474" width="58.85546875" style="28" customWidth="1"/>
    <col min="9475" max="9476" width="11.42578125" style="28"/>
    <col min="9477" max="9477" width="2.140625" style="28" customWidth="1"/>
    <col min="9478" max="9478" width="11.42578125" style="28"/>
    <col min="9479" max="9479" width="9.5703125" style="28" customWidth="1"/>
    <col min="9480" max="9725" width="11.42578125" style="28"/>
    <col min="9726" max="9726" width="0.140625" style="28" customWidth="1"/>
    <col min="9727" max="9727" width="2.5703125" style="28" customWidth="1"/>
    <col min="9728" max="9728" width="18.5703125" style="28" customWidth="1"/>
    <col min="9729" max="9729" width="1.42578125" style="28" customWidth="1"/>
    <col min="9730" max="9730" width="58.85546875" style="28" customWidth="1"/>
    <col min="9731" max="9732" width="11.42578125" style="28"/>
    <col min="9733" max="9733" width="2.140625" style="28" customWidth="1"/>
    <col min="9734" max="9734" width="11.42578125" style="28"/>
    <col min="9735" max="9735" width="9.5703125" style="28" customWidth="1"/>
    <col min="9736" max="9981" width="11.42578125" style="28"/>
    <col min="9982" max="9982" width="0.140625" style="28" customWidth="1"/>
    <col min="9983" max="9983" width="2.5703125" style="28" customWidth="1"/>
    <col min="9984" max="9984" width="18.5703125" style="28" customWidth="1"/>
    <col min="9985" max="9985" width="1.42578125" style="28" customWidth="1"/>
    <col min="9986" max="9986" width="58.85546875" style="28" customWidth="1"/>
    <col min="9987" max="9988" width="11.42578125" style="28"/>
    <col min="9989" max="9989" width="2.140625" style="28" customWidth="1"/>
    <col min="9990" max="9990" width="11.42578125" style="28"/>
    <col min="9991" max="9991" width="9.5703125" style="28" customWidth="1"/>
    <col min="9992" max="10237" width="11.42578125" style="28"/>
    <col min="10238" max="10238" width="0.140625" style="28" customWidth="1"/>
    <col min="10239" max="10239" width="2.5703125" style="28" customWidth="1"/>
    <col min="10240" max="10240" width="18.5703125" style="28" customWidth="1"/>
    <col min="10241" max="10241" width="1.42578125" style="28" customWidth="1"/>
    <col min="10242" max="10242" width="58.85546875" style="28" customWidth="1"/>
    <col min="10243" max="10244" width="11.42578125" style="28"/>
    <col min="10245" max="10245" width="2.140625" style="28" customWidth="1"/>
    <col min="10246" max="10246" width="11.42578125" style="28"/>
    <col min="10247" max="10247" width="9.5703125" style="28" customWidth="1"/>
    <col min="10248" max="10493" width="11.42578125" style="28"/>
    <col min="10494" max="10494" width="0.140625" style="28" customWidth="1"/>
    <col min="10495" max="10495" width="2.5703125" style="28" customWidth="1"/>
    <col min="10496" max="10496" width="18.5703125" style="28" customWidth="1"/>
    <col min="10497" max="10497" width="1.42578125" style="28" customWidth="1"/>
    <col min="10498" max="10498" width="58.85546875" style="28" customWidth="1"/>
    <col min="10499" max="10500" width="11.42578125" style="28"/>
    <col min="10501" max="10501" width="2.140625" style="28" customWidth="1"/>
    <col min="10502" max="10502" width="11.42578125" style="28"/>
    <col min="10503" max="10503" width="9.5703125" style="28" customWidth="1"/>
    <col min="10504" max="10749" width="11.42578125" style="28"/>
    <col min="10750" max="10750" width="0.140625" style="28" customWidth="1"/>
    <col min="10751" max="10751" width="2.5703125" style="28" customWidth="1"/>
    <col min="10752" max="10752" width="18.5703125" style="28" customWidth="1"/>
    <col min="10753" max="10753" width="1.42578125" style="28" customWidth="1"/>
    <col min="10754" max="10754" width="58.85546875" style="28" customWidth="1"/>
    <col min="10755" max="10756" width="11.42578125" style="28"/>
    <col min="10757" max="10757" width="2.140625" style="28" customWidth="1"/>
    <col min="10758" max="10758" width="11.42578125" style="28"/>
    <col min="10759" max="10759" width="9.5703125" style="28" customWidth="1"/>
    <col min="10760" max="11005" width="11.42578125" style="28"/>
    <col min="11006" max="11006" width="0.140625" style="28" customWidth="1"/>
    <col min="11007" max="11007" width="2.5703125" style="28" customWidth="1"/>
    <col min="11008" max="11008" width="18.5703125" style="28" customWidth="1"/>
    <col min="11009" max="11009" width="1.42578125" style="28" customWidth="1"/>
    <col min="11010" max="11010" width="58.85546875" style="28" customWidth="1"/>
    <col min="11011" max="11012" width="11.42578125" style="28"/>
    <col min="11013" max="11013" width="2.140625" style="28" customWidth="1"/>
    <col min="11014" max="11014" width="11.42578125" style="28"/>
    <col min="11015" max="11015" width="9.5703125" style="28" customWidth="1"/>
    <col min="11016" max="11261" width="11.42578125" style="28"/>
    <col min="11262" max="11262" width="0.140625" style="28" customWidth="1"/>
    <col min="11263" max="11263" width="2.5703125" style="28" customWidth="1"/>
    <col min="11264" max="11264" width="18.5703125" style="28" customWidth="1"/>
    <col min="11265" max="11265" width="1.42578125" style="28" customWidth="1"/>
    <col min="11266" max="11266" width="58.85546875" style="28" customWidth="1"/>
    <col min="11267" max="11268" width="11.42578125" style="28"/>
    <col min="11269" max="11269" width="2.140625" style="28" customWidth="1"/>
    <col min="11270" max="11270" width="11.42578125" style="28"/>
    <col min="11271" max="11271" width="9.5703125" style="28" customWidth="1"/>
    <col min="11272" max="11517" width="11.42578125" style="28"/>
    <col min="11518" max="11518" width="0.140625" style="28" customWidth="1"/>
    <col min="11519" max="11519" width="2.5703125" style="28" customWidth="1"/>
    <col min="11520" max="11520" width="18.5703125" style="28" customWidth="1"/>
    <col min="11521" max="11521" width="1.42578125" style="28" customWidth="1"/>
    <col min="11522" max="11522" width="58.85546875" style="28" customWidth="1"/>
    <col min="11523" max="11524" width="11.42578125" style="28"/>
    <col min="11525" max="11525" width="2.140625" style="28" customWidth="1"/>
    <col min="11526" max="11526" width="11.42578125" style="28"/>
    <col min="11527" max="11527" width="9.5703125" style="28" customWidth="1"/>
    <col min="11528" max="11773" width="11.42578125" style="28"/>
    <col min="11774" max="11774" width="0.140625" style="28" customWidth="1"/>
    <col min="11775" max="11775" width="2.5703125" style="28" customWidth="1"/>
    <col min="11776" max="11776" width="18.5703125" style="28" customWidth="1"/>
    <col min="11777" max="11777" width="1.42578125" style="28" customWidth="1"/>
    <col min="11778" max="11778" width="58.85546875" style="28" customWidth="1"/>
    <col min="11779" max="11780" width="11.42578125" style="28"/>
    <col min="11781" max="11781" width="2.140625" style="28" customWidth="1"/>
    <col min="11782" max="11782" width="11.42578125" style="28"/>
    <col min="11783" max="11783" width="9.5703125" style="28" customWidth="1"/>
    <col min="11784" max="12029" width="11.42578125" style="28"/>
    <col min="12030" max="12030" width="0.140625" style="28" customWidth="1"/>
    <col min="12031" max="12031" width="2.5703125" style="28" customWidth="1"/>
    <col min="12032" max="12032" width="18.5703125" style="28" customWidth="1"/>
    <col min="12033" max="12033" width="1.42578125" style="28" customWidth="1"/>
    <col min="12034" max="12034" width="58.85546875" style="28" customWidth="1"/>
    <col min="12035" max="12036" width="11.42578125" style="28"/>
    <col min="12037" max="12037" width="2.140625" style="28" customWidth="1"/>
    <col min="12038" max="12038" width="11.42578125" style="28"/>
    <col min="12039" max="12039" width="9.5703125" style="28" customWidth="1"/>
    <col min="12040" max="12285" width="11.42578125" style="28"/>
    <col min="12286" max="12286" width="0.140625" style="28" customWidth="1"/>
    <col min="12287" max="12287" width="2.5703125" style="28" customWidth="1"/>
    <col min="12288" max="12288" width="18.5703125" style="28" customWidth="1"/>
    <col min="12289" max="12289" width="1.42578125" style="28" customWidth="1"/>
    <col min="12290" max="12290" width="58.85546875" style="28" customWidth="1"/>
    <col min="12291" max="12292" width="11.42578125" style="28"/>
    <col min="12293" max="12293" width="2.140625" style="28" customWidth="1"/>
    <col min="12294" max="12294" width="11.42578125" style="28"/>
    <col min="12295" max="12295" width="9.5703125" style="28" customWidth="1"/>
    <col min="12296" max="12541" width="11.42578125" style="28"/>
    <col min="12542" max="12542" width="0.140625" style="28" customWidth="1"/>
    <col min="12543" max="12543" width="2.5703125" style="28" customWidth="1"/>
    <col min="12544" max="12544" width="18.5703125" style="28" customWidth="1"/>
    <col min="12545" max="12545" width="1.42578125" style="28" customWidth="1"/>
    <col min="12546" max="12546" width="58.85546875" style="28" customWidth="1"/>
    <col min="12547" max="12548" width="11.42578125" style="28"/>
    <col min="12549" max="12549" width="2.140625" style="28" customWidth="1"/>
    <col min="12550" max="12550" width="11.42578125" style="28"/>
    <col min="12551" max="12551" width="9.5703125" style="28" customWidth="1"/>
    <col min="12552" max="12797" width="11.42578125" style="28"/>
    <col min="12798" max="12798" width="0.140625" style="28" customWidth="1"/>
    <col min="12799" max="12799" width="2.5703125" style="28" customWidth="1"/>
    <col min="12800" max="12800" width="18.5703125" style="28" customWidth="1"/>
    <col min="12801" max="12801" width="1.42578125" style="28" customWidth="1"/>
    <col min="12802" max="12802" width="58.85546875" style="28" customWidth="1"/>
    <col min="12803" max="12804" width="11.42578125" style="28"/>
    <col min="12805" max="12805" width="2.140625" style="28" customWidth="1"/>
    <col min="12806" max="12806" width="11.42578125" style="28"/>
    <col min="12807" max="12807" width="9.5703125" style="28" customWidth="1"/>
    <col min="12808" max="13053" width="11.42578125" style="28"/>
    <col min="13054" max="13054" width="0.140625" style="28" customWidth="1"/>
    <col min="13055" max="13055" width="2.5703125" style="28" customWidth="1"/>
    <col min="13056" max="13056" width="18.5703125" style="28" customWidth="1"/>
    <col min="13057" max="13057" width="1.42578125" style="28" customWidth="1"/>
    <col min="13058" max="13058" width="58.85546875" style="28" customWidth="1"/>
    <col min="13059" max="13060" width="11.42578125" style="28"/>
    <col min="13061" max="13061" width="2.140625" style="28" customWidth="1"/>
    <col min="13062" max="13062" width="11.42578125" style="28"/>
    <col min="13063" max="13063" width="9.5703125" style="28" customWidth="1"/>
    <col min="13064" max="13309" width="11.42578125" style="28"/>
    <col min="13310" max="13310" width="0.140625" style="28" customWidth="1"/>
    <col min="13311" max="13311" width="2.5703125" style="28" customWidth="1"/>
    <col min="13312" max="13312" width="18.5703125" style="28" customWidth="1"/>
    <col min="13313" max="13313" width="1.42578125" style="28" customWidth="1"/>
    <col min="13314" max="13314" width="58.85546875" style="28" customWidth="1"/>
    <col min="13315" max="13316" width="11.42578125" style="28"/>
    <col min="13317" max="13317" width="2.140625" style="28" customWidth="1"/>
    <col min="13318" max="13318" width="11.42578125" style="28"/>
    <col min="13319" max="13319" width="9.5703125" style="28" customWidth="1"/>
    <col min="13320" max="13565" width="11.42578125" style="28"/>
    <col min="13566" max="13566" width="0.140625" style="28" customWidth="1"/>
    <col min="13567" max="13567" width="2.5703125" style="28" customWidth="1"/>
    <col min="13568" max="13568" width="18.5703125" style="28" customWidth="1"/>
    <col min="13569" max="13569" width="1.42578125" style="28" customWidth="1"/>
    <col min="13570" max="13570" width="58.85546875" style="28" customWidth="1"/>
    <col min="13571" max="13572" width="11.42578125" style="28"/>
    <col min="13573" max="13573" width="2.140625" style="28" customWidth="1"/>
    <col min="13574" max="13574" width="11.42578125" style="28"/>
    <col min="13575" max="13575" width="9.5703125" style="28" customWidth="1"/>
    <col min="13576" max="13821" width="11.42578125" style="28"/>
    <col min="13822" max="13822" width="0.140625" style="28" customWidth="1"/>
    <col min="13823" max="13823" width="2.5703125" style="28" customWidth="1"/>
    <col min="13824" max="13824" width="18.5703125" style="28" customWidth="1"/>
    <col min="13825" max="13825" width="1.42578125" style="28" customWidth="1"/>
    <col min="13826" max="13826" width="58.85546875" style="28" customWidth="1"/>
    <col min="13827" max="13828" width="11.42578125" style="28"/>
    <col min="13829" max="13829" width="2.140625" style="28" customWidth="1"/>
    <col min="13830" max="13830" width="11.42578125" style="28"/>
    <col min="13831" max="13831" width="9.5703125" style="28" customWidth="1"/>
    <col min="13832" max="14077" width="11.42578125" style="28"/>
    <col min="14078" max="14078" width="0.140625" style="28" customWidth="1"/>
    <col min="14079" max="14079" width="2.5703125" style="28" customWidth="1"/>
    <col min="14080" max="14080" width="18.5703125" style="28" customWidth="1"/>
    <col min="14081" max="14081" width="1.42578125" style="28" customWidth="1"/>
    <col min="14082" max="14082" width="58.85546875" style="28" customWidth="1"/>
    <col min="14083" max="14084" width="11.42578125" style="28"/>
    <col min="14085" max="14085" width="2.140625" style="28" customWidth="1"/>
    <col min="14086" max="14086" width="11.42578125" style="28"/>
    <col min="14087" max="14087" width="9.5703125" style="28" customWidth="1"/>
    <col min="14088" max="14333" width="11.42578125" style="28"/>
    <col min="14334" max="14334" width="0.140625" style="28" customWidth="1"/>
    <col min="14335" max="14335" width="2.5703125" style="28" customWidth="1"/>
    <col min="14336" max="14336" width="18.5703125" style="28" customWidth="1"/>
    <col min="14337" max="14337" width="1.42578125" style="28" customWidth="1"/>
    <col min="14338" max="14338" width="58.85546875" style="28" customWidth="1"/>
    <col min="14339" max="14340" width="11.42578125" style="28"/>
    <col min="14341" max="14341" width="2.140625" style="28" customWidth="1"/>
    <col min="14342" max="14342" width="11.42578125" style="28"/>
    <col min="14343" max="14343" width="9.5703125" style="28" customWidth="1"/>
    <col min="14344" max="14589" width="11.42578125" style="28"/>
    <col min="14590" max="14590" width="0.140625" style="28" customWidth="1"/>
    <col min="14591" max="14591" width="2.5703125" style="28" customWidth="1"/>
    <col min="14592" max="14592" width="18.5703125" style="28" customWidth="1"/>
    <col min="14593" max="14593" width="1.42578125" style="28" customWidth="1"/>
    <col min="14594" max="14594" width="58.85546875" style="28" customWidth="1"/>
    <col min="14595" max="14596" width="11.42578125" style="28"/>
    <col min="14597" max="14597" width="2.140625" style="28" customWidth="1"/>
    <col min="14598" max="14598" width="11.42578125" style="28"/>
    <col min="14599" max="14599" width="9.5703125" style="28" customWidth="1"/>
    <col min="14600" max="14845" width="11.42578125" style="28"/>
    <col min="14846" max="14846" width="0.140625" style="28" customWidth="1"/>
    <col min="14847" max="14847" width="2.5703125" style="28" customWidth="1"/>
    <col min="14848" max="14848" width="18.5703125" style="28" customWidth="1"/>
    <col min="14849" max="14849" width="1.42578125" style="28" customWidth="1"/>
    <col min="14850" max="14850" width="58.85546875" style="28" customWidth="1"/>
    <col min="14851" max="14852" width="11.42578125" style="28"/>
    <col min="14853" max="14853" width="2.140625" style="28" customWidth="1"/>
    <col min="14854" max="14854" width="11.42578125" style="28"/>
    <col min="14855" max="14855" width="9.5703125" style="28" customWidth="1"/>
    <col min="14856" max="15101" width="11.42578125" style="28"/>
    <col min="15102" max="15102" width="0.140625" style="28" customWidth="1"/>
    <col min="15103" max="15103" width="2.5703125" style="28" customWidth="1"/>
    <col min="15104" max="15104" width="18.5703125" style="28" customWidth="1"/>
    <col min="15105" max="15105" width="1.42578125" style="28" customWidth="1"/>
    <col min="15106" max="15106" width="58.85546875" style="28" customWidth="1"/>
    <col min="15107" max="15108" width="11.42578125" style="28"/>
    <col min="15109" max="15109" width="2.140625" style="28" customWidth="1"/>
    <col min="15110" max="15110" width="11.42578125" style="28"/>
    <col min="15111" max="15111" width="9.5703125" style="28" customWidth="1"/>
    <col min="15112" max="15357" width="11.42578125" style="28"/>
    <col min="15358" max="15358" width="0.140625" style="28" customWidth="1"/>
    <col min="15359" max="15359" width="2.5703125" style="28" customWidth="1"/>
    <col min="15360" max="15360" width="18.5703125" style="28" customWidth="1"/>
    <col min="15361" max="15361" width="1.42578125" style="28" customWidth="1"/>
    <col min="15362" max="15362" width="58.85546875" style="28" customWidth="1"/>
    <col min="15363" max="15364" width="11.42578125" style="28"/>
    <col min="15365" max="15365" width="2.140625" style="28" customWidth="1"/>
    <col min="15366" max="15366" width="11.42578125" style="28"/>
    <col min="15367" max="15367" width="9.5703125" style="28" customWidth="1"/>
    <col min="15368" max="15613" width="11.42578125" style="28"/>
    <col min="15614" max="15614" width="0.140625" style="28" customWidth="1"/>
    <col min="15615" max="15615" width="2.5703125" style="28" customWidth="1"/>
    <col min="15616" max="15616" width="18.5703125" style="28" customWidth="1"/>
    <col min="15617" max="15617" width="1.42578125" style="28" customWidth="1"/>
    <col min="15618" max="15618" width="58.85546875" style="28" customWidth="1"/>
    <col min="15619" max="15620" width="11.42578125" style="28"/>
    <col min="15621" max="15621" width="2.140625" style="28" customWidth="1"/>
    <col min="15622" max="15622" width="11.42578125" style="28"/>
    <col min="15623" max="15623" width="9.5703125" style="28" customWidth="1"/>
    <col min="15624" max="15869" width="11.42578125" style="28"/>
    <col min="15870" max="15870" width="0.140625" style="28" customWidth="1"/>
    <col min="15871" max="15871" width="2.5703125" style="28" customWidth="1"/>
    <col min="15872" max="15872" width="18.5703125" style="28" customWidth="1"/>
    <col min="15873" max="15873" width="1.42578125" style="28" customWidth="1"/>
    <col min="15874" max="15874" width="58.85546875" style="28" customWidth="1"/>
    <col min="15875" max="15876" width="11.42578125" style="28"/>
    <col min="15877" max="15877" width="2.140625" style="28" customWidth="1"/>
    <col min="15878" max="15878" width="11.42578125" style="28"/>
    <col min="15879" max="15879" width="9.5703125" style="28" customWidth="1"/>
    <col min="15880" max="16125" width="11.42578125" style="28"/>
    <col min="16126" max="16126" width="0.140625" style="28" customWidth="1"/>
    <col min="16127" max="16127" width="2.5703125" style="28" customWidth="1"/>
    <col min="16128" max="16128" width="18.5703125" style="28" customWidth="1"/>
    <col min="16129" max="16129" width="1.42578125" style="28" customWidth="1"/>
    <col min="16130" max="16130" width="58.85546875" style="28" customWidth="1"/>
    <col min="16131" max="16132" width="11.42578125" style="28"/>
    <col min="16133" max="16133" width="2.140625" style="28" customWidth="1"/>
    <col min="16134" max="16134" width="11.42578125" style="28"/>
    <col min="16135" max="16135" width="9.5703125" style="28" customWidth="1"/>
    <col min="16136" max="16384" width="11.42578125" style="28"/>
  </cols>
  <sheetData>
    <row r="1" spans="2:12" s="29" customFormat="1" ht="0.75" customHeight="1"/>
    <row r="2" spans="2:12" s="29" customFormat="1" ht="21" customHeight="1">
      <c r="E2" s="27" t="s">
        <v>19</v>
      </c>
    </row>
    <row r="3" spans="2:12" s="29" customFormat="1" ht="15" customHeight="1">
      <c r="E3" s="43" t="str">
        <f>Indice!E3</f>
        <v>Septiembre 2025</v>
      </c>
    </row>
    <row r="4" spans="2:12" s="31" customFormat="1" ht="20.25" customHeight="1">
      <c r="B4" s="39"/>
      <c r="C4" s="25" t="s">
        <v>39</v>
      </c>
    </row>
    <row r="5" spans="2:12" s="31" customFormat="1" ht="12.75" customHeight="1">
      <c r="B5" s="39"/>
      <c r="C5" s="42"/>
    </row>
    <row r="6" spans="2:12" s="31" customFormat="1" ht="13.5" customHeight="1">
      <c r="B6" s="39"/>
      <c r="C6" s="38"/>
      <c r="D6" s="37"/>
      <c r="E6" s="37"/>
    </row>
    <row r="7" spans="2:12" s="31" customFormat="1" ht="12.75" customHeight="1">
      <c r="B7" s="39"/>
      <c r="C7" s="243" t="s">
        <v>111</v>
      </c>
      <c r="D7" s="37"/>
      <c r="E7" s="41"/>
    </row>
    <row r="8" spans="2:12" s="31" customFormat="1" ht="12.75" customHeight="1">
      <c r="B8" s="39"/>
      <c r="C8" s="243"/>
      <c r="D8" s="37"/>
      <c r="E8" s="41"/>
      <c r="J8" s="30"/>
      <c r="K8" s="30"/>
      <c r="L8" s="30"/>
    </row>
    <row r="9" spans="2:12" s="31" customFormat="1" ht="12.75" customHeight="1">
      <c r="B9" s="39"/>
      <c r="C9" s="243"/>
      <c r="D9" s="37"/>
      <c r="E9" s="41"/>
      <c r="J9" s="30"/>
      <c r="K9" s="78"/>
      <c r="L9" s="79"/>
    </row>
    <row r="10" spans="2:12" s="31" customFormat="1" ht="12.75" customHeight="1">
      <c r="B10" s="39"/>
      <c r="C10" s="33" t="str">
        <f>CONCATENATE(TEXT(SUM(Dat_01!B33:B46),"0.0")," MW")</f>
        <v>2.259 MW</v>
      </c>
      <c r="D10" s="37"/>
      <c r="E10" s="41"/>
      <c r="J10" s="30"/>
      <c r="K10" s="80"/>
      <c r="L10" s="77"/>
    </row>
    <row r="11" spans="2:12" s="31" customFormat="1" ht="12.75" customHeight="1">
      <c r="B11" s="39"/>
      <c r="D11" s="37"/>
      <c r="E11" s="37"/>
      <c r="J11" s="30"/>
      <c r="K11" s="80"/>
      <c r="L11" s="77"/>
    </row>
    <row r="12" spans="2:12" s="31" customFormat="1" ht="12.75" customHeight="1">
      <c r="B12" s="39"/>
      <c r="C12" s="40"/>
      <c r="D12" s="37"/>
      <c r="E12" s="37"/>
      <c r="J12" s="30"/>
      <c r="K12" s="80"/>
      <c r="L12" s="77"/>
    </row>
    <row r="13" spans="2:12" s="31" customFormat="1" ht="12.75" customHeight="1">
      <c r="B13" s="39"/>
      <c r="C13" s="40"/>
      <c r="D13" s="37"/>
      <c r="E13" s="37"/>
      <c r="J13" s="30"/>
      <c r="K13" s="30"/>
      <c r="L13" s="30"/>
    </row>
    <row r="14" spans="2:12" s="31" customFormat="1" ht="12.75" customHeight="1">
      <c r="B14" s="39"/>
      <c r="C14" s="40"/>
      <c r="D14" s="37"/>
      <c r="E14" s="37"/>
    </row>
    <row r="15" spans="2:12" s="31" customFormat="1" ht="12.75" customHeight="1">
      <c r="B15" s="39"/>
      <c r="C15" s="40"/>
      <c r="D15" s="37"/>
      <c r="E15" s="37"/>
    </row>
    <row r="16" spans="2:12" s="31" customFormat="1" ht="12.75" customHeight="1">
      <c r="B16" s="39"/>
      <c r="D16" s="37"/>
      <c r="E16" s="37"/>
      <c r="J16" s="30"/>
      <c r="K16" s="30"/>
      <c r="L16" s="30"/>
    </row>
    <row r="17" spans="2:12" s="31" customFormat="1" ht="12.75" customHeight="1">
      <c r="B17" s="39"/>
      <c r="D17" s="37"/>
      <c r="E17" s="37"/>
      <c r="J17" s="30"/>
      <c r="K17" s="30"/>
      <c r="L17" s="30"/>
    </row>
    <row r="18" spans="2:12" s="31" customFormat="1" ht="12.75" customHeight="1">
      <c r="B18" s="39"/>
      <c r="D18" s="37"/>
      <c r="E18" s="37"/>
      <c r="F18" s="143"/>
      <c r="J18" s="30"/>
      <c r="K18" s="30"/>
      <c r="L18" s="30"/>
    </row>
    <row r="19" spans="2:12" s="31" customFormat="1" ht="12.75" customHeight="1">
      <c r="B19" s="39"/>
      <c r="C19" s="40"/>
      <c r="D19" s="37"/>
      <c r="E19" s="37"/>
      <c r="J19" s="30"/>
      <c r="K19" s="30"/>
      <c r="L19" s="30"/>
    </row>
    <row r="20" spans="2:12" s="31" customFormat="1" ht="12.75" customHeight="1">
      <c r="B20" s="39"/>
      <c r="C20" s="38"/>
      <c r="D20" s="37"/>
      <c r="E20" s="37"/>
      <c r="J20" s="30"/>
      <c r="K20" s="30"/>
      <c r="L20" s="30"/>
    </row>
    <row r="21" spans="2:12" s="31" customFormat="1" ht="12.75" customHeight="1">
      <c r="B21" s="39"/>
      <c r="C21" s="38"/>
      <c r="D21" s="37"/>
      <c r="E21" s="37"/>
      <c r="J21" s="154"/>
      <c r="K21" s="30"/>
    </row>
    <row r="22" spans="2:12" s="31" customFormat="1" ht="12.75" customHeight="1">
      <c r="B22" s="39"/>
      <c r="C22" s="38"/>
      <c r="D22" s="37"/>
      <c r="E22" s="37"/>
      <c r="J22" s="30"/>
      <c r="K22" s="30"/>
    </row>
    <row r="23" spans="2:12">
      <c r="E23" s="36"/>
      <c r="J23" s="31"/>
      <c r="K23" s="31"/>
    </row>
    <row r="24" spans="2:12">
      <c r="C24" s="243" t="s">
        <v>119</v>
      </c>
      <c r="E24" s="35"/>
      <c r="J24" s="31"/>
      <c r="K24" s="31"/>
    </row>
    <row r="25" spans="2:12">
      <c r="C25" s="243"/>
      <c r="E25" s="34"/>
      <c r="J25" s="30"/>
      <c r="K25" s="30"/>
    </row>
    <row r="26" spans="2:12" ht="12.75" customHeight="1">
      <c r="J26" s="78"/>
      <c r="K26" s="79"/>
    </row>
    <row r="27" spans="2:12">
      <c r="J27" s="80"/>
      <c r="K27" s="77"/>
    </row>
    <row r="28" spans="2:12">
      <c r="C28" s="33"/>
      <c r="J28" s="80"/>
      <c r="K28" s="77"/>
    </row>
    <row r="29" spans="2:12">
      <c r="C29" s="32"/>
      <c r="J29" s="80"/>
      <c r="K29" s="77"/>
    </row>
    <row r="30" spans="2:12">
      <c r="J30" s="30"/>
      <c r="K30" s="30"/>
    </row>
    <row r="31" spans="2:12" ht="12.75" customHeight="1">
      <c r="J31" s="31"/>
      <c r="K31" s="31"/>
    </row>
    <row r="32" spans="2:12">
      <c r="J32" s="31"/>
      <c r="K32" s="31"/>
    </row>
    <row r="33" spans="10:11">
      <c r="J33" s="30"/>
      <c r="K33" s="30"/>
    </row>
    <row r="34" spans="10:11">
      <c r="J34" s="30"/>
      <c r="K34" s="30"/>
    </row>
    <row r="35" spans="10:11">
      <c r="J35" s="30"/>
      <c r="K35" s="30"/>
    </row>
    <row r="36" spans="10:11">
      <c r="J36" s="30"/>
      <c r="K36" s="30"/>
    </row>
    <row r="37" spans="10:11">
      <c r="J37" s="30"/>
      <c r="K37" s="30"/>
    </row>
  </sheetData>
  <mergeCells count="2">
    <mergeCell ref="C24:C25"/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1" orientation="landscape" r:id="rId1"/>
  <headerFooter alignWithMargins="0"/>
  <ignoredErrors>
    <ignoredError sqref="C10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49548-3FF5-4B2B-BF7E-FDAEE5363641}">
  <sheetPr codeName="Hoja12"/>
  <dimension ref="A1:T48"/>
  <sheetViews>
    <sheetView showGridLines="0" showRowColHeaders="0" zoomScaleNormal="100" workbookViewId="0">
      <selection activeCell="B2" sqref="B2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Septiembre 2025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44" t="s">
        <v>113</v>
      </c>
      <c r="D7" s="55"/>
      <c r="E7" s="59"/>
    </row>
    <row r="8" spans="1:20" ht="12.75" customHeight="1">
      <c r="A8" s="58"/>
      <c r="B8" s="57"/>
      <c r="C8" s="244"/>
      <c r="D8" s="55"/>
      <c r="E8" s="59"/>
      <c r="F8" s="54"/>
    </row>
    <row r="9" spans="1:20" ht="12.75" customHeight="1">
      <c r="A9" s="58"/>
      <c r="B9" s="57"/>
      <c r="C9" s="244"/>
      <c r="D9" s="55"/>
      <c r="E9" s="59"/>
      <c r="F9" s="54"/>
    </row>
    <row r="10" spans="1:20" ht="12.75" customHeight="1">
      <c r="A10" s="58"/>
      <c r="B10" s="57"/>
      <c r="C10" s="173" t="s">
        <v>13</v>
      </c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>
      <c r="A21" s="58"/>
      <c r="B21" s="57"/>
      <c r="C21" s="56"/>
      <c r="D21" s="55"/>
      <c r="E21" s="55"/>
      <c r="F21" s="54"/>
    </row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127</v>
      </c>
      <c r="F25" s="53"/>
      <c r="G25" s="53"/>
    </row>
    <row r="26" spans="1:7" ht="12.75" customHeight="1"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6" spans="5:5">
      <c r="E46" s="48"/>
    </row>
    <row r="47" spans="5:5">
      <c r="E47" s="49"/>
    </row>
    <row r="48" spans="5:5">
      <c r="E48" s="48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/>
  <dimension ref="A1:T48"/>
  <sheetViews>
    <sheetView showGridLines="0" showRowColHeaders="0" zoomScaleNormal="100" workbookViewId="0">
      <selection activeCell="B2" sqref="B2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Septiembre 2025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44" t="s">
        <v>113</v>
      </c>
      <c r="D7" s="55"/>
      <c r="E7" s="59"/>
    </row>
    <row r="8" spans="1:20" ht="12.75" customHeight="1">
      <c r="A8" s="58"/>
      <c r="B8" s="57"/>
      <c r="C8" s="244"/>
      <c r="D8" s="55"/>
      <c r="E8" s="59"/>
      <c r="F8" s="54"/>
    </row>
    <row r="9" spans="1:20" ht="12.75" customHeight="1">
      <c r="A9" s="58"/>
      <c r="B9" s="57"/>
      <c r="C9" s="173"/>
      <c r="D9" s="55"/>
      <c r="E9" s="59"/>
      <c r="F9" s="54"/>
    </row>
    <row r="10" spans="1:20" ht="12.75" customHeight="1">
      <c r="A10" s="58"/>
      <c r="B10" s="57"/>
      <c r="C10" s="32"/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>
      <c r="A21" s="58"/>
      <c r="B21" s="57"/>
      <c r="C21" s="56"/>
      <c r="D21" s="55"/>
      <c r="E21" s="55"/>
      <c r="F21" s="54"/>
    </row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78</v>
      </c>
      <c r="F25" s="53"/>
      <c r="G25" s="53"/>
    </row>
    <row r="26" spans="1:7" ht="12.75" customHeight="1">
      <c r="E26" s="48" t="s">
        <v>44</v>
      </c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6" spans="5:5">
      <c r="E46" s="48"/>
    </row>
    <row r="47" spans="5:5">
      <c r="E47" s="49"/>
    </row>
    <row r="48" spans="5:5">
      <c r="E48" s="48"/>
    </row>
  </sheetData>
  <mergeCells count="1">
    <mergeCell ref="C7:C8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pageSetUpPr fitToPage="1"/>
  </sheetPr>
  <dimension ref="A1:L39"/>
  <sheetViews>
    <sheetView showGridLines="0" showRowColHeaders="0" zoomScaleNormal="100" workbookViewId="0">
      <selection activeCell="I20" sqref="I20"/>
    </sheetView>
  </sheetViews>
  <sheetFormatPr baseColWidth="10" defaultRowHeight="12.75"/>
  <cols>
    <col min="1" max="1" width="0.1406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85546875" style="29" customWidth="1"/>
    <col min="6" max="6" width="11.42578125" style="28"/>
    <col min="7" max="7" width="19.85546875" style="28" customWidth="1"/>
    <col min="8" max="9" width="11.42578125" style="28"/>
    <col min="10" max="10" width="11" style="28" bestFit="1" customWidth="1"/>
    <col min="11" max="253" width="11.42578125" style="28"/>
    <col min="254" max="254" width="0.140625" style="28" customWidth="1"/>
    <col min="255" max="255" width="2.5703125" style="28" customWidth="1"/>
    <col min="256" max="256" width="18.5703125" style="28" customWidth="1"/>
    <col min="257" max="257" width="1.42578125" style="28" customWidth="1"/>
    <col min="258" max="258" width="58.85546875" style="28" customWidth="1"/>
    <col min="259" max="260" width="11.42578125" style="28"/>
    <col min="261" max="261" width="2.140625" style="28" customWidth="1"/>
    <col min="262" max="262" width="11.42578125" style="28"/>
    <col min="263" max="263" width="9.5703125" style="28" customWidth="1"/>
    <col min="264" max="509" width="11.42578125" style="28"/>
    <col min="510" max="510" width="0.140625" style="28" customWidth="1"/>
    <col min="511" max="511" width="2.5703125" style="28" customWidth="1"/>
    <col min="512" max="512" width="18.5703125" style="28" customWidth="1"/>
    <col min="513" max="513" width="1.42578125" style="28" customWidth="1"/>
    <col min="514" max="514" width="58.85546875" style="28" customWidth="1"/>
    <col min="515" max="516" width="11.42578125" style="28"/>
    <col min="517" max="517" width="2.140625" style="28" customWidth="1"/>
    <col min="518" max="518" width="11.42578125" style="28"/>
    <col min="519" max="519" width="9.5703125" style="28" customWidth="1"/>
    <col min="520" max="765" width="11.42578125" style="28"/>
    <col min="766" max="766" width="0.140625" style="28" customWidth="1"/>
    <col min="767" max="767" width="2.5703125" style="28" customWidth="1"/>
    <col min="768" max="768" width="18.5703125" style="28" customWidth="1"/>
    <col min="769" max="769" width="1.42578125" style="28" customWidth="1"/>
    <col min="770" max="770" width="58.85546875" style="28" customWidth="1"/>
    <col min="771" max="772" width="11.42578125" style="28"/>
    <col min="773" max="773" width="2.140625" style="28" customWidth="1"/>
    <col min="774" max="774" width="11.42578125" style="28"/>
    <col min="775" max="775" width="9.5703125" style="28" customWidth="1"/>
    <col min="776" max="1021" width="11.42578125" style="28"/>
    <col min="1022" max="1022" width="0.140625" style="28" customWidth="1"/>
    <col min="1023" max="1023" width="2.5703125" style="28" customWidth="1"/>
    <col min="1024" max="1024" width="18.5703125" style="28" customWidth="1"/>
    <col min="1025" max="1025" width="1.42578125" style="28" customWidth="1"/>
    <col min="1026" max="1026" width="58.85546875" style="28" customWidth="1"/>
    <col min="1027" max="1028" width="11.42578125" style="28"/>
    <col min="1029" max="1029" width="2.140625" style="28" customWidth="1"/>
    <col min="1030" max="1030" width="11.42578125" style="28"/>
    <col min="1031" max="1031" width="9.5703125" style="28" customWidth="1"/>
    <col min="1032" max="1277" width="11.42578125" style="28"/>
    <col min="1278" max="1278" width="0.140625" style="28" customWidth="1"/>
    <col min="1279" max="1279" width="2.5703125" style="28" customWidth="1"/>
    <col min="1280" max="1280" width="18.5703125" style="28" customWidth="1"/>
    <col min="1281" max="1281" width="1.42578125" style="28" customWidth="1"/>
    <col min="1282" max="1282" width="58.85546875" style="28" customWidth="1"/>
    <col min="1283" max="1284" width="11.42578125" style="28"/>
    <col min="1285" max="1285" width="2.140625" style="28" customWidth="1"/>
    <col min="1286" max="1286" width="11.42578125" style="28"/>
    <col min="1287" max="1287" width="9.5703125" style="28" customWidth="1"/>
    <col min="1288" max="1533" width="11.42578125" style="28"/>
    <col min="1534" max="1534" width="0.140625" style="28" customWidth="1"/>
    <col min="1535" max="1535" width="2.5703125" style="28" customWidth="1"/>
    <col min="1536" max="1536" width="18.5703125" style="28" customWidth="1"/>
    <col min="1537" max="1537" width="1.42578125" style="28" customWidth="1"/>
    <col min="1538" max="1538" width="58.85546875" style="28" customWidth="1"/>
    <col min="1539" max="1540" width="11.42578125" style="28"/>
    <col min="1541" max="1541" width="2.140625" style="28" customWidth="1"/>
    <col min="1542" max="1542" width="11.42578125" style="28"/>
    <col min="1543" max="1543" width="9.5703125" style="28" customWidth="1"/>
    <col min="1544" max="1789" width="11.42578125" style="28"/>
    <col min="1790" max="1790" width="0.140625" style="28" customWidth="1"/>
    <col min="1791" max="1791" width="2.5703125" style="28" customWidth="1"/>
    <col min="1792" max="1792" width="18.5703125" style="28" customWidth="1"/>
    <col min="1793" max="1793" width="1.42578125" style="28" customWidth="1"/>
    <col min="1794" max="1794" width="58.85546875" style="28" customWidth="1"/>
    <col min="1795" max="1796" width="11.42578125" style="28"/>
    <col min="1797" max="1797" width="2.140625" style="28" customWidth="1"/>
    <col min="1798" max="1798" width="11.42578125" style="28"/>
    <col min="1799" max="1799" width="9.5703125" style="28" customWidth="1"/>
    <col min="1800" max="2045" width="11.42578125" style="28"/>
    <col min="2046" max="2046" width="0.140625" style="28" customWidth="1"/>
    <col min="2047" max="2047" width="2.5703125" style="28" customWidth="1"/>
    <col min="2048" max="2048" width="18.5703125" style="28" customWidth="1"/>
    <col min="2049" max="2049" width="1.42578125" style="28" customWidth="1"/>
    <col min="2050" max="2050" width="58.85546875" style="28" customWidth="1"/>
    <col min="2051" max="2052" width="11.42578125" style="28"/>
    <col min="2053" max="2053" width="2.140625" style="28" customWidth="1"/>
    <col min="2054" max="2054" width="11.42578125" style="28"/>
    <col min="2055" max="2055" width="9.5703125" style="28" customWidth="1"/>
    <col min="2056" max="2301" width="11.42578125" style="28"/>
    <col min="2302" max="2302" width="0.140625" style="28" customWidth="1"/>
    <col min="2303" max="2303" width="2.5703125" style="28" customWidth="1"/>
    <col min="2304" max="2304" width="18.5703125" style="28" customWidth="1"/>
    <col min="2305" max="2305" width="1.42578125" style="28" customWidth="1"/>
    <col min="2306" max="2306" width="58.85546875" style="28" customWidth="1"/>
    <col min="2307" max="2308" width="11.42578125" style="28"/>
    <col min="2309" max="2309" width="2.140625" style="28" customWidth="1"/>
    <col min="2310" max="2310" width="11.42578125" style="28"/>
    <col min="2311" max="2311" width="9.5703125" style="28" customWidth="1"/>
    <col min="2312" max="2557" width="11.42578125" style="28"/>
    <col min="2558" max="2558" width="0.140625" style="28" customWidth="1"/>
    <col min="2559" max="2559" width="2.5703125" style="28" customWidth="1"/>
    <col min="2560" max="2560" width="18.5703125" style="28" customWidth="1"/>
    <col min="2561" max="2561" width="1.42578125" style="28" customWidth="1"/>
    <col min="2562" max="2562" width="58.85546875" style="28" customWidth="1"/>
    <col min="2563" max="2564" width="11.42578125" style="28"/>
    <col min="2565" max="2565" width="2.140625" style="28" customWidth="1"/>
    <col min="2566" max="2566" width="11.42578125" style="28"/>
    <col min="2567" max="2567" width="9.5703125" style="28" customWidth="1"/>
    <col min="2568" max="2813" width="11.42578125" style="28"/>
    <col min="2814" max="2814" width="0.140625" style="28" customWidth="1"/>
    <col min="2815" max="2815" width="2.5703125" style="28" customWidth="1"/>
    <col min="2816" max="2816" width="18.5703125" style="28" customWidth="1"/>
    <col min="2817" max="2817" width="1.42578125" style="28" customWidth="1"/>
    <col min="2818" max="2818" width="58.85546875" style="28" customWidth="1"/>
    <col min="2819" max="2820" width="11.42578125" style="28"/>
    <col min="2821" max="2821" width="2.140625" style="28" customWidth="1"/>
    <col min="2822" max="2822" width="11.42578125" style="28"/>
    <col min="2823" max="2823" width="9.5703125" style="28" customWidth="1"/>
    <col min="2824" max="3069" width="11.42578125" style="28"/>
    <col min="3070" max="3070" width="0.140625" style="28" customWidth="1"/>
    <col min="3071" max="3071" width="2.5703125" style="28" customWidth="1"/>
    <col min="3072" max="3072" width="18.5703125" style="28" customWidth="1"/>
    <col min="3073" max="3073" width="1.42578125" style="28" customWidth="1"/>
    <col min="3074" max="3074" width="58.85546875" style="28" customWidth="1"/>
    <col min="3075" max="3076" width="11.42578125" style="28"/>
    <col min="3077" max="3077" width="2.140625" style="28" customWidth="1"/>
    <col min="3078" max="3078" width="11.42578125" style="28"/>
    <col min="3079" max="3079" width="9.5703125" style="28" customWidth="1"/>
    <col min="3080" max="3325" width="11.42578125" style="28"/>
    <col min="3326" max="3326" width="0.140625" style="28" customWidth="1"/>
    <col min="3327" max="3327" width="2.5703125" style="28" customWidth="1"/>
    <col min="3328" max="3328" width="18.5703125" style="28" customWidth="1"/>
    <col min="3329" max="3329" width="1.42578125" style="28" customWidth="1"/>
    <col min="3330" max="3330" width="58.85546875" style="28" customWidth="1"/>
    <col min="3331" max="3332" width="11.42578125" style="28"/>
    <col min="3333" max="3333" width="2.140625" style="28" customWidth="1"/>
    <col min="3334" max="3334" width="11.42578125" style="28"/>
    <col min="3335" max="3335" width="9.5703125" style="28" customWidth="1"/>
    <col min="3336" max="3581" width="11.42578125" style="28"/>
    <col min="3582" max="3582" width="0.140625" style="28" customWidth="1"/>
    <col min="3583" max="3583" width="2.5703125" style="28" customWidth="1"/>
    <col min="3584" max="3584" width="18.5703125" style="28" customWidth="1"/>
    <col min="3585" max="3585" width="1.42578125" style="28" customWidth="1"/>
    <col min="3586" max="3586" width="58.85546875" style="28" customWidth="1"/>
    <col min="3587" max="3588" width="11.42578125" style="28"/>
    <col min="3589" max="3589" width="2.140625" style="28" customWidth="1"/>
    <col min="3590" max="3590" width="11.42578125" style="28"/>
    <col min="3591" max="3591" width="9.5703125" style="28" customWidth="1"/>
    <col min="3592" max="3837" width="11.42578125" style="28"/>
    <col min="3838" max="3838" width="0.140625" style="28" customWidth="1"/>
    <col min="3839" max="3839" width="2.5703125" style="28" customWidth="1"/>
    <col min="3840" max="3840" width="18.5703125" style="28" customWidth="1"/>
    <col min="3841" max="3841" width="1.42578125" style="28" customWidth="1"/>
    <col min="3842" max="3842" width="58.85546875" style="28" customWidth="1"/>
    <col min="3843" max="3844" width="11.42578125" style="28"/>
    <col min="3845" max="3845" width="2.140625" style="28" customWidth="1"/>
    <col min="3846" max="3846" width="11.42578125" style="28"/>
    <col min="3847" max="3847" width="9.5703125" style="28" customWidth="1"/>
    <col min="3848" max="4093" width="11.42578125" style="28"/>
    <col min="4094" max="4094" width="0.140625" style="28" customWidth="1"/>
    <col min="4095" max="4095" width="2.5703125" style="28" customWidth="1"/>
    <col min="4096" max="4096" width="18.5703125" style="28" customWidth="1"/>
    <col min="4097" max="4097" width="1.42578125" style="28" customWidth="1"/>
    <col min="4098" max="4098" width="58.85546875" style="28" customWidth="1"/>
    <col min="4099" max="4100" width="11.42578125" style="28"/>
    <col min="4101" max="4101" width="2.140625" style="28" customWidth="1"/>
    <col min="4102" max="4102" width="11.42578125" style="28"/>
    <col min="4103" max="4103" width="9.5703125" style="28" customWidth="1"/>
    <col min="4104" max="4349" width="11.42578125" style="28"/>
    <col min="4350" max="4350" width="0.140625" style="28" customWidth="1"/>
    <col min="4351" max="4351" width="2.5703125" style="28" customWidth="1"/>
    <col min="4352" max="4352" width="18.5703125" style="28" customWidth="1"/>
    <col min="4353" max="4353" width="1.42578125" style="28" customWidth="1"/>
    <col min="4354" max="4354" width="58.85546875" style="28" customWidth="1"/>
    <col min="4355" max="4356" width="11.42578125" style="28"/>
    <col min="4357" max="4357" width="2.140625" style="28" customWidth="1"/>
    <col min="4358" max="4358" width="11.42578125" style="28"/>
    <col min="4359" max="4359" width="9.5703125" style="28" customWidth="1"/>
    <col min="4360" max="4605" width="11.42578125" style="28"/>
    <col min="4606" max="4606" width="0.140625" style="28" customWidth="1"/>
    <col min="4607" max="4607" width="2.5703125" style="28" customWidth="1"/>
    <col min="4608" max="4608" width="18.5703125" style="28" customWidth="1"/>
    <col min="4609" max="4609" width="1.42578125" style="28" customWidth="1"/>
    <col min="4610" max="4610" width="58.85546875" style="28" customWidth="1"/>
    <col min="4611" max="4612" width="11.42578125" style="28"/>
    <col min="4613" max="4613" width="2.140625" style="28" customWidth="1"/>
    <col min="4614" max="4614" width="11.42578125" style="28"/>
    <col min="4615" max="4615" width="9.5703125" style="28" customWidth="1"/>
    <col min="4616" max="4861" width="11.42578125" style="28"/>
    <col min="4862" max="4862" width="0.140625" style="28" customWidth="1"/>
    <col min="4863" max="4863" width="2.5703125" style="28" customWidth="1"/>
    <col min="4864" max="4864" width="18.5703125" style="28" customWidth="1"/>
    <col min="4865" max="4865" width="1.42578125" style="28" customWidth="1"/>
    <col min="4866" max="4866" width="58.85546875" style="28" customWidth="1"/>
    <col min="4867" max="4868" width="11.42578125" style="28"/>
    <col min="4869" max="4869" width="2.140625" style="28" customWidth="1"/>
    <col min="4870" max="4870" width="11.42578125" style="28"/>
    <col min="4871" max="4871" width="9.5703125" style="28" customWidth="1"/>
    <col min="4872" max="5117" width="11.42578125" style="28"/>
    <col min="5118" max="5118" width="0.140625" style="28" customWidth="1"/>
    <col min="5119" max="5119" width="2.5703125" style="28" customWidth="1"/>
    <col min="5120" max="5120" width="18.5703125" style="28" customWidth="1"/>
    <col min="5121" max="5121" width="1.42578125" style="28" customWidth="1"/>
    <col min="5122" max="5122" width="58.85546875" style="28" customWidth="1"/>
    <col min="5123" max="5124" width="11.42578125" style="28"/>
    <col min="5125" max="5125" width="2.140625" style="28" customWidth="1"/>
    <col min="5126" max="5126" width="11.42578125" style="28"/>
    <col min="5127" max="5127" width="9.5703125" style="28" customWidth="1"/>
    <col min="5128" max="5373" width="11.42578125" style="28"/>
    <col min="5374" max="5374" width="0.140625" style="28" customWidth="1"/>
    <col min="5375" max="5375" width="2.5703125" style="28" customWidth="1"/>
    <col min="5376" max="5376" width="18.5703125" style="28" customWidth="1"/>
    <col min="5377" max="5377" width="1.42578125" style="28" customWidth="1"/>
    <col min="5378" max="5378" width="58.85546875" style="28" customWidth="1"/>
    <col min="5379" max="5380" width="11.42578125" style="28"/>
    <col min="5381" max="5381" width="2.140625" style="28" customWidth="1"/>
    <col min="5382" max="5382" width="11.42578125" style="28"/>
    <col min="5383" max="5383" width="9.5703125" style="28" customWidth="1"/>
    <col min="5384" max="5629" width="11.42578125" style="28"/>
    <col min="5630" max="5630" width="0.140625" style="28" customWidth="1"/>
    <col min="5631" max="5631" width="2.5703125" style="28" customWidth="1"/>
    <col min="5632" max="5632" width="18.5703125" style="28" customWidth="1"/>
    <col min="5633" max="5633" width="1.42578125" style="28" customWidth="1"/>
    <col min="5634" max="5634" width="58.85546875" style="28" customWidth="1"/>
    <col min="5635" max="5636" width="11.42578125" style="28"/>
    <col min="5637" max="5637" width="2.140625" style="28" customWidth="1"/>
    <col min="5638" max="5638" width="11.42578125" style="28"/>
    <col min="5639" max="5639" width="9.5703125" style="28" customWidth="1"/>
    <col min="5640" max="5885" width="11.42578125" style="28"/>
    <col min="5886" max="5886" width="0.140625" style="28" customWidth="1"/>
    <col min="5887" max="5887" width="2.5703125" style="28" customWidth="1"/>
    <col min="5888" max="5888" width="18.5703125" style="28" customWidth="1"/>
    <col min="5889" max="5889" width="1.42578125" style="28" customWidth="1"/>
    <col min="5890" max="5890" width="58.85546875" style="28" customWidth="1"/>
    <col min="5891" max="5892" width="11.42578125" style="28"/>
    <col min="5893" max="5893" width="2.140625" style="28" customWidth="1"/>
    <col min="5894" max="5894" width="11.42578125" style="28"/>
    <col min="5895" max="5895" width="9.5703125" style="28" customWidth="1"/>
    <col min="5896" max="6141" width="11.42578125" style="28"/>
    <col min="6142" max="6142" width="0.140625" style="28" customWidth="1"/>
    <col min="6143" max="6143" width="2.5703125" style="28" customWidth="1"/>
    <col min="6144" max="6144" width="18.5703125" style="28" customWidth="1"/>
    <col min="6145" max="6145" width="1.42578125" style="28" customWidth="1"/>
    <col min="6146" max="6146" width="58.85546875" style="28" customWidth="1"/>
    <col min="6147" max="6148" width="11.42578125" style="28"/>
    <col min="6149" max="6149" width="2.140625" style="28" customWidth="1"/>
    <col min="6150" max="6150" width="11.42578125" style="28"/>
    <col min="6151" max="6151" width="9.5703125" style="28" customWidth="1"/>
    <col min="6152" max="6397" width="11.42578125" style="28"/>
    <col min="6398" max="6398" width="0.140625" style="28" customWidth="1"/>
    <col min="6399" max="6399" width="2.5703125" style="28" customWidth="1"/>
    <col min="6400" max="6400" width="18.5703125" style="28" customWidth="1"/>
    <col min="6401" max="6401" width="1.42578125" style="28" customWidth="1"/>
    <col min="6402" max="6402" width="58.85546875" style="28" customWidth="1"/>
    <col min="6403" max="6404" width="11.42578125" style="28"/>
    <col min="6405" max="6405" width="2.140625" style="28" customWidth="1"/>
    <col min="6406" max="6406" width="11.42578125" style="28"/>
    <col min="6407" max="6407" width="9.5703125" style="28" customWidth="1"/>
    <col min="6408" max="6653" width="11.42578125" style="28"/>
    <col min="6654" max="6654" width="0.140625" style="28" customWidth="1"/>
    <col min="6655" max="6655" width="2.5703125" style="28" customWidth="1"/>
    <col min="6656" max="6656" width="18.5703125" style="28" customWidth="1"/>
    <col min="6657" max="6657" width="1.42578125" style="28" customWidth="1"/>
    <col min="6658" max="6658" width="58.85546875" style="28" customWidth="1"/>
    <col min="6659" max="6660" width="11.42578125" style="28"/>
    <col min="6661" max="6661" width="2.140625" style="28" customWidth="1"/>
    <col min="6662" max="6662" width="11.42578125" style="28"/>
    <col min="6663" max="6663" width="9.5703125" style="28" customWidth="1"/>
    <col min="6664" max="6909" width="11.42578125" style="28"/>
    <col min="6910" max="6910" width="0.140625" style="28" customWidth="1"/>
    <col min="6911" max="6911" width="2.5703125" style="28" customWidth="1"/>
    <col min="6912" max="6912" width="18.5703125" style="28" customWidth="1"/>
    <col min="6913" max="6913" width="1.42578125" style="28" customWidth="1"/>
    <col min="6914" max="6914" width="58.85546875" style="28" customWidth="1"/>
    <col min="6915" max="6916" width="11.42578125" style="28"/>
    <col min="6917" max="6917" width="2.140625" style="28" customWidth="1"/>
    <col min="6918" max="6918" width="11.42578125" style="28"/>
    <col min="6919" max="6919" width="9.5703125" style="28" customWidth="1"/>
    <col min="6920" max="7165" width="11.42578125" style="28"/>
    <col min="7166" max="7166" width="0.140625" style="28" customWidth="1"/>
    <col min="7167" max="7167" width="2.5703125" style="28" customWidth="1"/>
    <col min="7168" max="7168" width="18.5703125" style="28" customWidth="1"/>
    <col min="7169" max="7169" width="1.42578125" style="28" customWidth="1"/>
    <col min="7170" max="7170" width="58.85546875" style="28" customWidth="1"/>
    <col min="7171" max="7172" width="11.42578125" style="28"/>
    <col min="7173" max="7173" width="2.140625" style="28" customWidth="1"/>
    <col min="7174" max="7174" width="11.42578125" style="28"/>
    <col min="7175" max="7175" width="9.5703125" style="28" customWidth="1"/>
    <col min="7176" max="7421" width="11.42578125" style="28"/>
    <col min="7422" max="7422" width="0.140625" style="28" customWidth="1"/>
    <col min="7423" max="7423" width="2.5703125" style="28" customWidth="1"/>
    <col min="7424" max="7424" width="18.5703125" style="28" customWidth="1"/>
    <col min="7425" max="7425" width="1.42578125" style="28" customWidth="1"/>
    <col min="7426" max="7426" width="58.85546875" style="28" customWidth="1"/>
    <col min="7427" max="7428" width="11.42578125" style="28"/>
    <col min="7429" max="7429" width="2.140625" style="28" customWidth="1"/>
    <col min="7430" max="7430" width="11.42578125" style="28"/>
    <col min="7431" max="7431" width="9.5703125" style="28" customWidth="1"/>
    <col min="7432" max="7677" width="11.42578125" style="28"/>
    <col min="7678" max="7678" width="0.140625" style="28" customWidth="1"/>
    <col min="7679" max="7679" width="2.5703125" style="28" customWidth="1"/>
    <col min="7680" max="7680" width="18.5703125" style="28" customWidth="1"/>
    <col min="7681" max="7681" width="1.42578125" style="28" customWidth="1"/>
    <col min="7682" max="7682" width="58.85546875" style="28" customWidth="1"/>
    <col min="7683" max="7684" width="11.42578125" style="28"/>
    <col min="7685" max="7685" width="2.140625" style="28" customWidth="1"/>
    <col min="7686" max="7686" width="11.42578125" style="28"/>
    <col min="7687" max="7687" width="9.5703125" style="28" customWidth="1"/>
    <col min="7688" max="7933" width="11.42578125" style="28"/>
    <col min="7934" max="7934" width="0.140625" style="28" customWidth="1"/>
    <col min="7935" max="7935" width="2.5703125" style="28" customWidth="1"/>
    <col min="7936" max="7936" width="18.5703125" style="28" customWidth="1"/>
    <col min="7937" max="7937" width="1.42578125" style="28" customWidth="1"/>
    <col min="7938" max="7938" width="58.85546875" style="28" customWidth="1"/>
    <col min="7939" max="7940" width="11.42578125" style="28"/>
    <col min="7941" max="7941" width="2.140625" style="28" customWidth="1"/>
    <col min="7942" max="7942" width="11.42578125" style="28"/>
    <col min="7943" max="7943" width="9.5703125" style="28" customWidth="1"/>
    <col min="7944" max="8189" width="11.42578125" style="28"/>
    <col min="8190" max="8190" width="0.140625" style="28" customWidth="1"/>
    <col min="8191" max="8191" width="2.5703125" style="28" customWidth="1"/>
    <col min="8192" max="8192" width="18.5703125" style="28" customWidth="1"/>
    <col min="8193" max="8193" width="1.42578125" style="28" customWidth="1"/>
    <col min="8194" max="8194" width="58.85546875" style="28" customWidth="1"/>
    <col min="8195" max="8196" width="11.42578125" style="28"/>
    <col min="8197" max="8197" width="2.140625" style="28" customWidth="1"/>
    <col min="8198" max="8198" width="11.42578125" style="28"/>
    <col min="8199" max="8199" width="9.5703125" style="28" customWidth="1"/>
    <col min="8200" max="8445" width="11.42578125" style="28"/>
    <col min="8446" max="8446" width="0.140625" style="28" customWidth="1"/>
    <col min="8447" max="8447" width="2.5703125" style="28" customWidth="1"/>
    <col min="8448" max="8448" width="18.5703125" style="28" customWidth="1"/>
    <col min="8449" max="8449" width="1.42578125" style="28" customWidth="1"/>
    <col min="8450" max="8450" width="58.85546875" style="28" customWidth="1"/>
    <col min="8451" max="8452" width="11.42578125" style="28"/>
    <col min="8453" max="8453" width="2.140625" style="28" customWidth="1"/>
    <col min="8454" max="8454" width="11.42578125" style="28"/>
    <col min="8455" max="8455" width="9.5703125" style="28" customWidth="1"/>
    <col min="8456" max="8701" width="11.42578125" style="28"/>
    <col min="8702" max="8702" width="0.140625" style="28" customWidth="1"/>
    <col min="8703" max="8703" width="2.5703125" style="28" customWidth="1"/>
    <col min="8704" max="8704" width="18.5703125" style="28" customWidth="1"/>
    <col min="8705" max="8705" width="1.42578125" style="28" customWidth="1"/>
    <col min="8706" max="8706" width="58.85546875" style="28" customWidth="1"/>
    <col min="8707" max="8708" width="11.42578125" style="28"/>
    <col min="8709" max="8709" width="2.140625" style="28" customWidth="1"/>
    <col min="8710" max="8710" width="11.42578125" style="28"/>
    <col min="8711" max="8711" width="9.5703125" style="28" customWidth="1"/>
    <col min="8712" max="8957" width="11.42578125" style="28"/>
    <col min="8958" max="8958" width="0.140625" style="28" customWidth="1"/>
    <col min="8959" max="8959" width="2.5703125" style="28" customWidth="1"/>
    <col min="8960" max="8960" width="18.5703125" style="28" customWidth="1"/>
    <col min="8961" max="8961" width="1.42578125" style="28" customWidth="1"/>
    <col min="8962" max="8962" width="58.85546875" style="28" customWidth="1"/>
    <col min="8963" max="8964" width="11.42578125" style="28"/>
    <col min="8965" max="8965" width="2.140625" style="28" customWidth="1"/>
    <col min="8966" max="8966" width="11.42578125" style="28"/>
    <col min="8967" max="8967" width="9.5703125" style="28" customWidth="1"/>
    <col min="8968" max="9213" width="11.42578125" style="28"/>
    <col min="9214" max="9214" width="0.140625" style="28" customWidth="1"/>
    <col min="9215" max="9215" width="2.5703125" style="28" customWidth="1"/>
    <col min="9216" max="9216" width="18.5703125" style="28" customWidth="1"/>
    <col min="9217" max="9217" width="1.42578125" style="28" customWidth="1"/>
    <col min="9218" max="9218" width="58.85546875" style="28" customWidth="1"/>
    <col min="9219" max="9220" width="11.42578125" style="28"/>
    <col min="9221" max="9221" width="2.140625" style="28" customWidth="1"/>
    <col min="9222" max="9222" width="11.42578125" style="28"/>
    <col min="9223" max="9223" width="9.5703125" style="28" customWidth="1"/>
    <col min="9224" max="9469" width="11.42578125" style="28"/>
    <col min="9470" max="9470" width="0.140625" style="28" customWidth="1"/>
    <col min="9471" max="9471" width="2.5703125" style="28" customWidth="1"/>
    <col min="9472" max="9472" width="18.5703125" style="28" customWidth="1"/>
    <col min="9473" max="9473" width="1.42578125" style="28" customWidth="1"/>
    <col min="9474" max="9474" width="58.85546875" style="28" customWidth="1"/>
    <col min="9475" max="9476" width="11.42578125" style="28"/>
    <col min="9477" max="9477" width="2.140625" style="28" customWidth="1"/>
    <col min="9478" max="9478" width="11.42578125" style="28"/>
    <col min="9479" max="9479" width="9.5703125" style="28" customWidth="1"/>
    <col min="9480" max="9725" width="11.42578125" style="28"/>
    <col min="9726" max="9726" width="0.140625" style="28" customWidth="1"/>
    <col min="9727" max="9727" width="2.5703125" style="28" customWidth="1"/>
    <col min="9728" max="9728" width="18.5703125" style="28" customWidth="1"/>
    <col min="9729" max="9729" width="1.42578125" style="28" customWidth="1"/>
    <col min="9730" max="9730" width="58.85546875" style="28" customWidth="1"/>
    <col min="9731" max="9732" width="11.42578125" style="28"/>
    <col min="9733" max="9733" width="2.140625" style="28" customWidth="1"/>
    <col min="9734" max="9734" width="11.42578125" style="28"/>
    <col min="9735" max="9735" width="9.5703125" style="28" customWidth="1"/>
    <col min="9736" max="9981" width="11.42578125" style="28"/>
    <col min="9982" max="9982" width="0.140625" style="28" customWidth="1"/>
    <col min="9983" max="9983" width="2.5703125" style="28" customWidth="1"/>
    <col min="9984" max="9984" width="18.5703125" style="28" customWidth="1"/>
    <col min="9985" max="9985" width="1.42578125" style="28" customWidth="1"/>
    <col min="9986" max="9986" width="58.85546875" style="28" customWidth="1"/>
    <col min="9987" max="9988" width="11.42578125" style="28"/>
    <col min="9989" max="9989" width="2.140625" style="28" customWidth="1"/>
    <col min="9990" max="9990" width="11.42578125" style="28"/>
    <col min="9991" max="9991" width="9.5703125" style="28" customWidth="1"/>
    <col min="9992" max="10237" width="11.42578125" style="28"/>
    <col min="10238" max="10238" width="0.140625" style="28" customWidth="1"/>
    <col min="10239" max="10239" width="2.5703125" style="28" customWidth="1"/>
    <col min="10240" max="10240" width="18.5703125" style="28" customWidth="1"/>
    <col min="10241" max="10241" width="1.42578125" style="28" customWidth="1"/>
    <col min="10242" max="10242" width="58.85546875" style="28" customWidth="1"/>
    <col min="10243" max="10244" width="11.42578125" style="28"/>
    <col min="10245" max="10245" width="2.140625" style="28" customWidth="1"/>
    <col min="10246" max="10246" width="11.42578125" style="28"/>
    <col min="10247" max="10247" width="9.5703125" style="28" customWidth="1"/>
    <col min="10248" max="10493" width="11.42578125" style="28"/>
    <col min="10494" max="10494" width="0.140625" style="28" customWidth="1"/>
    <col min="10495" max="10495" width="2.5703125" style="28" customWidth="1"/>
    <col min="10496" max="10496" width="18.5703125" style="28" customWidth="1"/>
    <col min="10497" max="10497" width="1.42578125" style="28" customWidth="1"/>
    <col min="10498" max="10498" width="58.85546875" style="28" customWidth="1"/>
    <col min="10499" max="10500" width="11.42578125" style="28"/>
    <col min="10501" max="10501" width="2.140625" style="28" customWidth="1"/>
    <col min="10502" max="10502" width="11.42578125" style="28"/>
    <col min="10503" max="10503" width="9.5703125" style="28" customWidth="1"/>
    <col min="10504" max="10749" width="11.42578125" style="28"/>
    <col min="10750" max="10750" width="0.140625" style="28" customWidth="1"/>
    <col min="10751" max="10751" width="2.5703125" style="28" customWidth="1"/>
    <col min="10752" max="10752" width="18.5703125" style="28" customWidth="1"/>
    <col min="10753" max="10753" width="1.42578125" style="28" customWidth="1"/>
    <col min="10754" max="10754" width="58.85546875" style="28" customWidth="1"/>
    <col min="10755" max="10756" width="11.42578125" style="28"/>
    <col min="10757" max="10757" width="2.140625" style="28" customWidth="1"/>
    <col min="10758" max="10758" width="11.42578125" style="28"/>
    <col min="10759" max="10759" width="9.5703125" style="28" customWidth="1"/>
    <col min="10760" max="11005" width="11.42578125" style="28"/>
    <col min="11006" max="11006" width="0.140625" style="28" customWidth="1"/>
    <col min="11007" max="11007" width="2.5703125" style="28" customWidth="1"/>
    <col min="11008" max="11008" width="18.5703125" style="28" customWidth="1"/>
    <col min="11009" max="11009" width="1.42578125" style="28" customWidth="1"/>
    <col min="11010" max="11010" width="58.85546875" style="28" customWidth="1"/>
    <col min="11011" max="11012" width="11.42578125" style="28"/>
    <col min="11013" max="11013" width="2.140625" style="28" customWidth="1"/>
    <col min="11014" max="11014" width="11.42578125" style="28"/>
    <col min="11015" max="11015" width="9.5703125" style="28" customWidth="1"/>
    <col min="11016" max="11261" width="11.42578125" style="28"/>
    <col min="11262" max="11262" width="0.140625" style="28" customWidth="1"/>
    <col min="11263" max="11263" width="2.5703125" style="28" customWidth="1"/>
    <col min="11264" max="11264" width="18.5703125" style="28" customWidth="1"/>
    <col min="11265" max="11265" width="1.42578125" style="28" customWidth="1"/>
    <col min="11266" max="11266" width="58.85546875" style="28" customWidth="1"/>
    <col min="11267" max="11268" width="11.42578125" style="28"/>
    <col min="11269" max="11269" width="2.140625" style="28" customWidth="1"/>
    <col min="11270" max="11270" width="11.42578125" style="28"/>
    <col min="11271" max="11271" width="9.5703125" style="28" customWidth="1"/>
    <col min="11272" max="11517" width="11.42578125" style="28"/>
    <col min="11518" max="11518" width="0.140625" style="28" customWidth="1"/>
    <col min="11519" max="11519" width="2.5703125" style="28" customWidth="1"/>
    <col min="11520" max="11520" width="18.5703125" style="28" customWidth="1"/>
    <col min="11521" max="11521" width="1.42578125" style="28" customWidth="1"/>
    <col min="11522" max="11522" width="58.85546875" style="28" customWidth="1"/>
    <col min="11523" max="11524" width="11.42578125" style="28"/>
    <col min="11525" max="11525" width="2.140625" style="28" customWidth="1"/>
    <col min="11526" max="11526" width="11.42578125" style="28"/>
    <col min="11527" max="11527" width="9.5703125" style="28" customWidth="1"/>
    <col min="11528" max="11773" width="11.42578125" style="28"/>
    <col min="11774" max="11774" width="0.140625" style="28" customWidth="1"/>
    <col min="11775" max="11775" width="2.5703125" style="28" customWidth="1"/>
    <col min="11776" max="11776" width="18.5703125" style="28" customWidth="1"/>
    <col min="11777" max="11777" width="1.42578125" style="28" customWidth="1"/>
    <col min="11778" max="11778" width="58.85546875" style="28" customWidth="1"/>
    <col min="11779" max="11780" width="11.42578125" style="28"/>
    <col min="11781" max="11781" width="2.140625" style="28" customWidth="1"/>
    <col min="11782" max="11782" width="11.42578125" style="28"/>
    <col min="11783" max="11783" width="9.5703125" style="28" customWidth="1"/>
    <col min="11784" max="12029" width="11.42578125" style="28"/>
    <col min="12030" max="12030" width="0.140625" style="28" customWidth="1"/>
    <col min="12031" max="12031" width="2.5703125" style="28" customWidth="1"/>
    <col min="12032" max="12032" width="18.5703125" style="28" customWidth="1"/>
    <col min="12033" max="12033" width="1.42578125" style="28" customWidth="1"/>
    <col min="12034" max="12034" width="58.85546875" style="28" customWidth="1"/>
    <col min="12035" max="12036" width="11.42578125" style="28"/>
    <col min="12037" max="12037" width="2.140625" style="28" customWidth="1"/>
    <col min="12038" max="12038" width="11.42578125" style="28"/>
    <col min="12039" max="12039" width="9.5703125" style="28" customWidth="1"/>
    <col min="12040" max="12285" width="11.42578125" style="28"/>
    <col min="12286" max="12286" width="0.140625" style="28" customWidth="1"/>
    <col min="12287" max="12287" width="2.5703125" style="28" customWidth="1"/>
    <col min="12288" max="12288" width="18.5703125" style="28" customWidth="1"/>
    <col min="12289" max="12289" width="1.42578125" style="28" customWidth="1"/>
    <col min="12290" max="12290" width="58.85546875" style="28" customWidth="1"/>
    <col min="12291" max="12292" width="11.42578125" style="28"/>
    <col min="12293" max="12293" width="2.140625" style="28" customWidth="1"/>
    <col min="12294" max="12294" width="11.42578125" style="28"/>
    <col min="12295" max="12295" width="9.5703125" style="28" customWidth="1"/>
    <col min="12296" max="12541" width="11.42578125" style="28"/>
    <col min="12542" max="12542" width="0.140625" style="28" customWidth="1"/>
    <col min="12543" max="12543" width="2.5703125" style="28" customWidth="1"/>
    <col min="12544" max="12544" width="18.5703125" style="28" customWidth="1"/>
    <col min="12545" max="12545" width="1.42578125" style="28" customWidth="1"/>
    <col min="12546" max="12546" width="58.85546875" style="28" customWidth="1"/>
    <col min="12547" max="12548" width="11.42578125" style="28"/>
    <col min="12549" max="12549" width="2.140625" style="28" customWidth="1"/>
    <col min="12550" max="12550" width="11.42578125" style="28"/>
    <col min="12551" max="12551" width="9.5703125" style="28" customWidth="1"/>
    <col min="12552" max="12797" width="11.42578125" style="28"/>
    <col min="12798" max="12798" width="0.140625" style="28" customWidth="1"/>
    <col min="12799" max="12799" width="2.5703125" style="28" customWidth="1"/>
    <col min="12800" max="12800" width="18.5703125" style="28" customWidth="1"/>
    <col min="12801" max="12801" width="1.42578125" style="28" customWidth="1"/>
    <col min="12802" max="12802" width="58.85546875" style="28" customWidth="1"/>
    <col min="12803" max="12804" width="11.42578125" style="28"/>
    <col min="12805" max="12805" width="2.140625" style="28" customWidth="1"/>
    <col min="12806" max="12806" width="11.42578125" style="28"/>
    <col min="12807" max="12807" width="9.5703125" style="28" customWidth="1"/>
    <col min="12808" max="13053" width="11.42578125" style="28"/>
    <col min="13054" max="13054" width="0.140625" style="28" customWidth="1"/>
    <col min="13055" max="13055" width="2.5703125" style="28" customWidth="1"/>
    <col min="13056" max="13056" width="18.5703125" style="28" customWidth="1"/>
    <col min="13057" max="13057" width="1.42578125" style="28" customWidth="1"/>
    <col min="13058" max="13058" width="58.85546875" style="28" customWidth="1"/>
    <col min="13059" max="13060" width="11.42578125" style="28"/>
    <col min="13061" max="13061" width="2.140625" style="28" customWidth="1"/>
    <col min="13062" max="13062" width="11.42578125" style="28"/>
    <col min="13063" max="13063" width="9.5703125" style="28" customWidth="1"/>
    <col min="13064" max="13309" width="11.42578125" style="28"/>
    <col min="13310" max="13310" width="0.140625" style="28" customWidth="1"/>
    <col min="13311" max="13311" width="2.5703125" style="28" customWidth="1"/>
    <col min="13312" max="13312" width="18.5703125" style="28" customWidth="1"/>
    <col min="13313" max="13313" width="1.42578125" style="28" customWidth="1"/>
    <col min="13314" max="13314" width="58.85546875" style="28" customWidth="1"/>
    <col min="13315" max="13316" width="11.42578125" style="28"/>
    <col min="13317" max="13317" width="2.140625" style="28" customWidth="1"/>
    <col min="13318" max="13318" width="11.42578125" style="28"/>
    <col min="13319" max="13319" width="9.5703125" style="28" customWidth="1"/>
    <col min="13320" max="13565" width="11.42578125" style="28"/>
    <col min="13566" max="13566" width="0.140625" style="28" customWidth="1"/>
    <col min="13567" max="13567" width="2.5703125" style="28" customWidth="1"/>
    <col min="13568" max="13568" width="18.5703125" style="28" customWidth="1"/>
    <col min="13569" max="13569" width="1.42578125" style="28" customWidth="1"/>
    <col min="13570" max="13570" width="58.85546875" style="28" customWidth="1"/>
    <col min="13571" max="13572" width="11.42578125" style="28"/>
    <col min="13573" max="13573" width="2.140625" style="28" customWidth="1"/>
    <col min="13574" max="13574" width="11.42578125" style="28"/>
    <col min="13575" max="13575" width="9.5703125" style="28" customWidth="1"/>
    <col min="13576" max="13821" width="11.42578125" style="28"/>
    <col min="13822" max="13822" width="0.140625" style="28" customWidth="1"/>
    <col min="13823" max="13823" width="2.5703125" style="28" customWidth="1"/>
    <col min="13824" max="13824" width="18.5703125" style="28" customWidth="1"/>
    <col min="13825" max="13825" width="1.42578125" style="28" customWidth="1"/>
    <col min="13826" max="13826" width="58.85546875" style="28" customWidth="1"/>
    <col min="13827" max="13828" width="11.42578125" style="28"/>
    <col min="13829" max="13829" width="2.140625" style="28" customWidth="1"/>
    <col min="13830" max="13830" width="11.42578125" style="28"/>
    <col min="13831" max="13831" width="9.5703125" style="28" customWidth="1"/>
    <col min="13832" max="14077" width="11.42578125" style="28"/>
    <col min="14078" max="14078" width="0.140625" style="28" customWidth="1"/>
    <col min="14079" max="14079" width="2.5703125" style="28" customWidth="1"/>
    <col min="14080" max="14080" width="18.5703125" style="28" customWidth="1"/>
    <col min="14081" max="14081" width="1.42578125" style="28" customWidth="1"/>
    <col min="14082" max="14082" width="58.85546875" style="28" customWidth="1"/>
    <col min="14083" max="14084" width="11.42578125" style="28"/>
    <col min="14085" max="14085" width="2.140625" style="28" customWidth="1"/>
    <col min="14086" max="14086" width="11.42578125" style="28"/>
    <col min="14087" max="14087" width="9.5703125" style="28" customWidth="1"/>
    <col min="14088" max="14333" width="11.42578125" style="28"/>
    <col min="14334" max="14334" width="0.140625" style="28" customWidth="1"/>
    <col min="14335" max="14335" width="2.5703125" style="28" customWidth="1"/>
    <col min="14336" max="14336" width="18.5703125" style="28" customWidth="1"/>
    <col min="14337" max="14337" width="1.42578125" style="28" customWidth="1"/>
    <col min="14338" max="14338" width="58.85546875" style="28" customWidth="1"/>
    <col min="14339" max="14340" width="11.42578125" style="28"/>
    <col min="14341" max="14341" width="2.140625" style="28" customWidth="1"/>
    <col min="14342" max="14342" width="11.42578125" style="28"/>
    <col min="14343" max="14343" width="9.5703125" style="28" customWidth="1"/>
    <col min="14344" max="14589" width="11.42578125" style="28"/>
    <col min="14590" max="14590" width="0.140625" style="28" customWidth="1"/>
    <col min="14591" max="14591" width="2.5703125" style="28" customWidth="1"/>
    <col min="14592" max="14592" width="18.5703125" style="28" customWidth="1"/>
    <col min="14593" max="14593" width="1.42578125" style="28" customWidth="1"/>
    <col min="14594" max="14594" width="58.85546875" style="28" customWidth="1"/>
    <col min="14595" max="14596" width="11.42578125" style="28"/>
    <col min="14597" max="14597" width="2.140625" style="28" customWidth="1"/>
    <col min="14598" max="14598" width="11.42578125" style="28"/>
    <col min="14599" max="14599" width="9.5703125" style="28" customWidth="1"/>
    <col min="14600" max="14845" width="11.42578125" style="28"/>
    <col min="14846" max="14846" width="0.140625" style="28" customWidth="1"/>
    <col min="14847" max="14847" width="2.5703125" style="28" customWidth="1"/>
    <col min="14848" max="14848" width="18.5703125" style="28" customWidth="1"/>
    <col min="14849" max="14849" width="1.42578125" style="28" customWidth="1"/>
    <col min="14850" max="14850" width="58.85546875" style="28" customWidth="1"/>
    <col min="14851" max="14852" width="11.42578125" style="28"/>
    <col min="14853" max="14853" width="2.140625" style="28" customWidth="1"/>
    <col min="14854" max="14854" width="11.42578125" style="28"/>
    <col min="14855" max="14855" width="9.5703125" style="28" customWidth="1"/>
    <col min="14856" max="15101" width="11.42578125" style="28"/>
    <col min="15102" max="15102" width="0.140625" style="28" customWidth="1"/>
    <col min="15103" max="15103" width="2.5703125" style="28" customWidth="1"/>
    <col min="15104" max="15104" width="18.5703125" style="28" customWidth="1"/>
    <col min="15105" max="15105" width="1.42578125" style="28" customWidth="1"/>
    <col min="15106" max="15106" width="58.85546875" style="28" customWidth="1"/>
    <col min="15107" max="15108" width="11.42578125" style="28"/>
    <col min="15109" max="15109" width="2.140625" style="28" customWidth="1"/>
    <col min="15110" max="15110" width="11.42578125" style="28"/>
    <col min="15111" max="15111" width="9.5703125" style="28" customWidth="1"/>
    <col min="15112" max="15357" width="11.42578125" style="28"/>
    <col min="15358" max="15358" width="0.140625" style="28" customWidth="1"/>
    <col min="15359" max="15359" width="2.5703125" style="28" customWidth="1"/>
    <col min="15360" max="15360" width="18.5703125" style="28" customWidth="1"/>
    <col min="15361" max="15361" width="1.42578125" style="28" customWidth="1"/>
    <col min="15362" max="15362" width="58.85546875" style="28" customWidth="1"/>
    <col min="15363" max="15364" width="11.42578125" style="28"/>
    <col min="15365" max="15365" width="2.140625" style="28" customWidth="1"/>
    <col min="15366" max="15366" width="11.42578125" style="28"/>
    <col min="15367" max="15367" width="9.5703125" style="28" customWidth="1"/>
    <col min="15368" max="15613" width="11.42578125" style="28"/>
    <col min="15614" max="15614" width="0.140625" style="28" customWidth="1"/>
    <col min="15615" max="15615" width="2.5703125" style="28" customWidth="1"/>
    <col min="15616" max="15616" width="18.5703125" style="28" customWidth="1"/>
    <col min="15617" max="15617" width="1.42578125" style="28" customWidth="1"/>
    <col min="15618" max="15618" width="58.85546875" style="28" customWidth="1"/>
    <col min="15619" max="15620" width="11.42578125" style="28"/>
    <col min="15621" max="15621" width="2.140625" style="28" customWidth="1"/>
    <col min="15622" max="15622" width="11.42578125" style="28"/>
    <col min="15623" max="15623" width="9.5703125" style="28" customWidth="1"/>
    <col min="15624" max="15869" width="11.42578125" style="28"/>
    <col min="15870" max="15870" width="0.140625" style="28" customWidth="1"/>
    <col min="15871" max="15871" width="2.5703125" style="28" customWidth="1"/>
    <col min="15872" max="15872" width="18.5703125" style="28" customWidth="1"/>
    <col min="15873" max="15873" width="1.42578125" style="28" customWidth="1"/>
    <col min="15874" max="15874" width="58.85546875" style="28" customWidth="1"/>
    <col min="15875" max="15876" width="11.42578125" style="28"/>
    <col min="15877" max="15877" width="2.140625" style="28" customWidth="1"/>
    <col min="15878" max="15878" width="11.42578125" style="28"/>
    <col min="15879" max="15879" width="9.5703125" style="28" customWidth="1"/>
    <col min="15880" max="16125" width="11.42578125" style="28"/>
    <col min="16126" max="16126" width="0.140625" style="28" customWidth="1"/>
    <col min="16127" max="16127" width="2.5703125" style="28" customWidth="1"/>
    <col min="16128" max="16128" width="18.5703125" style="28" customWidth="1"/>
    <col min="16129" max="16129" width="1.42578125" style="28" customWidth="1"/>
    <col min="16130" max="16130" width="58.85546875" style="28" customWidth="1"/>
    <col min="16131" max="16132" width="11.42578125" style="28"/>
    <col min="16133" max="16133" width="2.140625" style="28" customWidth="1"/>
    <col min="16134" max="16134" width="11.42578125" style="28"/>
    <col min="16135" max="16135" width="9.5703125" style="28" customWidth="1"/>
    <col min="16136" max="16384" width="11.42578125" style="28"/>
  </cols>
  <sheetData>
    <row r="1" spans="2:12" s="29" customFormat="1" ht="0.75" customHeight="1"/>
    <row r="2" spans="2:12" s="29" customFormat="1" ht="21" customHeight="1">
      <c r="E2" s="27" t="s">
        <v>19</v>
      </c>
    </row>
    <row r="3" spans="2:12" s="29" customFormat="1" ht="15" customHeight="1">
      <c r="E3" s="43" t="str">
        <f>Indice!E3</f>
        <v>Septiembre 2025</v>
      </c>
    </row>
    <row r="4" spans="2:12" s="31" customFormat="1" ht="20.25" customHeight="1">
      <c r="B4" s="39"/>
      <c r="C4" s="25" t="s">
        <v>39</v>
      </c>
    </row>
    <row r="5" spans="2:12" s="31" customFormat="1" ht="12.75" customHeight="1">
      <c r="B5" s="39"/>
      <c r="C5" s="42"/>
    </row>
    <row r="6" spans="2:12" s="31" customFormat="1" ht="13.5" customHeight="1">
      <c r="B6" s="39"/>
      <c r="C6" s="38"/>
      <c r="D6" s="37"/>
      <c r="E6" s="37"/>
    </row>
    <row r="7" spans="2:12" s="31" customFormat="1" ht="12.75" customHeight="1">
      <c r="B7" s="39"/>
      <c r="C7" s="243" t="s">
        <v>112</v>
      </c>
      <c r="D7" s="37"/>
      <c r="E7" s="41"/>
    </row>
    <row r="8" spans="2:12" s="31" customFormat="1" ht="12.75" customHeight="1">
      <c r="B8" s="39"/>
      <c r="C8" s="243"/>
      <c r="D8" s="37"/>
      <c r="E8" s="41"/>
      <c r="F8" s="44"/>
      <c r="J8" s="30"/>
      <c r="K8" s="30"/>
      <c r="L8" s="30"/>
    </row>
    <row r="9" spans="2:12" s="31" customFormat="1" ht="12.75" customHeight="1">
      <c r="B9" s="39"/>
      <c r="C9" s="243"/>
      <c r="D9" s="37"/>
      <c r="E9" s="41"/>
      <c r="F9" s="44"/>
      <c r="J9" s="30"/>
      <c r="K9" s="78"/>
      <c r="L9" s="79"/>
    </row>
    <row r="10" spans="2:12" s="31" customFormat="1" ht="12.75" customHeight="1">
      <c r="B10" s="39"/>
      <c r="C10" s="33" t="str">
        <f>CONCATENATE(TEXT(SUM(Dat_01!C33:C46),"0.0")," MW")</f>
        <v>3.389 MW</v>
      </c>
      <c r="D10" s="37"/>
      <c r="E10" s="41"/>
      <c r="F10" s="44"/>
      <c r="J10" s="30"/>
      <c r="K10" s="80"/>
      <c r="L10" s="77"/>
    </row>
    <row r="11" spans="2:12" s="31" customFormat="1" ht="12.75" customHeight="1">
      <c r="B11" s="39"/>
      <c r="D11" s="37"/>
      <c r="E11" s="37"/>
      <c r="F11" s="44"/>
      <c r="J11" s="30"/>
      <c r="K11" s="80"/>
      <c r="L11" s="77"/>
    </row>
    <row r="12" spans="2:12" s="31" customFormat="1" ht="12.75" customHeight="1">
      <c r="B12" s="39"/>
      <c r="C12" s="40"/>
      <c r="D12" s="37"/>
      <c r="E12" s="37"/>
      <c r="F12" s="44"/>
      <c r="J12" s="30"/>
    </row>
    <row r="13" spans="2:12" s="31" customFormat="1" ht="12.75" customHeight="1">
      <c r="B13" s="39"/>
      <c r="C13" s="40"/>
      <c r="D13" s="37"/>
      <c r="E13" s="37"/>
      <c r="F13" s="44"/>
      <c r="J13" s="30"/>
      <c r="K13" s="30"/>
      <c r="L13" s="30"/>
    </row>
    <row r="14" spans="2:12" s="31" customFormat="1" ht="12.75" customHeight="1">
      <c r="B14" s="39"/>
      <c r="C14" s="40"/>
      <c r="D14" s="37"/>
      <c r="E14" s="37"/>
      <c r="F14" s="44"/>
    </row>
    <row r="15" spans="2:12" s="31" customFormat="1" ht="12.75" customHeight="1">
      <c r="B15" s="39"/>
      <c r="C15" s="40"/>
      <c r="D15" s="37"/>
      <c r="E15" s="37"/>
      <c r="F15" s="44"/>
    </row>
    <row r="16" spans="2:12" s="31" customFormat="1" ht="12.75" customHeight="1">
      <c r="B16" s="39"/>
      <c r="D16" s="37"/>
      <c r="E16" s="37"/>
      <c r="F16" s="44"/>
      <c r="J16" s="30"/>
      <c r="K16" s="30"/>
      <c r="L16" s="30"/>
    </row>
    <row r="17" spans="2:12" s="31" customFormat="1" ht="12.75" customHeight="1">
      <c r="B17" s="39"/>
      <c r="D17" s="37"/>
      <c r="E17" s="37"/>
      <c r="F17" s="44"/>
      <c r="J17" s="30"/>
      <c r="K17" s="30"/>
      <c r="L17" s="30"/>
    </row>
    <row r="18" spans="2:12" s="31" customFormat="1" ht="12.75" customHeight="1">
      <c r="B18" s="39"/>
      <c r="D18" s="37"/>
      <c r="E18" s="37"/>
      <c r="F18" s="142"/>
      <c r="J18" s="30"/>
      <c r="K18" s="30"/>
      <c r="L18" s="30"/>
    </row>
    <row r="19" spans="2:12" s="31" customFormat="1" ht="12.75" customHeight="1">
      <c r="B19" s="39"/>
      <c r="C19" s="40"/>
      <c r="D19" s="37"/>
      <c r="E19" s="37"/>
      <c r="F19" s="44"/>
      <c r="J19" s="30"/>
      <c r="K19" s="30"/>
      <c r="L19" s="30"/>
    </row>
    <row r="20" spans="2:12" s="31" customFormat="1" ht="12.75" customHeight="1">
      <c r="B20" s="39"/>
      <c r="C20" s="38"/>
      <c r="D20" s="37"/>
      <c r="E20" s="37"/>
      <c r="F20" s="44"/>
      <c r="J20" s="30"/>
      <c r="K20" s="30"/>
    </row>
    <row r="21" spans="2:12" s="31" customFormat="1" ht="12.75" customHeight="1">
      <c r="B21" s="39"/>
      <c r="C21" s="38"/>
      <c r="D21" s="37"/>
      <c r="E21" s="37"/>
      <c r="F21" s="44"/>
      <c r="J21" s="30"/>
      <c r="K21" s="30"/>
    </row>
    <row r="22" spans="2:12" s="31" customFormat="1" ht="12.75" customHeight="1">
      <c r="B22" s="39"/>
      <c r="C22" s="38"/>
      <c r="D22" s="37"/>
      <c r="E22" s="37"/>
      <c r="J22" s="30"/>
      <c r="K22" s="30"/>
    </row>
    <row r="23" spans="2:12">
      <c r="E23" s="36"/>
      <c r="J23" s="31"/>
      <c r="K23" s="31"/>
    </row>
    <row r="24" spans="2:12" ht="12.75" customHeight="1">
      <c r="C24" s="243" t="s">
        <v>120</v>
      </c>
      <c r="E24" s="35"/>
      <c r="J24" s="31"/>
      <c r="K24" s="31"/>
    </row>
    <row r="25" spans="2:12">
      <c r="C25" s="243"/>
      <c r="E25" s="34"/>
      <c r="J25" s="30"/>
      <c r="K25" s="30"/>
    </row>
    <row r="26" spans="2:12" ht="12.75" customHeight="1">
      <c r="C26" s="33"/>
      <c r="J26" s="78"/>
      <c r="K26" s="79"/>
    </row>
    <row r="27" spans="2:12">
      <c r="C27" s="64"/>
      <c r="J27" s="80"/>
      <c r="K27" s="77"/>
    </row>
    <row r="28" spans="2:12">
      <c r="C28" s="64"/>
      <c r="F28" s="44"/>
      <c r="J28" s="80"/>
      <c r="K28" s="77"/>
    </row>
    <row r="29" spans="2:12">
      <c r="C29" s="32"/>
      <c r="F29" s="44"/>
      <c r="J29" s="31"/>
      <c r="K29" s="31"/>
    </row>
    <row r="30" spans="2:12">
      <c r="F30" s="44"/>
      <c r="J30" s="30"/>
      <c r="K30" s="30"/>
    </row>
    <row r="31" spans="2:12">
      <c r="F31" s="44"/>
      <c r="J31" s="31"/>
      <c r="K31" s="31"/>
    </row>
    <row r="32" spans="2:12">
      <c r="F32" s="44"/>
      <c r="J32" s="31"/>
      <c r="K32" s="31"/>
    </row>
    <row r="33" spans="6:11">
      <c r="F33" s="44"/>
      <c r="J33" s="30"/>
      <c r="K33" s="30"/>
    </row>
    <row r="34" spans="6:11">
      <c r="F34" s="44"/>
      <c r="J34" s="30"/>
      <c r="K34" s="30"/>
    </row>
    <row r="35" spans="6:11">
      <c r="F35" s="44"/>
      <c r="J35" s="30"/>
      <c r="K35" s="30"/>
    </row>
    <row r="36" spans="6:11">
      <c r="F36" s="44"/>
      <c r="J36" s="30"/>
      <c r="K36" s="30"/>
    </row>
    <row r="37" spans="6:11">
      <c r="F37" s="44"/>
    </row>
    <row r="38" spans="6:11">
      <c r="F38" s="44"/>
    </row>
    <row r="39" spans="6:11">
      <c r="F39" s="44"/>
    </row>
  </sheetData>
  <mergeCells count="2">
    <mergeCell ref="C24:C25"/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1" orientation="landscape" r:id="rId1"/>
  <headerFooter alignWithMargins="0"/>
  <ignoredErrors>
    <ignoredError sqref="C10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/>
  <dimension ref="A1:T45"/>
  <sheetViews>
    <sheetView showGridLines="0" showRowColHeaders="0" zoomScaleNormal="100" workbookViewId="0">
      <selection activeCell="B2" sqref="B2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Septiembre 2025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44" t="s">
        <v>114</v>
      </c>
      <c r="D7" s="55"/>
      <c r="E7" s="59"/>
    </row>
    <row r="8" spans="1:20" ht="12.75" customHeight="1">
      <c r="A8" s="58"/>
      <c r="B8" s="57"/>
      <c r="C8" s="244"/>
      <c r="D8" s="55"/>
      <c r="E8" s="59"/>
      <c r="F8" s="54"/>
    </row>
    <row r="9" spans="1:20" ht="12.75" customHeight="1">
      <c r="A9" s="58"/>
      <c r="B9" s="57"/>
      <c r="C9" s="244"/>
      <c r="D9" s="55"/>
      <c r="E9" s="59"/>
      <c r="F9" s="54"/>
    </row>
    <row r="10" spans="1:20" ht="12.75" customHeight="1">
      <c r="A10" s="58"/>
      <c r="B10" s="57"/>
      <c r="C10" s="173" t="s">
        <v>13</v>
      </c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/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127</v>
      </c>
      <c r="F25" s="53"/>
      <c r="G25" s="53"/>
    </row>
    <row r="26" spans="1:7" ht="12.75" customHeight="1"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2" spans="5:5" ht="12.75" customHeight="1"/>
    <row r="43" spans="5:5" ht="12.75" customHeight="1"/>
    <row r="44" spans="5:5" ht="12.75" customHeight="1">
      <c r="E44" s="48"/>
    </row>
    <row r="45" spans="5:5">
      <c r="E45" s="48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Indice</vt:lpstr>
      <vt:lpstr>SN1</vt:lpstr>
      <vt:lpstr>SN2</vt:lpstr>
      <vt:lpstr>SN3</vt:lpstr>
      <vt:lpstr>SN4</vt:lpstr>
      <vt:lpstr>SN5</vt:lpstr>
      <vt:lpstr>SN5 FUEL GAS</vt:lpstr>
      <vt:lpstr>SN6</vt:lpstr>
      <vt:lpstr>SN7</vt:lpstr>
      <vt:lpstr>SN7 FUEL GAS</vt:lpstr>
      <vt:lpstr>SN8</vt:lpstr>
      <vt:lpstr>SN9</vt:lpstr>
      <vt:lpstr>SN10</vt:lpstr>
      <vt:lpstr>Dat_01</vt:lpstr>
    </vt:vector>
  </TitlesOfParts>
  <Company>Red Electrica de España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SEVPENMA</dc:creator>
  <cp:lastModifiedBy>De La Fuente Perez, Roberto</cp:lastModifiedBy>
  <cp:lastPrinted>2021-10-14T14:51:00Z</cp:lastPrinted>
  <dcterms:created xsi:type="dcterms:W3CDTF">2016-11-17T11:02:48Z</dcterms:created>
  <dcterms:modified xsi:type="dcterms:W3CDTF">2025-10-15T08:02:22Z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