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SEP\INF_ELABORADA\"/>
    </mc:Choice>
  </mc:AlternateContent>
  <xr:revisionPtr revIDLastSave="0" documentId="8_{4FF74F10-11B3-44FC-8685-1A5F19A2CA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Dat_01!$A$85:$X$113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22" l="1"/>
  <c r="M20" i="22"/>
  <c r="K20" i="22"/>
  <c r="M18" i="22"/>
  <c r="M12" i="22"/>
  <c r="I9" i="22"/>
  <c r="C47" i="18" l="1"/>
  <c r="C68" i="18" l="1"/>
  <c r="K18" i="22" l="1"/>
  <c r="B56" i="18" l="1"/>
  <c r="C72" i="18" l="1"/>
  <c r="G68" i="18" l="1"/>
  <c r="G52" i="18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19" i="18" l="1"/>
  <c r="O144" i="18"/>
  <c r="B47" i="18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L20" i="22" l="1"/>
  <c r="L24" i="22" s="1"/>
  <c r="L15" i="22"/>
  <c r="H15" i="22"/>
  <c r="F15" i="22"/>
  <c r="F24" i="22"/>
  <c r="H20" i="22"/>
  <c r="I20" i="22" s="1"/>
  <c r="J24" i="22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N117" i="18"/>
  <c r="N144" i="18" s="1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M117" i="18"/>
  <c r="M144" i="18" s="1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L117" i="18"/>
  <c r="L144" i="18" s="1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K117" i="18"/>
  <c r="K144" i="18" s="1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37" i="18"/>
  <c r="K141" i="18"/>
  <c r="K136" i="18"/>
  <c r="K140" i="18"/>
  <c r="K143" i="18"/>
  <c r="J117" i="18"/>
  <c r="J144" i="18" s="1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6" i="18"/>
  <c r="J137" i="18"/>
  <c r="J138" i="18"/>
  <c r="J139" i="18"/>
  <c r="J140" i="18"/>
  <c r="J141" i="18"/>
  <c r="J142" i="18"/>
  <c r="J143" i="18"/>
  <c r="I117" i="18"/>
  <c r="I144" i="18" s="1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H117" i="18"/>
  <c r="H144" i="18" s="1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I146" i="18"/>
  <c r="G117" i="18"/>
  <c r="G144" i="18" s="1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F117" i="18"/>
  <c r="F144" i="18" s="1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E117" i="18"/>
  <c r="E144" i="18" s="1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F146" i="18"/>
  <c r="D117" i="18"/>
  <c r="D144" i="18" s="1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C117" i="18"/>
  <c r="C144" i="18" s="1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<sst xmlns="http://schemas.openxmlformats.org/spreadsheetml/2006/main" count="430" uniqueCount="135">
  <si>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</si>
  <si>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</si>
  <si>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</si>
  <si>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</si>
  <si>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</si>
  <si>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</si>
  <si>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</si>
  <si>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</si>
  <si>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</si>
  <si>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</si>
  <si>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</si>
  <si>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</si>
  <si>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</si>
  <si>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</si>
  <si>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</si>
  <si>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</si>
  <si>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</si>
  <si>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</si>
  <si>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</si>
  <si>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</si>
  <si>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</si>
  <si>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</si>
  <si>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</si>
  <si>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</si>
  <si>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</si>
  <si>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</si>
  <si>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</si>
  <si>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</si>
  <si>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</si>
  <si>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</si>
  <si>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</si>
  <si>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</si>
  <si>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</si>
  <si>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</si>
  <si>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</si>
  <si>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</si>
  <si>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</si>
  <si>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</si>
  <si>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</si>
  <si>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</si>
  <si>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</si>
  <si>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</si>
  <si>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</si>
  <si>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</si>
  <si>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</si>
  <si>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</si>
  <si>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</si>
  <si>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</si>
  <si>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</si>
  <si>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</si>
  <si>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</si>
  <si>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</si>
  <si>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</si>
  <si>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</si>
  <si>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</si>
  <si>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</si>
  <si>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</si>
  <si>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</si>
  <si>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</si>
  <si>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</si>
  <si>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</si>
  <si>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</si>
  <si>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</si>
  <si>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</si>
  <si>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</si>
  <si>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</si>
  <si>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</si>
  <si>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</si>
  <si>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</si>
  <si>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</si>
  <si>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</si>
  <si>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</si>
  <si>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</si>
  <si>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</si>
  <si>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</si>
  <si>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</si>
  <si>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</si>
  <si>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</si>
  <si>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</si>
  <si>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</si>
  <si>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</si>
  <si>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</si>
  <si>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</si>
  <si>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</si>
  <si>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</si>
  <si>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</si>
  <si>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</si>
  <si>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</si>
  <si>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</si>
  <si>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</si>
  <si>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</si>
  <si>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</si>
  <si>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</si>
  <si>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</si>
  <si>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</si>
  <si>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</si>
  <si>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</si>
  <si>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</si>
  <si>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</si>
  <si>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</si>
  <si>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</si>
  <si>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</si>
  <si>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</si>
  <si>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</si>
  <si>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</si>
  <si>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</si>
  <si>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</si>
  <si>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</si>
  <si>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</si>
  <si>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</si>
  <si>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</si>
  <si>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</si>
  <si>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</si>
  <si>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</si>
  <si>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</si>
  <si>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</si>
  <si>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</si>
  <si>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</si>
  <si>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</si>
  <si>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</si>
  <si>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</si>
  <si>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</si>
  <si>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</si>
  <si>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</si>
  <si>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</si>
  <si>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</si>
  <si>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</si>
  <si>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30/09/2022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</si>
  <si>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ut="10/11/2022 08:44:17" si="2.0000000140d38dcf528c3da72ef62ed0bedfa8e69eafbbfde03b32da2a3537c719cee964a1a6dcb7fe87119a02bee78c8e530f71770f93cd24660390c6651cbc78fbe866c5418fe5ab25b0a10e0a8ee60553bb9cd9016d496d0b4b256133554a31dca0c9a8d6071b84338078525aaaec5225133bbce13e4d628917d39054902cce6be108fa1c6afe6b34f337f40710363e0be1f89c24d1fa3eb674b2c1ce08c8ab9d.p.3082.0.1.Europe/Madrid.upriv*_1*_pidn2*_6*_session*-lat*_1.0000000169be07d8a5f3e706419423745d6e1de8bc6025e021e0122369fb3a7fb5f1d53fef9f9f72b424264a9a75eca81ddeae85be940d71.00000001c3b27c6373653e3dc04c7fc5f7d5b61dbc6025e06d2b6b0abf79677ad98e8c8813c7621dfe5dc88d2ee0c77ba52f1b9fc94d2255.0.1.1.BDEbi.D066E1C611E6257C10D00080EF253B44.0-3082.1.1_-0.1.0_-3082.1.1_5.5.0.*0.000000014e9e1d3b3df9d06a9c79964d75acc301c911585a4e596b3f8702e7deb749e233e7b8bcf8.0.23.11*.2*.0400*.31152J.e.000000010e9a9b9809940bc010c09f846a7b7726c911585a0a02cc3f6e484eb97e2666fd049356ee.0.10*.131*.122*.122.0.0" msgID="E33EE39A11ED4940CD200080EFD51D39"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nrr="65"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</si>
  <si>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ut="10/11/2022 08:50:40" si="2.0000000140d38dcf528c3da72ef62ed0bedfa8e69eafbbfde03b32da2a3537c719cee964a1a6dcb7fe87119a02bee78c8e530f71770f93cd24660390c6651cbc78fbe866c5418fe5ab25b0a10e0a8ee60553bb9cd9016d496d0b4b256133554a31dca0c9a8d6071b84338078525aaaec5225133bbce13e4d628917d39054902cce6be108fa1c6afe6b34f337f40710363e0be1f89c24d1fa3eb674b2c1ce08c8ab9d.p.3082.0.1.Europe/Madrid.upriv*_1*_pidn2*_6*_session*-lat*_1.0000000169be07d8a5f3e706419423745d6e1de8bc6025e021e0122369fb3a7fb5f1d53fef9f9f72b424264a9a75eca81ddeae85be940d71.00000001c3b27c6373653e3dc04c7fc5f7d5b61dbc6025e06d2b6b0abf79677ad98e8c8813c7621dfe5dc88d2ee0c77ba52f1b9fc94d2255.0.1.1.BDEbi.D066E1C611E6257C10D00080EF253B44.0-3082.1.1_-0.1.0_-3082.1.1_5.5.0.*0.000000014e9e1d3b3df9d06a9c79964d75acc301c911585a4e596b3f8702e7deb749e233e7b8bcf8.0.23.11*.2*.0400*.31152J.e.000000010e9a9b9809940bc010c09f846a7b7726c911585a0a02cc3f6e484eb97e2666fd049356ee.0.10*.131*.122*.122.0.0" msgID="EC4A8E4411ED4940CD200080EF857C38"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nrr="1122" nrc="2112"&gt;&lt;pg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</si>
  <si>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Octubre 2022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</si>
  <si>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ut="10/11/2022 08:58:38" si="2.0000000140d38dcf528c3da72ef62ed0bedfa8e69eafbbfde03b32da2a3537c719cee964a1a6dcb7fe87119a02bee78c8e530f71770f93cd24660390c6651cbc78fbe866c5418fe5ab25b0a10e0a8ee60553bb9cd9016d496d0b4b256133554a31dca0c9a8d6071b84338078525aaaec5225133bbce13e4d628917d39054902cce6be108fa1c6afe6b34f337f40710363e0be1f89c24d1fa3eb674b2c1ce08c8ab9d.p.3082.0.1.Europe/Madrid.upriv*_1*_pidn2*_6*_session*-lat*_1.0000000169be07d8a5f3e706419423745d6e1de8bc6025e021e0122369fb3a7fb5f1d53fef9f9f72b424264a9a75eca81ddeae85be940d71.00000001c3b27c6373653e3dc04c7fc5f7d5b61dbc6025e06d2b6b0abf79677ad98e8c8813c7621dfe5dc88d2ee0c77ba52f1b9fc94d2255.0.1.1.BDEbi.D066E1C611E6257C10D00080EF253B44.0-3082.1.1_-0.1.0_-3082.1.1_5.5.0.*0.000000014e9e1d3b3df9d06a9c79964d75acc301c911585a4e596b3f8702e7deb749e233e7b8bcf8.0.23.11*.2*.0400*.31152J.e.000000010e9a9b9809940bc010c09f846a7b7726c911585a0a02cc3f6e484eb97e2666fd049356ee.0.10*.131*.122*.122.0.0" msgID="2BCCFA6B11ED4942CD200080EFA5BD3B"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rows="29" cols="24" /&gt;&lt;esdo ews="" ece="" ptn="" /&gt;&lt;/excel&gt;&lt;pgs&gt;&lt;pg rows="26" cols="22" nrr="1605" nrc="1251"&gt;&lt;pg /&gt;&lt;bls&gt;&lt;bl sr="1" sc="1" rfetch="26" cfetch="22" posid="1" darows="0" dacols="1"&gt;&lt;excel&gt;&lt;epo ews="Dat_01" ece="A85" enr="MSTR.Serie_Balance_B.C._Mensual_Baleares_y_Canarias" ptn="" qtn="" rows="29" cols="24" /&gt;&lt;esdo ews="" ece="" ptn="" /&gt;&lt;/excel&gt;&lt;gridRng&gt;&lt;sect id="TITLE_AREA" rngprop="1:1:3:2" /&gt;&lt;sect id="ROWHEADERS_AREA" rngprop="4:1:26:2" /&gt;&lt;sect id="COLUMNHEADERS_AREA" rngprop="1:3:3:22" /&gt;&lt;sect id="DATA_AREA" rngprop="4:3:26:22"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</si>
  <si>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ut="10/11/2022 09:01:25" si="2.00000001d8e03610481fbe4f702ec2317a022ae8e6835acbcd0821308823f7ba6b71f481551bd7e65fb3018a808f85f2388b2220c486866662993b82903c3941824fff6ed96a295ec0e520165072e4af3ba48ebe4f2768f3011e857058880362264caeca377623e8a35a6acd63937e5e63995cc83455a636746805fe240984491595795e00fb2dd52a79ce574831f517e207a0fb2dcb172e5cd8736f33da65b21efc.p.3082.0.1.Europe/Madrid.upriv*_1*_pidn2*_6*_session*-lat*_1.00000001571c254e2bb9f4bf08c11c5d3cf2aefcbc6025e04d97614c558460a2e7cf9cf6bd071cd16eeffb5534e7361d3fdc7c36e404e518.00000001e814236d39e9aba8dde09fe81385dba3bc6025e069ff0c6b4bce622f5d98345d416adb5d88a5829189f53c68479f5ff13a115dfa.0.1.1.BDEbi.D066E1C611E6257C10D00080EF253B44.0-3082.1.1_-0.1.0_-3082.1.1_5.5.0.*0.000000013c77e9067a163eb9acd7c5c4711a7a7ac911585a3acd08f81f690e894e2eaba05aadd258.0.23.11*.2*.0400*.31152J.e.00000001b459310a1df7b108bea2a1a9e25856edc911585a0840bebd4aed095aaffb578c5862901d.0.10*.131*.122*.122.0.0" msgID="37FBB8F311ED49430A500080EF658C9B"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nrr="93" nrc="552"&gt;&lt;pg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</si>
  <si>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de2e28fb494f4f3fb3f835acd6a81d01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</si>
  <si>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ut="10/11/2022 09:03:21" si="2.00000001d8e03610481fbe4f702ec2317a022ae8e6835acbcd0821308823f7ba6b71f481551bd7e65fb3018a808f85f2388b2220c486866662993b82903c3941824fff6ed96a295ec0e520165072e4af3ba48ebe4f2768f3011e857058880362264caeca377623e8a35a6acd63937e5e63995cc83455a636746805fe240984491595795e00fb2dd52a79ce574831f517e207a0fb2dcb172e5cd8736f33da65b21efc.p.3082.0.1.Europe/Madrid.upriv*_1*_pidn2*_6*_session*-lat*_1.00000001571c254e2bb9f4bf08c11c5d3cf2aefcbc6025e04d97614c558460a2e7cf9cf6bd071cd16eeffb5534e7361d3fdc7c36e404e518.00000001e814236d39e9aba8dde09fe81385dba3bc6025e069ff0c6b4bce622f5d98345d416adb5d88a5829189f53c68479f5ff13a115dfa.0.1.1.BDEbi.D066E1C611E6257C10D00080EF253B44.0-3082.1.1_-0.1.0_-3082.1.1_5.5.0.*0.000000013c77e9067a163eb9acd7c5c4711a7a7ac911585a3acd08f81f690e894e2eaba05aadd258.0.23.11*.2*.0400*.31152J.e.00000001b459310a1df7b108bea2a1a9e25856edc911585a0840bebd4aed095aaffb578c5862901d.0.10*.131*.122*.122.0.0" msgID="86AC752D11ED49430A500080EF95EC9B"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nrr="47" nrc="576"&gt;&lt;pg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</si>
</sst>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3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25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8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0" fontId="49" fillId="0" borderId="0" xfId="0" applyFont="1"/>
    <xf numFmtId="10" fontId="19" fillId="5" borderId="10" xfId="33" applyAlignment="1">
      <alignment horizontal="right" vertical="center"/>
    </xf>
    <xf numFmtId="172" fontId="0" fillId="0" borderId="0" xfId="0" applyNumberFormat="1"/>
    <xf numFmtId="171" fontId="45" fillId="0" borderId="0" xfId="0" applyNumberFormat="1" applyFont="1"/>
    <xf numFmtId="168" fontId="50" fillId="0" borderId="0" xfId="0" applyNumberFormat="1" applyFont="1"/>
    <xf numFmtId="0" fontId="50" fillId="0" borderId="0" xfId="0" applyFont="1"/>
    <xf numFmtId="164" fontId="32" fillId="6" borderId="10" xfId="13" applyNumberFormat="1" applyAlignment="1">
      <alignment horizontal="right" vertical="center"/>
    </xf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4" fontId="45" fillId="0" borderId="0" xfId="0" applyNumberFormat="1" applyFont="1"/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23089430894308932"/>
                  <c:y val="-1.06917322834645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8211382113821126"/>
                  <c:y val="2.777755905511765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762902503040777"/>
                  <c:y val="0.193382372240234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layout>
                <c:manualLayout>
                  <c:x val="-0.25040650406504067"/>
                  <c:y val="0.125784251968503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21138211382113822"/>
                  <c:y val="-2.99498224486645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9.9691312976121882E-2"/>
                  <c:y val="-0.137772502701868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0.15121951219512197"/>
                  <c:y val="-0.147824610159024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52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23395070738108945"/>
                  <c:y val="-5.7740551181102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0492286025225"/>
                      <c:h val="0.175392156862745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5.5017488233037799</c:v>
                </c:pt>
                <c:pt idx="2">
                  <c:v>9.4929528802304866</c:v>
                </c:pt>
                <c:pt idx="3">
                  <c:v>63.416527790920149</c:v>
                </c:pt>
                <c:pt idx="4">
                  <c:v>0.6871566061910962</c:v>
                </c:pt>
                <c:pt idx="5">
                  <c:v>0.34263665954015665</c:v>
                </c:pt>
                <c:pt idx="6">
                  <c:v>2.2841733966627276</c:v>
                </c:pt>
                <c:pt idx="7">
                  <c:v>2.2841733966627276</c:v>
                </c:pt>
                <c:pt idx="8">
                  <c:v>2.1459853128765181E-3</c:v>
                </c:pt>
                <c:pt idx="9">
                  <c:v>4.0948891200334074</c:v>
                </c:pt>
                <c:pt idx="10">
                  <c:v>1.2079240056953773E-2</c:v>
                </c:pt>
                <c:pt idx="11">
                  <c:v>11.881516101085619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2032520325203253"/>
                  <c:y val="-0.11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-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4390243902439024"/>
                  <c:y val="0.25480393700787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5691056910569104"/>
                  <c:y val="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8373996543115037"/>
                  <c:y val="-0.113264242704956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8.6178861788617889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11.522411988221256</c:v>
                </c:pt>
                <c:pt idx="1">
                  <c:v>6.6593044409537452</c:v>
                </c:pt>
                <c:pt idx="2">
                  <c:v>28.81080708995124</c:v>
                </c:pt>
                <c:pt idx="3">
                  <c:v>39.310915526978732</c:v>
                </c:pt>
                <c:pt idx="4">
                  <c:v>0</c:v>
                </c:pt>
                <c:pt idx="5">
                  <c:v>0.55046746824325676</c:v>
                </c:pt>
                <c:pt idx="6">
                  <c:v>1.7866426548900287</c:v>
                </c:pt>
                <c:pt idx="7">
                  <c:v>1.7866426548900287</c:v>
                </c:pt>
                <c:pt idx="8">
                  <c:v>0.17233458228651816</c:v>
                </c:pt>
                <c:pt idx="9">
                  <c:v>9.2987209504056096</c:v>
                </c:pt>
                <c:pt idx="10">
                  <c:v>0.10175264317956582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sep.-21</c:v>
                </c:pt>
                <c:pt idx="1">
                  <c:v>oct.-21</c:v>
                </c:pt>
                <c:pt idx="2">
                  <c:v>nov.-21</c:v>
                </c:pt>
                <c:pt idx="3">
                  <c:v>dic.-21</c:v>
                </c:pt>
                <c:pt idx="4">
                  <c:v>ene.-22</c:v>
                </c:pt>
                <c:pt idx="5">
                  <c:v>feb.-22</c:v>
                </c:pt>
                <c:pt idx="6">
                  <c:v>mar.-22</c:v>
                </c:pt>
                <c:pt idx="7">
                  <c:v>abr.-22</c:v>
                </c:pt>
                <c:pt idx="8">
                  <c:v>may.-22</c:v>
                </c:pt>
                <c:pt idx="9">
                  <c:v>jun.-22</c:v>
                </c:pt>
                <c:pt idx="10">
                  <c:v>jul.-22</c:v>
                </c:pt>
                <c:pt idx="11">
                  <c:v>ago.-22</c:v>
                </c:pt>
                <c:pt idx="12">
                  <c:v>sep.-22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-0.54997399999999996</c:v>
                </c:pt>
                <c:pt idx="1">
                  <c:v>-0.58327700000000005</c:v>
                </c:pt>
                <c:pt idx="2">
                  <c:v>-0.582067</c:v>
                </c:pt>
                <c:pt idx="3">
                  <c:v>-0.61424800000000002</c:v>
                </c:pt>
                <c:pt idx="4">
                  <c:v>-0.627467</c:v>
                </c:pt>
                <c:pt idx="5">
                  <c:v>-0.58012699999999995</c:v>
                </c:pt>
                <c:pt idx="6">
                  <c:v>-0.66887300000000005</c:v>
                </c:pt>
                <c:pt idx="7">
                  <c:v>-0.60498099999999999</c:v>
                </c:pt>
                <c:pt idx="8">
                  <c:v>-1.0302370000000001</c:v>
                </c:pt>
                <c:pt idx="9">
                  <c:v>29.141857000000002</c:v>
                </c:pt>
                <c:pt idx="10">
                  <c:v>50.189168000000002</c:v>
                </c:pt>
                <c:pt idx="11">
                  <c:v>5.2653150000000002</c:v>
                </c:pt>
                <c:pt idx="12">
                  <c:v>-0.60380599999999995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sep.-21</c:v>
                </c:pt>
                <c:pt idx="1">
                  <c:v>oct.-21</c:v>
                </c:pt>
                <c:pt idx="2">
                  <c:v>nov.-21</c:v>
                </c:pt>
                <c:pt idx="3">
                  <c:v>dic.-21</c:v>
                </c:pt>
                <c:pt idx="4">
                  <c:v>ene.-22</c:v>
                </c:pt>
                <c:pt idx="5">
                  <c:v>feb.-22</c:v>
                </c:pt>
                <c:pt idx="6">
                  <c:v>mar.-22</c:v>
                </c:pt>
                <c:pt idx="7">
                  <c:v>abr.-22</c:v>
                </c:pt>
                <c:pt idx="8">
                  <c:v>may.-22</c:v>
                </c:pt>
                <c:pt idx="9">
                  <c:v>jun.-22</c:v>
                </c:pt>
                <c:pt idx="10">
                  <c:v>jul.-22</c:v>
                </c:pt>
                <c:pt idx="11">
                  <c:v>ago.-22</c:v>
                </c:pt>
                <c:pt idx="12">
                  <c:v>sep.-22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93.585977999999997</c:v>
                </c:pt>
                <c:pt idx="1">
                  <c:v>60.567518999999997</c:v>
                </c:pt>
                <c:pt idx="2">
                  <c:v>37.046178999999995</c:v>
                </c:pt>
                <c:pt idx="3">
                  <c:v>38.331002999999995</c:v>
                </c:pt>
                <c:pt idx="4">
                  <c:v>46.216700000000003</c:v>
                </c:pt>
                <c:pt idx="5">
                  <c:v>39.301479</c:v>
                </c:pt>
                <c:pt idx="6">
                  <c:v>43.217820000000003</c:v>
                </c:pt>
                <c:pt idx="7">
                  <c:v>55.506872999999999</c:v>
                </c:pt>
                <c:pt idx="8">
                  <c:v>70.042845</c:v>
                </c:pt>
                <c:pt idx="9">
                  <c:v>85.898263999999998</c:v>
                </c:pt>
                <c:pt idx="10">
                  <c:v>121.496702</c:v>
                </c:pt>
                <c:pt idx="11">
                  <c:v>132.46422999999999</c:v>
                </c:pt>
                <c:pt idx="12">
                  <c:v>93.244120000000009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sep.-21</c:v>
                </c:pt>
                <c:pt idx="1">
                  <c:v>oct.-21</c:v>
                </c:pt>
                <c:pt idx="2">
                  <c:v>nov.-21</c:v>
                </c:pt>
                <c:pt idx="3">
                  <c:v>dic.-21</c:v>
                </c:pt>
                <c:pt idx="4">
                  <c:v>ene.-22</c:v>
                </c:pt>
                <c:pt idx="5">
                  <c:v>feb.-22</c:v>
                </c:pt>
                <c:pt idx="6">
                  <c:v>mar.-22</c:v>
                </c:pt>
                <c:pt idx="7">
                  <c:v>abr.-22</c:v>
                </c:pt>
                <c:pt idx="8">
                  <c:v>may.-22</c:v>
                </c:pt>
                <c:pt idx="9">
                  <c:v>jun.-22</c:v>
                </c:pt>
                <c:pt idx="10">
                  <c:v>jul.-22</c:v>
                </c:pt>
                <c:pt idx="11">
                  <c:v>ago.-22</c:v>
                </c:pt>
                <c:pt idx="12">
                  <c:v>sep.-22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367.24080800000002</c:v>
                </c:pt>
                <c:pt idx="1">
                  <c:v>312.10340600000001</c:v>
                </c:pt>
                <c:pt idx="2">
                  <c:v>305.43751500000002</c:v>
                </c:pt>
                <c:pt idx="3">
                  <c:v>332.59120100000001</c:v>
                </c:pt>
                <c:pt idx="4">
                  <c:v>350.08292499999999</c:v>
                </c:pt>
                <c:pt idx="5">
                  <c:v>298.62258500000002</c:v>
                </c:pt>
                <c:pt idx="6">
                  <c:v>331.00133499999998</c:v>
                </c:pt>
                <c:pt idx="7">
                  <c:v>307.42903200000001</c:v>
                </c:pt>
                <c:pt idx="8">
                  <c:v>317.55595499999998</c:v>
                </c:pt>
                <c:pt idx="9">
                  <c:v>367.58788099999998</c:v>
                </c:pt>
                <c:pt idx="10">
                  <c:v>396.959791</c:v>
                </c:pt>
                <c:pt idx="11">
                  <c:v>456.377207</c:v>
                </c:pt>
                <c:pt idx="12">
                  <c:v>377.07382699999999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sep.-21</c:v>
                </c:pt>
                <c:pt idx="1">
                  <c:v>oct.-21</c:v>
                </c:pt>
                <c:pt idx="2">
                  <c:v>nov.-21</c:v>
                </c:pt>
                <c:pt idx="3">
                  <c:v>dic.-21</c:v>
                </c:pt>
                <c:pt idx="4">
                  <c:v>ene.-22</c:v>
                </c:pt>
                <c:pt idx="5">
                  <c:v>feb.-22</c:v>
                </c:pt>
                <c:pt idx="6">
                  <c:v>mar.-22</c:v>
                </c:pt>
                <c:pt idx="7">
                  <c:v>abr.-22</c:v>
                </c:pt>
                <c:pt idx="8">
                  <c:v>may.-22</c:v>
                </c:pt>
                <c:pt idx="9">
                  <c:v>jun.-22</c:v>
                </c:pt>
                <c:pt idx="10">
                  <c:v>jul.-22</c:v>
                </c:pt>
                <c:pt idx="11">
                  <c:v>ago.-22</c:v>
                </c:pt>
                <c:pt idx="12">
                  <c:v>sep.-22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0.27444800000000003</c:v>
                </c:pt>
                <c:pt idx="1">
                  <c:v>0.26974799999999999</c:v>
                </c:pt>
                <c:pt idx="2">
                  <c:v>6.1364000000000002E-2</c:v>
                </c:pt>
                <c:pt idx="3">
                  <c:v>0.10125000000000001</c:v>
                </c:pt>
                <c:pt idx="4">
                  <c:v>0.215638</c:v>
                </c:pt>
                <c:pt idx="5">
                  <c:v>0.22824</c:v>
                </c:pt>
                <c:pt idx="6">
                  <c:v>0.33845999999999998</c:v>
                </c:pt>
                <c:pt idx="7">
                  <c:v>0.239788</c:v>
                </c:pt>
                <c:pt idx="8">
                  <c:v>0.16079099999999999</c:v>
                </c:pt>
                <c:pt idx="9">
                  <c:v>6.1122000000000003E-2</c:v>
                </c:pt>
                <c:pt idx="10">
                  <c:v>3.0289E-2</c:v>
                </c:pt>
                <c:pt idx="11">
                  <c:v>3.2219999999999999E-2</c:v>
                </c:pt>
                <c:pt idx="12">
                  <c:v>1.2760000000000001E-2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sep.-21</c:v>
                </c:pt>
                <c:pt idx="1">
                  <c:v>oct.-21</c:v>
                </c:pt>
                <c:pt idx="2">
                  <c:v>nov.-21</c:v>
                </c:pt>
                <c:pt idx="3">
                  <c:v>dic.-21</c:v>
                </c:pt>
                <c:pt idx="4">
                  <c:v>ene.-22</c:v>
                </c:pt>
                <c:pt idx="5">
                  <c:v>feb.-22</c:v>
                </c:pt>
                <c:pt idx="6">
                  <c:v>mar.-22</c:v>
                </c:pt>
                <c:pt idx="7">
                  <c:v>abr.-22</c:v>
                </c:pt>
                <c:pt idx="8">
                  <c:v>may.-22</c:v>
                </c:pt>
                <c:pt idx="9">
                  <c:v>jun.-22</c:v>
                </c:pt>
                <c:pt idx="10">
                  <c:v>jul.-22</c:v>
                </c:pt>
                <c:pt idx="11">
                  <c:v>ago.-22</c:v>
                </c:pt>
                <c:pt idx="12">
                  <c:v>sep.-22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17.622215000000001</c:v>
                </c:pt>
                <c:pt idx="1">
                  <c:v>16.792960999999998</c:v>
                </c:pt>
                <c:pt idx="2">
                  <c:v>8.8102359999999997</c:v>
                </c:pt>
                <c:pt idx="3">
                  <c:v>11.149039999999999</c:v>
                </c:pt>
                <c:pt idx="4">
                  <c:v>14.434640999999999</c:v>
                </c:pt>
                <c:pt idx="5">
                  <c:v>17.856766</c:v>
                </c:pt>
                <c:pt idx="6">
                  <c:v>13.692501999999999</c:v>
                </c:pt>
                <c:pt idx="7">
                  <c:v>22.081204</c:v>
                </c:pt>
                <c:pt idx="8">
                  <c:v>27.327051999999998</c:v>
                </c:pt>
                <c:pt idx="9">
                  <c:v>29.225902000000001</c:v>
                </c:pt>
                <c:pt idx="10">
                  <c:v>32.264840999999997</c:v>
                </c:pt>
                <c:pt idx="11">
                  <c:v>28.239802000000001</c:v>
                </c:pt>
                <c:pt idx="12">
                  <c:v>24.348155999999999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sep.-21</c:v>
                </c:pt>
                <c:pt idx="1">
                  <c:v>oct.-21</c:v>
                </c:pt>
                <c:pt idx="2">
                  <c:v>nov.-21</c:v>
                </c:pt>
                <c:pt idx="3">
                  <c:v>dic.-21</c:v>
                </c:pt>
                <c:pt idx="4">
                  <c:v>ene.-22</c:v>
                </c:pt>
                <c:pt idx="5">
                  <c:v>feb.-22</c:v>
                </c:pt>
                <c:pt idx="6">
                  <c:v>mar.-22</c:v>
                </c:pt>
                <c:pt idx="7">
                  <c:v>abr.-22</c:v>
                </c:pt>
                <c:pt idx="8">
                  <c:v>may.-22</c:v>
                </c:pt>
                <c:pt idx="9">
                  <c:v>jun.-22</c:v>
                </c:pt>
                <c:pt idx="10">
                  <c:v>jul.-22</c:v>
                </c:pt>
                <c:pt idx="11">
                  <c:v>ago.-22</c:v>
                </c:pt>
                <c:pt idx="12">
                  <c:v>sep.-22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8.1381999999999996E-2</c:v>
                </c:pt>
                <c:pt idx="1">
                  <c:v>0.243059</c:v>
                </c:pt>
                <c:pt idx="2">
                  <c:v>0.24007600000000001</c:v>
                </c:pt>
                <c:pt idx="3">
                  <c:v>0.230462</c:v>
                </c:pt>
                <c:pt idx="4">
                  <c:v>0.285244</c:v>
                </c:pt>
                <c:pt idx="5">
                  <c:v>0.28095199999999998</c:v>
                </c:pt>
                <c:pt idx="6">
                  <c:v>0.29118100000000002</c:v>
                </c:pt>
                <c:pt idx="7">
                  <c:v>0.16531499999999999</c:v>
                </c:pt>
                <c:pt idx="8">
                  <c:v>0.166327</c:v>
                </c:pt>
                <c:pt idx="9">
                  <c:v>0.111179</c:v>
                </c:pt>
                <c:pt idx="10">
                  <c:v>9.5128000000000004E-2</c:v>
                </c:pt>
                <c:pt idx="11">
                  <c:v>5.6752999999999998E-2</c:v>
                </c:pt>
                <c:pt idx="12">
                  <c:v>7.1822999999999998E-2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sep.-21</c:v>
                </c:pt>
                <c:pt idx="1">
                  <c:v>oct.-21</c:v>
                </c:pt>
                <c:pt idx="2">
                  <c:v>nov.-21</c:v>
                </c:pt>
                <c:pt idx="3">
                  <c:v>dic.-21</c:v>
                </c:pt>
                <c:pt idx="4">
                  <c:v>ene.-22</c:v>
                </c:pt>
                <c:pt idx="5">
                  <c:v>feb.-22</c:v>
                </c:pt>
                <c:pt idx="6">
                  <c:v>mar.-22</c:v>
                </c:pt>
                <c:pt idx="7">
                  <c:v>abr.-22</c:v>
                </c:pt>
                <c:pt idx="8">
                  <c:v>may.-22</c:v>
                </c:pt>
                <c:pt idx="9">
                  <c:v>jun.-22</c:v>
                </c:pt>
                <c:pt idx="10">
                  <c:v>jul.-22</c:v>
                </c:pt>
                <c:pt idx="11">
                  <c:v>ago.-22</c:v>
                </c:pt>
                <c:pt idx="12">
                  <c:v>sep.-22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3.8190279999999999</c:v>
                </c:pt>
                <c:pt idx="1">
                  <c:v>4.0205719999999996</c:v>
                </c:pt>
                <c:pt idx="2">
                  <c:v>1.4121680000000001</c:v>
                </c:pt>
                <c:pt idx="3">
                  <c:v>3.5189080000000001</c:v>
                </c:pt>
                <c:pt idx="4">
                  <c:v>3.4010050000000001</c:v>
                </c:pt>
                <c:pt idx="5">
                  <c:v>3.0684070000000001</c:v>
                </c:pt>
                <c:pt idx="6">
                  <c:v>3.993204</c:v>
                </c:pt>
                <c:pt idx="7">
                  <c:v>1.8386769999999999</c:v>
                </c:pt>
                <c:pt idx="8">
                  <c:v>1.9461250000000001</c:v>
                </c:pt>
                <c:pt idx="9">
                  <c:v>1.5363420000000001</c:v>
                </c:pt>
                <c:pt idx="10">
                  <c:v>1.1719729999999999</c:v>
                </c:pt>
                <c:pt idx="11">
                  <c:v>5.1333999999999998E-2</c:v>
                </c:pt>
                <c:pt idx="12">
                  <c:v>2.0373130000000002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sep.-21</c:v>
                </c:pt>
                <c:pt idx="1">
                  <c:v>oct.-21</c:v>
                </c:pt>
                <c:pt idx="2">
                  <c:v>nov.-21</c:v>
                </c:pt>
                <c:pt idx="3">
                  <c:v>dic.-21</c:v>
                </c:pt>
                <c:pt idx="4">
                  <c:v>ene.-22</c:v>
                </c:pt>
                <c:pt idx="5">
                  <c:v>feb.-22</c:v>
                </c:pt>
                <c:pt idx="6">
                  <c:v>mar.-22</c:v>
                </c:pt>
                <c:pt idx="7">
                  <c:v>abr.-22</c:v>
                </c:pt>
                <c:pt idx="8">
                  <c:v>may.-22</c:v>
                </c:pt>
                <c:pt idx="9">
                  <c:v>jun.-22</c:v>
                </c:pt>
                <c:pt idx="10">
                  <c:v>jul.-22</c:v>
                </c:pt>
                <c:pt idx="11">
                  <c:v>ago.-22</c:v>
                </c:pt>
                <c:pt idx="12">
                  <c:v>sep.-22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11.972504499999999</c:v>
                </c:pt>
                <c:pt idx="1">
                  <c:v>6.4146000000000001</c:v>
                </c:pt>
                <c:pt idx="2">
                  <c:v>13.8683715</c:v>
                </c:pt>
                <c:pt idx="3">
                  <c:v>8.8660929999999993</c:v>
                </c:pt>
                <c:pt idx="4">
                  <c:v>9.8711500000000001</c:v>
                </c:pt>
                <c:pt idx="5">
                  <c:v>5.4414375000000001</c:v>
                </c:pt>
                <c:pt idx="6">
                  <c:v>9.6633200000000006</c:v>
                </c:pt>
                <c:pt idx="7">
                  <c:v>7.8050050000000004</c:v>
                </c:pt>
                <c:pt idx="8">
                  <c:v>11.846121999999999</c:v>
                </c:pt>
                <c:pt idx="9">
                  <c:v>13.186323</c:v>
                </c:pt>
                <c:pt idx="10">
                  <c:v>16.1606655</c:v>
                </c:pt>
                <c:pt idx="11">
                  <c:v>13.6723105</c:v>
                </c:pt>
                <c:pt idx="12">
                  <c:v>13.5816645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11.972504499999999</c:v>
                </c:pt>
                <c:pt idx="1">
                  <c:v>6.4146000000000001</c:v>
                </c:pt>
                <c:pt idx="2">
                  <c:v>13.8683715</c:v>
                </c:pt>
                <c:pt idx="3">
                  <c:v>8.8660929999999993</c:v>
                </c:pt>
                <c:pt idx="4">
                  <c:v>9.8711500000000001</c:v>
                </c:pt>
                <c:pt idx="5">
                  <c:v>5.4414375000000001</c:v>
                </c:pt>
                <c:pt idx="6">
                  <c:v>9.6633200000000006</c:v>
                </c:pt>
                <c:pt idx="7">
                  <c:v>7.8050050000000004</c:v>
                </c:pt>
                <c:pt idx="8">
                  <c:v>11.846121999999999</c:v>
                </c:pt>
                <c:pt idx="9">
                  <c:v>13.186323</c:v>
                </c:pt>
                <c:pt idx="10">
                  <c:v>16.1606655</c:v>
                </c:pt>
                <c:pt idx="11">
                  <c:v>13.6723105</c:v>
                </c:pt>
                <c:pt idx="12">
                  <c:v>13.5816645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sep.-21</c:v>
                </c:pt>
                <c:pt idx="1">
                  <c:v>oct.-21</c:v>
                </c:pt>
                <c:pt idx="2">
                  <c:v>nov.-21</c:v>
                </c:pt>
                <c:pt idx="3">
                  <c:v>dic.-21</c:v>
                </c:pt>
                <c:pt idx="4">
                  <c:v>ene.-22</c:v>
                </c:pt>
                <c:pt idx="5">
                  <c:v>feb.-22</c:v>
                </c:pt>
                <c:pt idx="6">
                  <c:v>mar.-22</c:v>
                </c:pt>
                <c:pt idx="7">
                  <c:v>abr.-22</c:v>
                </c:pt>
                <c:pt idx="8">
                  <c:v>may.-22</c:v>
                </c:pt>
                <c:pt idx="9">
                  <c:v>jun.-22</c:v>
                </c:pt>
                <c:pt idx="10">
                  <c:v>jul.-22</c:v>
                </c:pt>
                <c:pt idx="11">
                  <c:v>ago.-22</c:v>
                </c:pt>
                <c:pt idx="12">
                  <c:v>sep.-22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37.549396999999999</c:v>
                </c:pt>
                <c:pt idx="1">
                  <c:v>38.285525</c:v>
                </c:pt>
                <c:pt idx="2">
                  <c:v>28.435708999999999</c:v>
                </c:pt>
                <c:pt idx="3">
                  <c:v>32.270831999999999</c:v>
                </c:pt>
                <c:pt idx="4">
                  <c:v>31.159338999999999</c:v>
                </c:pt>
                <c:pt idx="5">
                  <c:v>27.502502</c:v>
                </c:pt>
                <c:pt idx="6">
                  <c:v>30.689281000000001</c:v>
                </c:pt>
                <c:pt idx="7">
                  <c:v>33.641058999999998</c:v>
                </c:pt>
                <c:pt idx="8">
                  <c:v>32.047055999999998</c:v>
                </c:pt>
                <c:pt idx="9">
                  <c:v>35.225064000000003</c:v>
                </c:pt>
                <c:pt idx="10">
                  <c:v>67.033137999999994</c:v>
                </c:pt>
                <c:pt idx="11">
                  <c:v>77.653036</c:v>
                </c:pt>
                <c:pt idx="12">
                  <c:v>70.647335999999996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7.333346456692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4.9019607843137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7235772357723578"/>
                  <c:y val="-3.921568627450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0.13983739837398373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15.338117297906045</c:v>
                </c:pt>
                <c:pt idx="1">
                  <c:v>16.379551683382356</c:v>
                </c:pt>
                <c:pt idx="2">
                  <c:v>15.180848438728106</c:v>
                </c:pt>
                <c:pt idx="3">
                  <c:v>27.220094146517699</c:v>
                </c:pt>
                <c:pt idx="4">
                  <c:v>1.2015340841194548</c:v>
                </c:pt>
                <c:pt idx="5">
                  <c:v>4.780973319009349E-2</c:v>
                </c:pt>
                <c:pt idx="6">
                  <c:v>0.35605669717885413</c:v>
                </c:pt>
                <c:pt idx="7">
                  <c:v>17.693218464095683</c:v>
                </c:pt>
                <c:pt idx="8">
                  <c:v>6.4665163141773769</c:v>
                </c:pt>
                <c:pt idx="9">
                  <c:v>0.1162531407043326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284552845528454"/>
                  <c:y val="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4308943089430898"/>
                  <c:y val="-0.117647058823529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7.3170859740093519E-2"/>
                  <c:y val="-0.151470588235294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5934946546315845"/>
                  <c:y val="-0.142843330245484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20.320272317229644</c:v>
                </c:pt>
                <c:pt idx="1">
                  <c:v>3.8612056098902849</c:v>
                </c:pt>
                <c:pt idx="2">
                  <c:v>15.322481623602288</c:v>
                </c:pt>
                <c:pt idx="3">
                  <c:v>39.399036572754795</c:v>
                </c:pt>
                <c:pt idx="4">
                  <c:v>-1.6381139189411435E-3</c:v>
                </c:pt>
                <c:pt idx="5">
                  <c:v>3.9899853652846894E-2</c:v>
                </c:pt>
                <c:pt idx="6">
                  <c:v>0.28656567211475059</c:v>
                </c:pt>
                <c:pt idx="7">
                  <c:v>17.022114439856399</c:v>
                </c:pt>
                <c:pt idx="8">
                  <c:v>3.651348191853323</c:v>
                </c:pt>
                <c:pt idx="9">
                  <c:v>9.8713832964606021E-2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sep.-21</c:v>
                </c:pt>
                <c:pt idx="1">
                  <c:v>oct.-21</c:v>
                </c:pt>
                <c:pt idx="2">
                  <c:v>nov.-21</c:v>
                </c:pt>
                <c:pt idx="3">
                  <c:v>dic.-21</c:v>
                </c:pt>
                <c:pt idx="4">
                  <c:v>ene.-22</c:v>
                </c:pt>
                <c:pt idx="5">
                  <c:v>feb.-22</c:v>
                </c:pt>
                <c:pt idx="6">
                  <c:v>mar.-22</c:v>
                </c:pt>
                <c:pt idx="7">
                  <c:v>abr.-22</c:v>
                </c:pt>
                <c:pt idx="8">
                  <c:v>may.-22</c:v>
                </c:pt>
                <c:pt idx="9">
                  <c:v>jun.-22</c:v>
                </c:pt>
                <c:pt idx="10">
                  <c:v>jul.-22</c:v>
                </c:pt>
                <c:pt idx="11">
                  <c:v>ago.-22</c:v>
                </c:pt>
                <c:pt idx="12">
                  <c:v>sep.-22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0.27753299999999997</c:v>
                </c:pt>
                <c:pt idx="1">
                  <c:v>0.28213100000000002</c:v>
                </c:pt>
                <c:pt idx="2">
                  <c:v>0.23125799999999999</c:v>
                </c:pt>
                <c:pt idx="3">
                  <c:v>0.15536</c:v>
                </c:pt>
                <c:pt idx="4">
                  <c:v>0.294213</c:v>
                </c:pt>
                <c:pt idx="5">
                  <c:v>0.25058200000000003</c:v>
                </c:pt>
                <c:pt idx="6">
                  <c:v>0.29644599999999999</c:v>
                </c:pt>
                <c:pt idx="7">
                  <c:v>0.27407199999999998</c:v>
                </c:pt>
                <c:pt idx="8">
                  <c:v>0.29880499999999999</c:v>
                </c:pt>
                <c:pt idx="9">
                  <c:v>0.28138299999999999</c:v>
                </c:pt>
                <c:pt idx="10">
                  <c:v>0.29436099999999998</c:v>
                </c:pt>
                <c:pt idx="11">
                  <c:v>0.29274699999999998</c:v>
                </c:pt>
                <c:pt idx="12">
                  <c:v>0.28892499999999999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sep.-21</c:v>
                </c:pt>
                <c:pt idx="1">
                  <c:v>oct.-21</c:v>
                </c:pt>
                <c:pt idx="2">
                  <c:v>nov.-21</c:v>
                </c:pt>
                <c:pt idx="3">
                  <c:v>dic.-21</c:v>
                </c:pt>
                <c:pt idx="4">
                  <c:v>ene.-22</c:v>
                </c:pt>
                <c:pt idx="5">
                  <c:v>feb.-22</c:v>
                </c:pt>
                <c:pt idx="6">
                  <c:v>mar.-22</c:v>
                </c:pt>
                <c:pt idx="7">
                  <c:v>abr.-22</c:v>
                </c:pt>
                <c:pt idx="8">
                  <c:v>may.-22</c:v>
                </c:pt>
                <c:pt idx="9">
                  <c:v>jun.-22</c:v>
                </c:pt>
                <c:pt idx="10">
                  <c:v>jul.-22</c:v>
                </c:pt>
                <c:pt idx="11">
                  <c:v>ago.-22</c:v>
                </c:pt>
                <c:pt idx="12">
                  <c:v>sep.-22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313.81515200000001</c:v>
                </c:pt>
                <c:pt idx="1">
                  <c:v>299.91658699999999</c:v>
                </c:pt>
                <c:pt idx="2">
                  <c:v>280.34116800000004</c:v>
                </c:pt>
                <c:pt idx="3">
                  <c:v>286.85584700000004</c:v>
                </c:pt>
                <c:pt idx="4">
                  <c:v>282.52258499999999</c:v>
                </c:pt>
                <c:pt idx="5">
                  <c:v>254.215059</c:v>
                </c:pt>
                <c:pt idx="6">
                  <c:v>285.48886599999997</c:v>
                </c:pt>
                <c:pt idx="7">
                  <c:v>258.29193100000003</c:v>
                </c:pt>
                <c:pt idx="8">
                  <c:v>244.42552999999998</c:v>
                </c:pt>
                <c:pt idx="9">
                  <c:v>215.54716999999999</c:v>
                </c:pt>
                <c:pt idx="10">
                  <c:v>238.324592</c:v>
                </c:pt>
                <c:pt idx="11">
                  <c:v>264.81528100000003</c:v>
                </c:pt>
                <c:pt idx="12">
                  <c:v>286.05822999999998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sep.-21</c:v>
                </c:pt>
                <c:pt idx="1">
                  <c:v>oct.-21</c:v>
                </c:pt>
                <c:pt idx="2">
                  <c:v>nov.-21</c:v>
                </c:pt>
                <c:pt idx="3">
                  <c:v>dic.-21</c:v>
                </c:pt>
                <c:pt idx="4">
                  <c:v>ene.-22</c:v>
                </c:pt>
                <c:pt idx="5">
                  <c:v>feb.-22</c:v>
                </c:pt>
                <c:pt idx="6">
                  <c:v>mar.-22</c:v>
                </c:pt>
                <c:pt idx="7">
                  <c:v>abr.-22</c:v>
                </c:pt>
                <c:pt idx="8">
                  <c:v>may.-22</c:v>
                </c:pt>
                <c:pt idx="9">
                  <c:v>jun.-22</c:v>
                </c:pt>
                <c:pt idx="10">
                  <c:v>jul.-22</c:v>
                </c:pt>
                <c:pt idx="11">
                  <c:v>ago.-22</c:v>
                </c:pt>
                <c:pt idx="12">
                  <c:v>sep.-22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278.88830000000002</c:v>
                </c:pt>
                <c:pt idx="1">
                  <c:v>288.42916700000001</c:v>
                </c:pt>
                <c:pt idx="2">
                  <c:v>314.272829</c:v>
                </c:pt>
                <c:pt idx="3">
                  <c:v>321.01253800000001</c:v>
                </c:pt>
                <c:pt idx="4">
                  <c:v>350.31383599999998</c:v>
                </c:pt>
                <c:pt idx="5">
                  <c:v>285.33313399999997</c:v>
                </c:pt>
                <c:pt idx="6">
                  <c:v>288.5179</c:v>
                </c:pt>
                <c:pt idx="7">
                  <c:v>265.37271800000002</c:v>
                </c:pt>
                <c:pt idx="8">
                  <c:v>303.45663500000001</c:v>
                </c:pt>
                <c:pt idx="9">
                  <c:v>283.58392400000002</c:v>
                </c:pt>
                <c:pt idx="10">
                  <c:v>295.51749599999999</c:v>
                </c:pt>
                <c:pt idx="11">
                  <c:v>269.79137200000002</c:v>
                </c:pt>
                <c:pt idx="12">
                  <c:v>285.29845599999999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sep.-21</c:v>
                </c:pt>
                <c:pt idx="1">
                  <c:v>oct.-21</c:v>
                </c:pt>
                <c:pt idx="2">
                  <c:v>nov.-21</c:v>
                </c:pt>
                <c:pt idx="3">
                  <c:v>dic.-21</c:v>
                </c:pt>
                <c:pt idx="4">
                  <c:v>ene.-22</c:v>
                </c:pt>
                <c:pt idx="5">
                  <c:v>feb.-22</c:v>
                </c:pt>
                <c:pt idx="6">
                  <c:v>mar.-22</c:v>
                </c:pt>
                <c:pt idx="7">
                  <c:v>abr.-22</c:v>
                </c:pt>
                <c:pt idx="8">
                  <c:v>may.-22</c:v>
                </c:pt>
                <c:pt idx="9">
                  <c:v>jun.-22</c:v>
                </c:pt>
                <c:pt idx="10">
                  <c:v>jul.-22</c:v>
                </c:pt>
                <c:pt idx="11">
                  <c:v>ago.-22</c:v>
                </c:pt>
                <c:pt idx="12">
                  <c:v>sep.-22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1.4201079999999999</c:v>
                </c:pt>
                <c:pt idx="1">
                  <c:v>1.852679</c:v>
                </c:pt>
                <c:pt idx="2">
                  <c:v>1.1397900000000001</c:v>
                </c:pt>
                <c:pt idx="3">
                  <c:v>1.2278610000000001</c:v>
                </c:pt>
                <c:pt idx="4">
                  <c:v>1.110916</c:v>
                </c:pt>
                <c:pt idx="5">
                  <c:v>1.4820450000000001</c:v>
                </c:pt>
                <c:pt idx="6">
                  <c:v>2.1263230000000002</c:v>
                </c:pt>
                <c:pt idx="7">
                  <c:v>1.7525280000000001</c:v>
                </c:pt>
                <c:pt idx="8">
                  <c:v>1.9171739999999999</c:v>
                </c:pt>
                <c:pt idx="9">
                  <c:v>2.44956</c:v>
                </c:pt>
                <c:pt idx="10">
                  <c:v>3.5629430000000002</c:v>
                </c:pt>
                <c:pt idx="11">
                  <c:v>3.5176750000000001</c:v>
                </c:pt>
                <c:pt idx="12">
                  <c:v>2.0750950000000001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sep.-21</c:v>
                </c:pt>
                <c:pt idx="1">
                  <c:v>oct.-21</c:v>
                </c:pt>
                <c:pt idx="2">
                  <c:v>nov.-21</c:v>
                </c:pt>
                <c:pt idx="3">
                  <c:v>dic.-21</c:v>
                </c:pt>
                <c:pt idx="4">
                  <c:v>ene.-22</c:v>
                </c:pt>
                <c:pt idx="5">
                  <c:v>feb.-22</c:v>
                </c:pt>
                <c:pt idx="6">
                  <c:v>mar.-22</c:v>
                </c:pt>
                <c:pt idx="7">
                  <c:v>abr.-22</c:v>
                </c:pt>
                <c:pt idx="8">
                  <c:v>may.-22</c:v>
                </c:pt>
                <c:pt idx="9">
                  <c:v>jun.-22</c:v>
                </c:pt>
                <c:pt idx="10">
                  <c:v>jul.-22</c:v>
                </c:pt>
                <c:pt idx="11">
                  <c:v>ago.-22</c:v>
                </c:pt>
                <c:pt idx="12">
                  <c:v>sep.-22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107.853368</c:v>
                </c:pt>
                <c:pt idx="1">
                  <c:v>121.987015</c:v>
                </c:pt>
                <c:pt idx="2">
                  <c:v>91.770038</c:v>
                </c:pt>
                <c:pt idx="3">
                  <c:v>92.867580000000004</c:v>
                </c:pt>
                <c:pt idx="4">
                  <c:v>60.136758999999998</c:v>
                </c:pt>
                <c:pt idx="5">
                  <c:v>88.970084999999997</c:v>
                </c:pt>
                <c:pt idx="6">
                  <c:v>109.43612899999999</c:v>
                </c:pt>
                <c:pt idx="7">
                  <c:v>120.763114</c:v>
                </c:pt>
                <c:pt idx="8">
                  <c:v>116.774248</c:v>
                </c:pt>
                <c:pt idx="9">
                  <c:v>159.50470799999999</c:v>
                </c:pt>
                <c:pt idx="10">
                  <c:v>180.24268000000001</c:v>
                </c:pt>
                <c:pt idx="11">
                  <c:v>183.67649499999999</c:v>
                </c:pt>
                <c:pt idx="12">
                  <c:v>123.261465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sep.-21</c:v>
                </c:pt>
                <c:pt idx="1">
                  <c:v>oct.-21</c:v>
                </c:pt>
                <c:pt idx="2">
                  <c:v>nov.-21</c:v>
                </c:pt>
                <c:pt idx="3">
                  <c:v>dic.-21</c:v>
                </c:pt>
                <c:pt idx="4">
                  <c:v>ene.-22</c:v>
                </c:pt>
                <c:pt idx="5">
                  <c:v>feb.-22</c:v>
                </c:pt>
                <c:pt idx="6">
                  <c:v>mar.-22</c:v>
                </c:pt>
                <c:pt idx="7">
                  <c:v>abr.-22</c:v>
                </c:pt>
                <c:pt idx="8">
                  <c:v>may.-22</c:v>
                </c:pt>
                <c:pt idx="9">
                  <c:v>jun.-22</c:v>
                </c:pt>
                <c:pt idx="10">
                  <c:v>jul.-22</c:v>
                </c:pt>
                <c:pt idx="11">
                  <c:v>ago.-22</c:v>
                </c:pt>
                <c:pt idx="12">
                  <c:v>sep.-22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21.565273000000001</c:v>
                </c:pt>
                <c:pt idx="1">
                  <c:v>20.979474</c:v>
                </c:pt>
                <c:pt idx="2">
                  <c:v>14.946410999999999</c:v>
                </c:pt>
                <c:pt idx="3">
                  <c:v>16.937016</c:v>
                </c:pt>
                <c:pt idx="4">
                  <c:v>18.038699999999999</c:v>
                </c:pt>
                <c:pt idx="5">
                  <c:v>18.864350999999999</c:v>
                </c:pt>
                <c:pt idx="6">
                  <c:v>24.968492999999999</c:v>
                </c:pt>
                <c:pt idx="7">
                  <c:v>25.164787</c:v>
                </c:pt>
                <c:pt idx="8">
                  <c:v>32.867409000000002</c:v>
                </c:pt>
                <c:pt idx="9">
                  <c:v>30.72391</c:v>
                </c:pt>
                <c:pt idx="10">
                  <c:v>34.107903</c:v>
                </c:pt>
                <c:pt idx="11">
                  <c:v>31.953105999999998</c:v>
                </c:pt>
                <c:pt idx="12">
                  <c:v>26.440342000000001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sep.-21</c:v>
                </c:pt>
                <c:pt idx="1">
                  <c:v>oct.-21</c:v>
                </c:pt>
                <c:pt idx="2">
                  <c:v>nov.-21</c:v>
                </c:pt>
                <c:pt idx="3">
                  <c:v>dic.-21</c:v>
                </c:pt>
                <c:pt idx="4">
                  <c:v>ene.-22</c:v>
                </c:pt>
                <c:pt idx="5">
                  <c:v>feb.-22</c:v>
                </c:pt>
                <c:pt idx="6">
                  <c:v>mar.-22</c:v>
                </c:pt>
                <c:pt idx="7">
                  <c:v>abr.-22</c:v>
                </c:pt>
                <c:pt idx="8">
                  <c:v>may.-22</c:v>
                </c:pt>
                <c:pt idx="9">
                  <c:v>jun.-22</c:v>
                </c:pt>
                <c:pt idx="10">
                  <c:v>jul.-22</c:v>
                </c:pt>
                <c:pt idx="11">
                  <c:v>ago.-22</c:v>
                </c:pt>
                <c:pt idx="12">
                  <c:v>sep.-22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0.40013300000000002</c:v>
                </c:pt>
                <c:pt idx="1">
                  <c:v>0.75599700000000003</c:v>
                </c:pt>
                <c:pt idx="2">
                  <c:v>0.75323799999999996</c:v>
                </c:pt>
                <c:pt idx="3">
                  <c:v>0.822349</c:v>
                </c:pt>
                <c:pt idx="4">
                  <c:v>0.86053100000000005</c:v>
                </c:pt>
                <c:pt idx="5">
                  <c:v>0.72069799999999995</c:v>
                </c:pt>
                <c:pt idx="6">
                  <c:v>0.90984399999999999</c:v>
                </c:pt>
                <c:pt idx="7">
                  <c:v>0.61352399999999996</c:v>
                </c:pt>
                <c:pt idx="8">
                  <c:v>0.72146399999999999</c:v>
                </c:pt>
                <c:pt idx="9">
                  <c:v>0.696106</c:v>
                </c:pt>
                <c:pt idx="10">
                  <c:v>0.688222</c:v>
                </c:pt>
                <c:pt idx="11">
                  <c:v>0.71531400000000001</c:v>
                </c:pt>
                <c:pt idx="12">
                  <c:v>0.714812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92" customWidth="1"/>
    <col min="2" max="2" width="2.5703125" style="92" customWidth="1"/>
    <col min="3" max="3" width="16.42578125" style="92" customWidth="1"/>
    <col min="4" max="4" width="4.5703125" style="92" customWidth="1"/>
    <col min="5" max="5" width="95.570312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Septiembre 2022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zoomScaleNormal="100" workbookViewId="0">
      <selection activeCell="B42" sqref="B42"/>
    </sheetView>
  </sheetViews>
  <sheetFormatPr baseColWidth="10" defaultColWidth="11.42578125" defaultRowHeight="12"/>
  <cols>
    <col min="1" max="1" width="11.85546875" style="111" bestFit="1" customWidth="1"/>
    <col min="2" max="2" width="12.85546875" style="111" bestFit="1" customWidth="1"/>
    <col min="3" max="3" width="23.7109375" style="111" bestFit="1" customWidth="1"/>
    <col min="4" max="4" width="19.85546875" style="111" bestFit="1" customWidth="1"/>
    <col min="5" max="5" width="20.42578125" style="111" bestFit="1" customWidth="1"/>
    <col min="6" max="6" width="31.85546875" style="111" bestFit="1" customWidth="1"/>
    <col min="7" max="7" width="23.7109375" style="111" bestFit="1" customWidth="1"/>
    <col min="8" max="8" width="19.85546875" style="111" bestFit="1" customWidth="1"/>
    <col min="9" max="9" width="20.42578125" style="111" bestFit="1" customWidth="1"/>
    <col min="10" max="11" width="27.85546875" style="111" bestFit="1" customWidth="1"/>
    <col min="12" max="12" width="24" style="111" bestFit="1" customWidth="1"/>
    <col min="13" max="13" width="24.5703125" style="111" bestFit="1" customWidth="1"/>
    <col min="14" max="14" width="31.85546875" style="111" bestFit="1" customWidth="1"/>
    <col min="15" max="33" width="21.7109375" style="111" customWidth="1"/>
    <col min="34" max="16384" width="11.42578125" style="111"/>
  </cols>
  <sheetData>
    <row r="1" spans="1:33">
      <c r="A1" s="142" t="s">
        <v>67</v>
      </c>
      <c r="B1" s="142" t="s">
        <v>71</v>
      </c>
    </row>
    <row r="2" spans="1:33">
      <c r="A2" s="143" t="s">
        <v>126</v>
      </c>
      <c r="B2" s="143" t="s">
        <v>127</v>
      </c>
    </row>
    <row r="4" spans="1:33" ht="15">
      <c r="A4" s="144" t="s">
        <v>67</v>
      </c>
      <c r="B4" s="206" t="s">
        <v>126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</row>
    <row r="5" spans="1:33" ht="15">
      <c r="A5" s="144" t="s">
        <v>68</v>
      </c>
      <c r="B5" s="208" t="s">
        <v>15</v>
      </c>
      <c r="C5" s="209"/>
      <c r="D5" s="209"/>
      <c r="E5" s="209"/>
      <c r="F5" s="209"/>
      <c r="G5" s="209"/>
      <c r="H5" s="209"/>
      <c r="I5" s="210"/>
      <c r="J5" s="208" t="s">
        <v>14</v>
      </c>
      <c r="K5" s="209"/>
      <c r="L5" s="209"/>
      <c r="M5" s="209"/>
      <c r="N5" s="209"/>
      <c r="O5" s="209"/>
      <c r="P5" s="209"/>
      <c r="Q5" s="210"/>
      <c r="R5" s="208" t="s">
        <v>57</v>
      </c>
      <c r="S5" s="209"/>
      <c r="T5" s="209"/>
      <c r="U5" s="209"/>
      <c r="V5" s="209"/>
      <c r="W5" s="209"/>
      <c r="X5" s="209"/>
      <c r="Y5" s="210"/>
      <c r="Z5" s="208" t="s">
        <v>58</v>
      </c>
      <c r="AA5" s="209"/>
      <c r="AB5" s="209"/>
      <c r="AC5" s="209"/>
      <c r="AD5" s="209"/>
      <c r="AE5" s="209"/>
      <c r="AF5" s="209"/>
      <c r="AG5" s="209"/>
    </row>
    <row r="6" spans="1:33">
      <c r="A6" s="144" t="s">
        <v>69</v>
      </c>
      <c r="B6" s="190" t="s">
        <v>59</v>
      </c>
      <c r="C6" s="190" t="s">
        <v>60</v>
      </c>
      <c r="D6" s="190" t="s">
        <v>61</v>
      </c>
      <c r="E6" s="190" t="s">
        <v>62</v>
      </c>
      <c r="F6" s="190" t="s">
        <v>63</v>
      </c>
      <c r="G6" s="190" t="s">
        <v>64</v>
      </c>
      <c r="H6" s="190" t="s">
        <v>65</v>
      </c>
      <c r="I6" s="190" t="s">
        <v>66</v>
      </c>
      <c r="J6" s="190" t="s">
        <v>59</v>
      </c>
      <c r="K6" s="190" t="s">
        <v>60</v>
      </c>
      <c r="L6" s="190" t="s">
        <v>61</v>
      </c>
      <c r="M6" s="190" t="s">
        <v>62</v>
      </c>
      <c r="N6" s="190" t="s">
        <v>63</v>
      </c>
      <c r="O6" s="190" t="s">
        <v>64</v>
      </c>
      <c r="P6" s="190" t="s">
        <v>65</v>
      </c>
      <c r="Q6" s="190" t="s">
        <v>66</v>
      </c>
      <c r="R6" s="190" t="s">
        <v>59</v>
      </c>
      <c r="S6" s="190" t="s">
        <v>60</v>
      </c>
      <c r="T6" s="190" t="s">
        <v>61</v>
      </c>
      <c r="U6" s="190" t="s">
        <v>62</v>
      </c>
      <c r="V6" s="190" t="s">
        <v>63</v>
      </c>
      <c r="W6" s="190" t="s">
        <v>64</v>
      </c>
      <c r="X6" s="190" t="s">
        <v>65</v>
      </c>
      <c r="Y6" s="190" t="s">
        <v>66</v>
      </c>
      <c r="Z6" s="190" t="s">
        <v>59</v>
      </c>
      <c r="AA6" s="190" t="s">
        <v>60</v>
      </c>
      <c r="AB6" s="190" t="s">
        <v>61</v>
      </c>
      <c r="AC6" s="190" t="s">
        <v>62</v>
      </c>
      <c r="AD6" s="190" t="s">
        <v>63</v>
      </c>
      <c r="AE6" s="190" t="s">
        <v>64</v>
      </c>
      <c r="AF6" s="190" t="s">
        <v>65</v>
      </c>
      <c r="AG6" s="190" t="s">
        <v>66</v>
      </c>
    </row>
    <row r="7" spans="1:33">
      <c r="A7" s="144" t="s">
        <v>70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</row>
    <row r="8" spans="1:33">
      <c r="A8" s="143" t="s">
        <v>12</v>
      </c>
      <c r="B8" s="157">
        <v>0</v>
      </c>
      <c r="C8" s="157">
        <v>0</v>
      </c>
      <c r="D8" s="150">
        <v>0</v>
      </c>
      <c r="E8" s="157">
        <v>0</v>
      </c>
      <c r="F8" s="157">
        <v>0</v>
      </c>
      <c r="G8" s="150">
        <v>0</v>
      </c>
      <c r="H8" s="157">
        <v>0</v>
      </c>
      <c r="I8" s="150">
        <v>0</v>
      </c>
      <c r="J8" s="157">
        <v>0</v>
      </c>
      <c r="K8" s="157">
        <v>0</v>
      </c>
      <c r="L8" s="150">
        <v>0</v>
      </c>
      <c r="M8" s="157">
        <v>0</v>
      </c>
      <c r="N8" s="157">
        <v>0</v>
      </c>
      <c r="O8" s="150">
        <v>0</v>
      </c>
      <c r="P8" s="157">
        <v>0</v>
      </c>
      <c r="Q8" s="150">
        <v>0</v>
      </c>
      <c r="R8" s="157">
        <v>0</v>
      </c>
      <c r="S8" s="157">
        <v>0</v>
      </c>
      <c r="T8" s="150">
        <v>0</v>
      </c>
      <c r="U8" s="157">
        <v>0</v>
      </c>
      <c r="V8" s="157">
        <v>0</v>
      </c>
      <c r="W8" s="150">
        <v>0</v>
      </c>
      <c r="X8" s="157">
        <v>0</v>
      </c>
      <c r="Y8" s="150">
        <v>0</v>
      </c>
      <c r="Z8" s="157">
        <v>288.92500000000001</v>
      </c>
      <c r="AA8" s="157">
        <v>277.53300000000002</v>
      </c>
      <c r="AB8" s="150">
        <v>4.1047370899999998E-2</v>
      </c>
      <c r="AC8" s="157">
        <v>2571.5340000000001</v>
      </c>
      <c r="AD8" s="157">
        <v>2374.1529999999998</v>
      </c>
      <c r="AE8" s="150">
        <v>8.3137438899999999E-2</v>
      </c>
      <c r="AF8" s="157">
        <v>3240.2829999999999</v>
      </c>
      <c r="AG8" s="150">
        <v>-5.6717788E-3</v>
      </c>
    </row>
    <row r="9" spans="1:33">
      <c r="A9" s="143" t="s">
        <v>11</v>
      </c>
      <c r="B9" s="157">
        <v>0</v>
      </c>
      <c r="C9" s="157">
        <v>0</v>
      </c>
      <c r="D9" s="150">
        <v>0</v>
      </c>
      <c r="E9" s="157">
        <v>0</v>
      </c>
      <c r="F9" s="157">
        <v>0</v>
      </c>
      <c r="G9" s="150">
        <v>0</v>
      </c>
      <c r="H9" s="157">
        <v>0</v>
      </c>
      <c r="I9" s="150">
        <v>0</v>
      </c>
      <c r="J9" s="157">
        <v>0</v>
      </c>
      <c r="K9" s="157">
        <v>0</v>
      </c>
      <c r="L9" s="150">
        <v>0</v>
      </c>
      <c r="M9" s="157">
        <v>0</v>
      </c>
      <c r="N9" s="157">
        <v>0</v>
      </c>
      <c r="O9" s="150">
        <v>0</v>
      </c>
      <c r="P9" s="157">
        <v>0</v>
      </c>
      <c r="Q9" s="150">
        <v>0</v>
      </c>
      <c r="R9" s="157">
        <v>-603.80600000000004</v>
      </c>
      <c r="S9" s="157">
        <v>-549.97400000000005</v>
      </c>
      <c r="T9" s="150">
        <v>9.7880990700000003E-2</v>
      </c>
      <c r="U9" s="157">
        <v>80480.849000000002</v>
      </c>
      <c r="V9" s="157">
        <v>46382.226000000002</v>
      </c>
      <c r="W9" s="150">
        <v>0.73516572920000001</v>
      </c>
      <c r="X9" s="157">
        <v>78701.256999999998</v>
      </c>
      <c r="Y9" s="150">
        <v>-0.62995267639999997</v>
      </c>
      <c r="Z9" s="157">
        <v>0</v>
      </c>
      <c r="AA9" s="157">
        <v>0</v>
      </c>
      <c r="AB9" s="150">
        <v>0</v>
      </c>
      <c r="AC9" s="157">
        <v>0</v>
      </c>
      <c r="AD9" s="157">
        <v>0</v>
      </c>
      <c r="AE9" s="150">
        <v>0</v>
      </c>
      <c r="AF9" s="157">
        <v>0</v>
      </c>
      <c r="AG9" s="150">
        <v>0</v>
      </c>
    </row>
    <row r="10" spans="1:33">
      <c r="A10" s="143" t="s">
        <v>78</v>
      </c>
      <c r="B10" s="157">
        <v>15801.838</v>
      </c>
      <c r="C10" s="157">
        <v>16828.294999999998</v>
      </c>
      <c r="D10" s="150">
        <v>-6.09959001E-2</v>
      </c>
      <c r="E10" s="157">
        <v>148237.663</v>
      </c>
      <c r="F10" s="157">
        <v>147386.04399999999</v>
      </c>
      <c r="G10" s="150">
        <v>5.7781522E-3</v>
      </c>
      <c r="H10" s="157">
        <v>197530.57</v>
      </c>
      <c r="I10" s="150">
        <v>6.6939167999999997E-3</v>
      </c>
      <c r="J10" s="157">
        <v>16331.128000000001</v>
      </c>
      <c r="K10" s="157">
        <v>17261.555</v>
      </c>
      <c r="L10" s="150">
        <v>-5.3901690799999999E-2</v>
      </c>
      <c r="M10" s="157">
        <v>141993.95699999999</v>
      </c>
      <c r="N10" s="157">
        <v>146966.342</v>
      </c>
      <c r="O10" s="150">
        <v>-3.3833494999999998E-2</v>
      </c>
      <c r="P10" s="157">
        <v>187957.43299999999</v>
      </c>
      <c r="Q10" s="150">
        <v>-2.8678077100000001E-2</v>
      </c>
      <c r="R10" s="157">
        <v>32713.325000000001</v>
      </c>
      <c r="S10" s="157">
        <v>52802.482000000004</v>
      </c>
      <c r="T10" s="150">
        <v>-0.38045857389999999</v>
      </c>
      <c r="U10" s="157">
        <v>372754.52600000001</v>
      </c>
      <c r="V10" s="157">
        <v>309811.10100000002</v>
      </c>
      <c r="W10" s="150">
        <v>0.20316710669999999</v>
      </c>
      <c r="X10" s="157">
        <v>461823.71</v>
      </c>
      <c r="Y10" s="150">
        <v>0.25677821579999999</v>
      </c>
      <c r="Z10" s="157">
        <v>147144.266</v>
      </c>
      <c r="AA10" s="157">
        <v>167979.367</v>
      </c>
      <c r="AB10" s="150">
        <v>-0.1240336916</v>
      </c>
      <c r="AC10" s="157">
        <v>1279283.949</v>
      </c>
      <c r="AD10" s="157">
        <v>1249793.351</v>
      </c>
      <c r="AE10" s="150">
        <v>2.3596379300000001E-2</v>
      </c>
      <c r="AF10" s="157">
        <v>1746398.145</v>
      </c>
      <c r="AG10" s="150">
        <v>3.7077740300000002E-2</v>
      </c>
    </row>
    <row r="11" spans="1:33">
      <c r="A11" s="143" t="s">
        <v>9</v>
      </c>
      <c r="B11" s="157">
        <v>16.297999999999998</v>
      </c>
      <c r="C11" s="157">
        <v>93.298000000000002</v>
      </c>
      <c r="D11" s="150">
        <v>-0.82531243970000001</v>
      </c>
      <c r="E11" s="157">
        <v>141.13999999999999</v>
      </c>
      <c r="F11" s="157">
        <v>166.685</v>
      </c>
      <c r="G11" s="150">
        <v>-0.1532531422</v>
      </c>
      <c r="H11" s="157">
        <v>181.34800000000001</v>
      </c>
      <c r="I11" s="150">
        <v>-0.34783093399999998</v>
      </c>
      <c r="J11" s="157">
        <v>1.3740000000000001</v>
      </c>
      <c r="K11" s="157">
        <v>1.149</v>
      </c>
      <c r="L11" s="150">
        <v>0.1958224543</v>
      </c>
      <c r="M11" s="157">
        <v>96.215999999999994</v>
      </c>
      <c r="N11" s="157">
        <v>90.411000000000001</v>
      </c>
      <c r="O11" s="150">
        <v>6.4206789E-2</v>
      </c>
      <c r="P11" s="157">
        <v>96.897000000000006</v>
      </c>
      <c r="Q11" s="150">
        <v>-2.3136946500000002E-2</v>
      </c>
      <c r="R11" s="157">
        <v>56444.970999999998</v>
      </c>
      <c r="S11" s="157">
        <v>38690.980000000003</v>
      </c>
      <c r="T11" s="150">
        <v>0.45886640760000003</v>
      </c>
      <c r="U11" s="157">
        <v>303423.908</v>
      </c>
      <c r="V11" s="157">
        <v>178373.584</v>
      </c>
      <c r="W11" s="150">
        <v>0.70105853789999995</v>
      </c>
      <c r="X11" s="157">
        <v>349310.61200000002</v>
      </c>
      <c r="Y11" s="150">
        <v>0.6687667759</v>
      </c>
      <c r="Z11" s="157">
        <v>27959.973000000002</v>
      </c>
      <c r="AA11" s="157">
        <v>32625.572</v>
      </c>
      <c r="AB11" s="150">
        <v>-0.1430043587</v>
      </c>
      <c r="AC11" s="157">
        <v>178270.49299999999</v>
      </c>
      <c r="AD11" s="157">
        <v>139517.33499999999</v>
      </c>
      <c r="AE11" s="150">
        <v>0.27776589909999999</v>
      </c>
      <c r="AF11" s="157">
        <v>237778.856</v>
      </c>
      <c r="AG11" s="150">
        <v>0.15302280090000001</v>
      </c>
    </row>
    <row r="12" spans="1:33">
      <c r="A12" s="143" t="s">
        <v>8</v>
      </c>
      <c r="B12" s="157">
        <v>0</v>
      </c>
      <c r="C12" s="157">
        <v>0</v>
      </c>
      <c r="D12" s="150">
        <v>0</v>
      </c>
      <c r="E12" s="157">
        <v>0</v>
      </c>
      <c r="F12" s="157">
        <v>0</v>
      </c>
      <c r="G12" s="150">
        <v>0</v>
      </c>
      <c r="H12" s="157">
        <v>0</v>
      </c>
      <c r="I12" s="150">
        <v>0</v>
      </c>
      <c r="J12" s="157">
        <v>0</v>
      </c>
      <c r="K12" s="157">
        <v>0</v>
      </c>
      <c r="L12" s="150">
        <v>0</v>
      </c>
      <c r="M12" s="157">
        <v>0</v>
      </c>
      <c r="N12" s="157">
        <v>0</v>
      </c>
      <c r="O12" s="150">
        <v>0</v>
      </c>
      <c r="P12" s="157">
        <v>0</v>
      </c>
      <c r="Q12" s="150">
        <v>0</v>
      </c>
      <c r="R12" s="157">
        <v>0</v>
      </c>
      <c r="S12" s="157">
        <v>0</v>
      </c>
      <c r="T12" s="150">
        <v>0</v>
      </c>
      <c r="U12" s="157">
        <v>0</v>
      </c>
      <c r="V12" s="157">
        <v>0</v>
      </c>
      <c r="W12" s="150">
        <v>0</v>
      </c>
      <c r="X12" s="157">
        <v>0</v>
      </c>
      <c r="Y12" s="150">
        <v>0</v>
      </c>
      <c r="Z12" s="157">
        <v>110953.99099999999</v>
      </c>
      <c r="AA12" s="157">
        <v>113210.213</v>
      </c>
      <c r="AB12" s="150">
        <v>-1.99294917E-2</v>
      </c>
      <c r="AC12" s="157">
        <v>872134.80200000003</v>
      </c>
      <c r="AD12" s="157">
        <v>767546.46</v>
      </c>
      <c r="AE12" s="150">
        <v>0.13626320680000001</v>
      </c>
      <c r="AF12" s="157">
        <v>1212625.845</v>
      </c>
      <c r="AG12" s="150">
        <v>7.5873437899999993E-2</v>
      </c>
    </row>
    <row r="13" spans="1:33">
      <c r="A13" s="143" t="s">
        <v>25</v>
      </c>
      <c r="B13" s="157">
        <v>0</v>
      </c>
      <c r="C13" s="157">
        <v>0</v>
      </c>
      <c r="D13" s="150">
        <v>0</v>
      </c>
      <c r="E13" s="157">
        <v>0</v>
      </c>
      <c r="F13" s="157">
        <v>0</v>
      </c>
      <c r="G13" s="150">
        <v>0</v>
      </c>
      <c r="H13" s="157">
        <v>0</v>
      </c>
      <c r="I13" s="150">
        <v>0</v>
      </c>
      <c r="J13" s="157">
        <v>0</v>
      </c>
      <c r="K13" s="157">
        <v>0</v>
      </c>
      <c r="L13" s="150">
        <v>0</v>
      </c>
      <c r="M13" s="157">
        <v>0</v>
      </c>
      <c r="N13" s="157">
        <v>0</v>
      </c>
      <c r="O13" s="150">
        <v>0</v>
      </c>
      <c r="P13" s="157">
        <v>0</v>
      </c>
      <c r="Q13" s="150">
        <v>0</v>
      </c>
      <c r="R13" s="157">
        <v>377073.82699999999</v>
      </c>
      <c r="S13" s="157">
        <v>367240.80800000002</v>
      </c>
      <c r="T13" s="150">
        <v>2.67753986E-2</v>
      </c>
      <c r="U13" s="157">
        <v>3202690.5380000002</v>
      </c>
      <c r="V13" s="157">
        <v>2532088.9139999999</v>
      </c>
      <c r="W13" s="150">
        <v>0.26484126219999998</v>
      </c>
      <c r="X13" s="157">
        <v>4152822.66</v>
      </c>
      <c r="Y13" s="150">
        <v>0.3762034246</v>
      </c>
      <c r="Z13" s="157">
        <v>285298.45600000001</v>
      </c>
      <c r="AA13" s="157">
        <v>278888.3</v>
      </c>
      <c r="AB13" s="150">
        <v>2.2984671599999999E-2</v>
      </c>
      <c r="AC13" s="157">
        <v>2627185.4709999999</v>
      </c>
      <c r="AD13" s="157">
        <v>2506525.0649999999</v>
      </c>
      <c r="AE13" s="150">
        <v>4.8138519599999999E-2</v>
      </c>
      <c r="AF13" s="157">
        <v>3550900.0049999999</v>
      </c>
      <c r="AG13" s="150">
        <v>5.4947690600000001E-2</v>
      </c>
    </row>
    <row r="14" spans="1:33">
      <c r="A14" s="143" t="s">
        <v>24</v>
      </c>
      <c r="B14" s="157">
        <v>0</v>
      </c>
      <c r="C14" s="157">
        <v>0</v>
      </c>
      <c r="D14" s="150">
        <v>0</v>
      </c>
      <c r="E14" s="157">
        <v>0</v>
      </c>
      <c r="F14" s="157">
        <v>0</v>
      </c>
      <c r="G14" s="150">
        <v>0</v>
      </c>
      <c r="H14" s="157">
        <v>0</v>
      </c>
      <c r="I14" s="150">
        <v>0</v>
      </c>
      <c r="J14" s="157">
        <v>0</v>
      </c>
      <c r="K14" s="157">
        <v>0</v>
      </c>
      <c r="L14" s="150">
        <v>0</v>
      </c>
      <c r="M14" s="157">
        <v>0</v>
      </c>
      <c r="N14" s="157">
        <v>0</v>
      </c>
      <c r="O14" s="150">
        <v>0</v>
      </c>
      <c r="P14" s="157">
        <v>0</v>
      </c>
      <c r="Q14" s="150">
        <v>0</v>
      </c>
      <c r="R14" s="157">
        <v>4085.8240000000001</v>
      </c>
      <c r="S14" s="157">
        <v>2092.5160000000001</v>
      </c>
      <c r="T14" s="150">
        <v>0.95258913190000005</v>
      </c>
      <c r="U14" s="157">
        <v>11210.599</v>
      </c>
      <c r="V14" s="157">
        <v>11037.249</v>
      </c>
      <c r="W14" s="150">
        <v>1.5705906400000001E-2</v>
      </c>
      <c r="X14" s="157">
        <v>12199.412</v>
      </c>
      <c r="Y14" s="150">
        <v>3.5867274599999999E-2</v>
      </c>
      <c r="Z14" s="157">
        <v>0</v>
      </c>
      <c r="AA14" s="157">
        <v>0</v>
      </c>
      <c r="AB14" s="150">
        <v>0</v>
      </c>
      <c r="AC14" s="157">
        <v>0</v>
      </c>
      <c r="AD14" s="157">
        <v>0</v>
      </c>
      <c r="AE14" s="150">
        <v>0</v>
      </c>
      <c r="AF14" s="157">
        <v>0</v>
      </c>
      <c r="AG14" s="150">
        <v>0</v>
      </c>
    </row>
    <row r="15" spans="1:33">
      <c r="A15" s="143" t="s">
        <v>6</v>
      </c>
      <c r="B15" s="157">
        <v>0</v>
      </c>
      <c r="C15" s="157">
        <v>0</v>
      </c>
      <c r="D15" s="150">
        <v>0</v>
      </c>
      <c r="E15" s="157">
        <v>0</v>
      </c>
      <c r="F15" s="157">
        <v>0</v>
      </c>
      <c r="G15" s="150">
        <v>0</v>
      </c>
      <c r="H15" s="157">
        <v>0</v>
      </c>
      <c r="I15" s="150">
        <v>0</v>
      </c>
      <c r="J15" s="157">
        <v>0</v>
      </c>
      <c r="K15" s="157">
        <v>0</v>
      </c>
      <c r="L15" s="150">
        <v>0</v>
      </c>
      <c r="M15" s="157">
        <v>0</v>
      </c>
      <c r="N15" s="157">
        <v>0</v>
      </c>
      <c r="O15" s="150">
        <v>0</v>
      </c>
      <c r="P15" s="157">
        <v>0</v>
      </c>
      <c r="Q15" s="150">
        <v>0</v>
      </c>
      <c r="R15" s="157">
        <v>0</v>
      </c>
      <c r="S15" s="157">
        <v>0</v>
      </c>
      <c r="T15" s="150">
        <v>0</v>
      </c>
      <c r="U15" s="157">
        <v>0</v>
      </c>
      <c r="V15" s="157">
        <v>0</v>
      </c>
      <c r="W15" s="150">
        <v>0</v>
      </c>
      <c r="X15" s="157">
        <v>0</v>
      </c>
      <c r="Y15" s="150">
        <v>0</v>
      </c>
      <c r="Z15" s="157">
        <v>2075.0949999999998</v>
      </c>
      <c r="AA15" s="157">
        <v>1420.1079999999999</v>
      </c>
      <c r="AB15" s="150">
        <v>0.4612233717</v>
      </c>
      <c r="AC15" s="157">
        <v>19994.258999999998</v>
      </c>
      <c r="AD15" s="157">
        <v>18867.927</v>
      </c>
      <c r="AE15" s="150">
        <v>5.9695588199999997E-2</v>
      </c>
      <c r="AF15" s="157">
        <v>24214.589</v>
      </c>
      <c r="AG15" s="150">
        <v>9.5437253400000005E-2</v>
      </c>
    </row>
    <row r="16" spans="1:33">
      <c r="A16" s="143" t="s">
        <v>5</v>
      </c>
      <c r="B16" s="157">
        <v>0</v>
      </c>
      <c r="C16" s="157">
        <v>0</v>
      </c>
      <c r="D16" s="150">
        <v>0</v>
      </c>
      <c r="E16" s="157">
        <v>0</v>
      </c>
      <c r="F16" s="157">
        <v>0</v>
      </c>
      <c r="G16" s="150">
        <v>0</v>
      </c>
      <c r="H16" s="157">
        <v>0</v>
      </c>
      <c r="I16" s="150">
        <v>0</v>
      </c>
      <c r="J16" s="157">
        <v>0</v>
      </c>
      <c r="K16" s="157">
        <v>0</v>
      </c>
      <c r="L16" s="150">
        <v>0</v>
      </c>
      <c r="M16" s="157">
        <v>0</v>
      </c>
      <c r="N16" s="157">
        <v>0</v>
      </c>
      <c r="O16" s="150">
        <v>0</v>
      </c>
      <c r="P16" s="157">
        <v>0</v>
      </c>
      <c r="Q16" s="150">
        <v>0</v>
      </c>
      <c r="R16" s="157">
        <v>12.76</v>
      </c>
      <c r="S16" s="157">
        <v>274.44799999999998</v>
      </c>
      <c r="T16" s="150">
        <v>-0.95350667519999999</v>
      </c>
      <c r="U16" s="157">
        <v>1319.308</v>
      </c>
      <c r="V16" s="157">
        <v>1903.7470000000001</v>
      </c>
      <c r="W16" s="150">
        <v>-0.3069940491</v>
      </c>
      <c r="X16" s="157">
        <v>1751.67</v>
      </c>
      <c r="Y16" s="150">
        <v>-0.38901015649999998</v>
      </c>
      <c r="Z16" s="157">
        <v>123261.465</v>
      </c>
      <c r="AA16" s="157">
        <v>107853.368</v>
      </c>
      <c r="AB16" s="150">
        <v>0.14286152839999999</v>
      </c>
      <c r="AC16" s="157">
        <v>1142765.683</v>
      </c>
      <c r="AD16" s="157">
        <v>1003400.731</v>
      </c>
      <c r="AE16" s="150">
        <v>0.13889261559999999</v>
      </c>
      <c r="AF16" s="157">
        <v>1449390.3160000001</v>
      </c>
      <c r="AG16" s="150">
        <v>0.18980218539999999</v>
      </c>
    </row>
    <row r="17" spans="1:33">
      <c r="A17" s="143" t="s">
        <v>4</v>
      </c>
      <c r="B17" s="157">
        <v>0</v>
      </c>
      <c r="C17" s="157">
        <v>0</v>
      </c>
      <c r="D17" s="150">
        <v>0</v>
      </c>
      <c r="E17" s="157">
        <v>0</v>
      </c>
      <c r="F17" s="157">
        <v>0</v>
      </c>
      <c r="G17" s="150">
        <v>0</v>
      </c>
      <c r="H17" s="157">
        <v>0</v>
      </c>
      <c r="I17" s="150">
        <v>0</v>
      </c>
      <c r="J17" s="157">
        <v>6.2480000000000002</v>
      </c>
      <c r="K17" s="157">
        <v>6.0979999999999999</v>
      </c>
      <c r="L17" s="150">
        <v>2.4598228900000001E-2</v>
      </c>
      <c r="M17" s="157">
        <v>59.313000000000002</v>
      </c>
      <c r="N17" s="157">
        <v>48.901000000000003</v>
      </c>
      <c r="O17" s="150">
        <v>0.2129199812</v>
      </c>
      <c r="P17" s="157">
        <v>71.007000000000005</v>
      </c>
      <c r="Q17" s="150">
        <v>0.1137304724</v>
      </c>
      <c r="R17" s="157">
        <v>24348.155999999999</v>
      </c>
      <c r="S17" s="157">
        <v>17622.215</v>
      </c>
      <c r="T17" s="150">
        <v>0.3816739837</v>
      </c>
      <c r="U17" s="157">
        <v>209470.86600000001</v>
      </c>
      <c r="V17" s="157">
        <v>151494.68700000001</v>
      </c>
      <c r="W17" s="150">
        <v>0.38269447029999998</v>
      </c>
      <c r="X17" s="157">
        <v>246223.103</v>
      </c>
      <c r="Y17" s="150">
        <v>0.4092689384</v>
      </c>
      <c r="Z17" s="157">
        <v>26440.342000000001</v>
      </c>
      <c r="AA17" s="157">
        <v>21565.273000000001</v>
      </c>
      <c r="AB17" s="150">
        <v>0.2260610844</v>
      </c>
      <c r="AC17" s="157">
        <v>243129.00099999999</v>
      </c>
      <c r="AD17" s="157">
        <v>209402.29399999999</v>
      </c>
      <c r="AE17" s="150">
        <v>0.1610617838</v>
      </c>
      <c r="AF17" s="157">
        <v>295991.902</v>
      </c>
      <c r="AG17" s="150">
        <v>0.1334058256</v>
      </c>
    </row>
    <row r="18" spans="1:33">
      <c r="A18" s="143" t="s">
        <v>22</v>
      </c>
      <c r="B18" s="157">
        <v>0</v>
      </c>
      <c r="C18" s="157">
        <v>0</v>
      </c>
      <c r="D18" s="150">
        <v>0</v>
      </c>
      <c r="E18" s="157">
        <v>0</v>
      </c>
      <c r="F18" s="157">
        <v>0</v>
      </c>
      <c r="G18" s="150">
        <v>0</v>
      </c>
      <c r="H18" s="157">
        <v>0</v>
      </c>
      <c r="I18" s="150">
        <v>0</v>
      </c>
      <c r="J18" s="157">
        <v>0</v>
      </c>
      <c r="K18" s="157">
        <v>0</v>
      </c>
      <c r="L18" s="150">
        <v>0</v>
      </c>
      <c r="M18" s="157">
        <v>0</v>
      </c>
      <c r="N18" s="157">
        <v>0</v>
      </c>
      <c r="O18" s="150">
        <v>0</v>
      </c>
      <c r="P18" s="157">
        <v>0</v>
      </c>
      <c r="Q18" s="150">
        <v>0</v>
      </c>
      <c r="R18" s="157">
        <v>71.822999999999993</v>
      </c>
      <c r="S18" s="157">
        <v>81.382000000000005</v>
      </c>
      <c r="T18" s="150">
        <v>-0.117458406</v>
      </c>
      <c r="U18" s="157">
        <v>1523.902</v>
      </c>
      <c r="V18" s="157">
        <v>859.10799999999995</v>
      </c>
      <c r="W18" s="150">
        <v>0.77381889120000003</v>
      </c>
      <c r="X18" s="157">
        <v>2237.4989999999998</v>
      </c>
      <c r="Y18" s="150">
        <v>1.2477690567999999</v>
      </c>
      <c r="Z18" s="157">
        <v>714.81200000000001</v>
      </c>
      <c r="AA18" s="157">
        <v>400.13299999999998</v>
      </c>
      <c r="AB18" s="150">
        <v>0.78643600999999996</v>
      </c>
      <c r="AC18" s="157">
        <v>6640.5150000000003</v>
      </c>
      <c r="AD18" s="157">
        <v>5722.8069999999998</v>
      </c>
      <c r="AE18" s="150">
        <v>0.1603597675</v>
      </c>
      <c r="AF18" s="157">
        <v>8972.0990000000002</v>
      </c>
      <c r="AG18" s="150">
        <v>0.12137991200000001</v>
      </c>
    </row>
    <row r="19" spans="1:33">
      <c r="A19" s="143" t="s">
        <v>23</v>
      </c>
      <c r="B19" s="157">
        <v>0</v>
      </c>
      <c r="C19" s="157">
        <v>0</v>
      </c>
      <c r="D19" s="150">
        <v>0</v>
      </c>
      <c r="E19" s="157">
        <v>0</v>
      </c>
      <c r="F19" s="157">
        <v>0</v>
      </c>
      <c r="G19" s="150">
        <v>0</v>
      </c>
      <c r="H19" s="157">
        <v>0</v>
      </c>
      <c r="I19" s="150">
        <v>0</v>
      </c>
      <c r="J19" s="157">
        <v>0</v>
      </c>
      <c r="K19" s="157">
        <v>0</v>
      </c>
      <c r="L19" s="150">
        <v>0</v>
      </c>
      <c r="M19" s="157">
        <v>0</v>
      </c>
      <c r="N19" s="157">
        <v>0</v>
      </c>
      <c r="O19" s="150">
        <v>0</v>
      </c>
      <c r="P19" s="157">
        <v>0</v>
      </c>
      <c r="Q19" s="150">
        <v>0</v>
      </c>
      <c r="R19" s="157">
        <v>2037.3130000000001</v>
      </c>
      <c r="S19" s="157">
        <v>3819.0279999999998</v>
      </c>
      <c r="T19" s="150">
        <v>-0.4665362495</v>
      </c>
      <c r="U19" s="157">
        <v>19044.38</v>
      </c>
      <c r="V19" s="157">
        <v>32393.415000000001</v>
      </c>
      <c r="W19" s="150">
        <v>-0.41209100679999999</v>
      </c>
      <c r="X19" s="157">
        <v>27996.027999999998</v>
      </c>
      <c r="Y19" s="150">
        <v>-0.31073875379999999</v>
      </c>
      <c r="Z19" s="157">
        <v>-11.862</v>
      </c>
      <c r="AA19" s="157">
        <v>0</v>
      </c>
      <c r="AB19" s="150">
        <v>0</v>
      </c>
      <c r="AC19" s="157">
        <v>-31.844000000000001</v>
      </c>
      <c r="AD19" s="157">
        <v>0</v>
      </c>
      <c r="AE19" s="150">
        <v>0</v>
      </c>
      <c r="AF19" s="157">
        <v>-31.844000000000001</v>
      </c>
      <c r="AG19" s="150">
        <v>0</v>
      </c>
    </row>
    <row r="20" spans="1:33">
      <c r="A20" s="143" t="s">
        <v>54</v>
      </c>
      <c r="B20" s="157">
        <v>0</v>
      </c>
      <c r="C20" s="157">
        <v>0</v>
      </c>
      <c r="D20" s="150">
        <v>0</v>
      </c>
      <c r="E20" s="157">
        <v>0</v>
      </c>
      <c r="F20" s="157">
        <v>0</v>
      </c>
      <c r="G20" s="150">
        <v>0</v>
      </c>
      <c r="H20" s="157">
        <v>0</v>
      </c>
      <c r="I20" s="150">
        <v>0</v>
      </c>
      <c r="J20" s="157">
        <v>471.39949999999999</v>
      </c>
      <c r="K20" s="157">
        <v>463.6515</v>
      </c>
      <c r="L20" s="150">
        <v>1.6710827000000001E-2</v>
      </c>
      <c r="M20" s="157">
        <v>4501.9269999999997</v>
      </c>
      <c r="N20" s="157">
        <v>4617.9449999999997</v>
      </c>
      <c r="O20" s="150">
        <v>-2.5123296199999999E-2</v>
      </c>
      <c r="P20" s="157">
        <v>6032.3559999999998</v>
      </c>
      <c r="Q20" s="150">
        <v>3.2286188999999998E-3</v>
      </c>
      <c r="R20" s="157">
        <v>13581.664500000001</v>
      </c>
      <c r="S20" s="157">
        <v>11972.504499999999</v>
      </c>
      <c r="T20" s="150">
        <v>0.13440462689999999</v>
      </c>
      <c r="U20" s="157">
        <v>101227.99800000001</v>
      </c>
      <c r="V20" s="157">
        <v>91778.751499999998</v>
      </c>
      <c r="W20" s="150">
        <v>0.1029567993</v>
      </c>
      <c r="X20" s="157">
        <v>130377.0625</v>
      </c>
      <c r="Y20" s="150">
        <v>9.1610415299999998E-2</v>
      </c>
      <c r="Z20" s="157">
        <v>0</v>
      </c>
      <c r="AA20" s="157">
        <v>0</v>
      </c>
      <c r="AB20" s="150">
        <v>0</v>
      </c>
      <c r="AC20" s="157">
        <v>0</v>
      </c>
      <c r="AD20" s="157">
        <v>0</v>
      </c>
      <c r="AE20" s="150">
        <v>0</v>
      </c>
      <c r="AF20" s="157">
        <v>0</v>
      </c>
      <c r="AG20" s="150">
        <v>0</v>
      </c>
    </row>
    <row r="21" spans="1:33">
      <c r="A21" s="143" t="s">
        <v>55</v>
      </c>
      <c r="B21" s="157">
        <v>0</v>
      </c>
      <c r="C21" s="157">
        <v>0</v>
      </c>
      <c r="D21" s="150">
        <v>0</v>
      </c>
      <c r="E21" s="157">
        <v>0</v>
      </c>
      <c r="F21" s="157">
        <v>0</v>
      </c>
      <c r="G21" s="150">
        <v>0</v>
      </c>
      <c r="H21" s="157">
        <v>0</v>
      </c>
      <c r="I21" s="150">
        <v>0</v>
      </c>
      <c r="J21" s="157">
        <v>471.39949999999999</v>
      </c>
      <c r="K21" s="157">
        <v>463.6515</v>
      </c>
      <c r="L21" s="150">
        <v>1.6710827000000001E-2</v>
      </c>
      <c r="M21" s="157">
        <v>4501.9269999999997</v>
      </c>
      <c r="N21" s="157">
        <v>4617.9449999999997</v>
      </c>
      <c r="O21" s="150">
        <v>-2.5123296199999999E-2</v>
      </c>
      <c r="P21" s="157">
        <v>6032.3559999999998</v>
      </c>
      <c r="Q21" s="150">
        <v>3.2286188999999998E-3</v>
      </c>
      <c r="R21" s="157">
        <v>13581.664500000001</v>
      </c>
      <c r="S21" s="157">
        <v>11972.504499999999</v>
      </c>
      <c r="T21" s="150">
        <v>0.13440462689999999</v>
      </c>
      <c r="U21" s="157">
        <v>101227.99800000001</v>
      </c>
      <c r="V21" s="157">
        <v>91778.751499999998</v>
      </c>
      <c r="W21" s="150">
        <v>0.1029567993</v>
      </c>
      <c r="X21" s="157">
        <v>130377.0625</v>
      </c>
      <c r="Y21" s="150">
        <v>9.1610415299999998E-2</v>
      </c>
      <c r="Z21" s="157">
        <v>0</v>
      </c>
      <c r="AA21" s="157">
        <v>0</v>
      </c>
      <c r="AB21" s="150">
        <v>0</v>
      </c>
      <c r="AC21" s="157">
        <v>0</v>
      </c>
      <c r="AD21" s="157">
        <v>0</v>
      </c>
      <c r="AE21" s="150">
        <v>0</v>
      </c>
      <c r="AF21" s="157">
        <v>0</v>
      </c>
      <c r="AG21" s="150">
        <v>0</v>
      </c>
    </row>
    <row r="22" spans="1:33">
      <c r="A22" s="148" t="s">
        <v>2</v>
      </c>
      <c r="B22" s="158">
        <v>15818.136</v>
      </c>
      <c r="C22" s="158">
        <v>16921.593000000001</v>
      </c>
      <c r="D22" s="151">
        <v>-6.5209995300000004E-2</v>
      </c>
      <c r="E22" s="158">
        <v>148378.80300000001</v>
      </c>
      <c r="F22" s="158">
        <v>147552.72899999999</v>
      </c>
      <c r="G22" s="151">
        <v>5.5985002999999998E-3</v>
      </c>
      <c r="H22" s="158">
        <v>197711.91800000001</v>
      </c>
      <c r="I22" s="151">
        <v>6.1922130000000002E-3</v>
      </c>
      <c r="J22" s="158">
        <v>17281.548999999999</v>
      </c>
      <c r="K22" s="158">
        <v>18196.105</v>
      </c>
      <c r="L22" s="151">
        <v>-5.0261086099999998E-2</v>
      </c>
      <c r="M22" s="158">
        <v>151153.34</v>
      </c>
      <c r="N22" s="158">
        <v>156341.54399999999</v>
      </c>
      <c r="O22" s="151">
        <v>-3.3185063100000002E-2</v>
      </c>
      <c r="P22" s="158">
        <v>200190.049</v>
      </c>
      <c r="Q22" s="151">
        <v>-2.67658575E-2</v>
      </c>
      <c r="R22" s="158">
        <v>523347.522</v>
      </c>
      <c r="S22" s="158">
        <v>506018.89399999997</v>
      </c>
      <c r="T22" s="151">
        <v>3.4245021700000003E-2</v>
      </c>
      <c r="U22" s="158">
        <v>4404374.8720000004</v>
      </c>
      <c r="V22" s="158">
        <v>3447901.534</v>
      </c>
      <c r="W22" s="151">
        <v>0.27740738199999998</v>
      </c>
      <c r="X22" s="158">
        <v>5593820.0760000004</v>
      </c>
      <c r="Y22" s="151">
        <v>0.30791272240000001</v>
      </c>
      <c r="Z22" s="158">
        <v>724125.46299999999</v>
      </c>
      <c r="AA22" s="158">
        <v>724219.86699999997</v>
      </c>
      <c r="AB22" s="151">
        <v>-1.303527E-4</v>
      </c>
      <c r="AC22" s="158">
        <v>6371943.8629999999</v>
      </c>
      <c r="AD22" s="158">
        <v>5903150.1229999997</v>
      </c>
      <c r="AE22" s="151">
        <v>7.94141654E-2</v>
      </c>
      <c r="AF22" s="158">
        <v>8529480.1960000005</v>
      </c>
      <c r="AG22" s="151">
        <v>8.0236902400000004E-2</v>
      </c>
    </row>
    <row r="23" spans="1:33">
      <c r="A23" s="143" t="s">
        <v>21</v>
      </c>
      <c r="B23" s="157">
        <v>0</v>
      </c>
      <c r="C23" s="157">
        <v>0</v>
      </c>
      <c r="D23" s="150">
        <v>0</v>
      </c>
      <c r="E23" s="157">
        <v>0</v>
      </c>
      <c r="F23" s="157">
        <v>0</v>
      </c>
      <c r="G23" s="150">
        <v>0</v>
      </c>
      <c r="H23" s="157">
        <v>0</v>
      </c>
      <c r="I23" s="150">
        <v>0</v>
      </c>
      <c r="J23" s="157">
        <v>0</v>
      </c>
      <c r="K23" s="157">
        <v>0</v>
      </c>
      <c r="L23" s="150">
        <v>0</v>
      </c>
      <c r="M23" s="157">
        <v>0</v>
      </c>
      <c r="N23" s="157">
        <v>0</v>
      </c>
      <c r="O23" s="150">
        <v>0</v>
      </c>
      <c r="P23" s="157">
        <v>0</v>
      </c>
      <c r="Q23" s="150">
        <v>0</v>
      </c>
      <c r="R23" s="157">
        <v>70647.335999999996</v>
      </c>
      <c r="S23" s="157">
        <v>37549.396999999997</v>
      </c>
      <c r="T23" s="150">
        <v>0.88145061290000004</v>
      </c>
      <c r="U23" s="157">
        <v>405597.81099999999</v>
      </c>
      <c r="V23" s="157">
        <v>791236.90099999995</v>
      </c>
      <c r="W23" s="150">
        <v>-0.4873876452</v>
      </c>
      <c r="X23" s="157">
        <v>504589.87699999998</v>
      </c>
      <c r="Y23" s="150">
        <v>-0.55415849179999999</v>
      </c>
      <c r="Z23" s="157">
        <v>0</v>
      </c>
      <c r="AA23" s="157">
        <v>0</v>
      </c>
      <c r="AB23" s="150">
        <v>0</v>
      </c>
      <c r="AC23" s="157">
        <v>0</v>
      </c>
      <c r="AD23" s="157">
        <v>0</v>
      </c>
      <c r="AE23" s="150">
        <v>0</v>
      </c>
      <c r="AF23" s="157">
        <v>0</v>
      </c>
      <c r="AG23" s="150">
        <v>0</v>
      </c>
    </row>
    <row r="24" spans="1:33">
      <c r="A24" s="148" t="s">
        <v>79</v>
      </c>
      <c r="B24" s="158">
        <v>15818.136</v>
      </c>
      <c r="C24" s="158">
        <v>16921.593000000001</v>
      </c>
      <c r="D24" s="151">
        <v>-6.5209995300000004E-2</v>
      </c>
      <c r="E24" s="158">
        <v>148378.80300000001</v>
      </c>
      <c r="F24" s="158">
        <v>147552.72899999999</v>
      </c>
      <c r="G24" s="151">
        <v>5.5985002999999998E-3</v>
      </c>
      <c r="H24" s="158">
        <v>197711.91800000001</v>
      </c>
      <c r="I24" s="151">
        <v>6.1922130000000002E-3</v>
      </c>
      <c r="J24" s="158">
        <v>17281.548999999999</v>
      </c>
      <c r="K24" s="158">
        <v>18196.105</v>
      </c>
      <c r="L24" s="151">
        <v>-5.0261086099999998E-2</v>
      </c>
      <c r="M24" s="158">
        <v>151153.34</v>
      </c>
      <c r="N24" s="158">
        <v>156341.54399999999</v>
      </c>
      <c r="O24" s="151">
        <v>-3.3185063100000002E-2</v>
      </c>
      <c r="P24" s="158">
        <v>200190.049</v>
      </c>
      <c r="Q24" s="151">
        <v>-2.67658575E-2</v>
      </c>
      <c r="R24" s="158">
        <v>593994.85800000001</v>
      </c>
      <c r="S24" s="158">
        <v>543568.29099999997</v>
      </c>
      <c r="T24" s="151">
        <v>9.2769515499999997E-2</v>
      </c>
      <c r="U24" s="158">
        <v>4809972.6830000002</v>
      </c>
      <c r="V24" s="158">
        <v>4239138.4349999996</v>
      </c>
      <c r="W24" s="151">
        <v>0.13465808130000001</v>
      </c>
      <c r="X24" s="158">
        <v>6098409.9529999997</v>
      </c>
      <c r="Y24" s="151">
        <v>0.12752365099999999</v>
      </c>
      <c r="Z24" s="158">
        <v>724125.46299999999</v>
      </c>
      <c r="AA24" s="158">
        <v>724219.86699999997</v>
      </c>
      <c r="AB24" s="151">
        <v>-1.303527E-4</v>
      </c>
      <c r="AC24" s="158">
        <v>6371943.8629999999</v>
      </c>
      <c r="AD24" s="158">
        <v>5903150.1229999997</v>
      </c>
      <c r="AE24" s="151">
        <v>7.94141654E-2</v>
      </c>
      <c r="AF24" s="158">
        <v>8529480.1960000005</v>
      </c>
      <c r="AG24" s="151">
        <v>8.0236902400000004E-2</v>
      </c>
    </row>
    <row r="26" spans="1:33">
      <c r="A26" s="111" t="s">
        <v>103</v>
      </c>
      <c r="B26" s="178">
        <f>SUM(B24,J24,R24,Z24)</f>
        <v>1351220.0060000001</v>
      </c>
      <c r="C26" s="178">
        <f>SUM(C24,K24,S24,AA24)</f>
        <v>1302905.8559999999</v>
      </c>
      <c r="D26" s="179">
        <f>((B26/C26)-1)*100</f>
        <v>3.7081842696085054</v>
      </c>
      <c r="R26" s="179"/>
    </row>
    <row r="29" spans="1:33" ht="15">
      <c r="A29" s="144" t="s">
        <v>67</v>
      </c>
      <c r="B29" s="206" t="str">
        <f>A2</f>
        <v>Septiembre 2022</v>
      </c>
      <c r="C29" s="207"/>
    </row>
    <row r="30" spans="1:33" ht="15">
      <c r="A30" s="144" t="s">
        <v>69</v>
      </c>
      <c r="B30" s="220" t="s">
        <v>72</v>
      </c>
      <c r="C30" s="221"/>
    </row>
    <row r="31" spans="1:33">
      <c r="A31" s="142" t="s">
        <v>68</v>
      </c>
      <c r="B31" s="177" t="s">
        <v>57</v>
      </c>
      <c r="C31" s="177" t="s">
        <v>58</v>
      </c>
    </row>
    <row r="32" spans="1:33">
      <c r="A32" s="144" t="s">
        <v>70</v>
      </c>
      <c r="B32" s="145"/>
      <c r="C32" s="145"/>
    </row>
    <row r="33" spans="1:4">
      <c r="A33" s="143" t="s">
        <v>12</v>
      </c>
      <c r="B33" s="146"/>
      <c r="C33" s="146">
        <v>1.52</v>
      </c>
    </row>
    <row r="34" spans="1:4">
      <c r="A34" s="143" t="s">
        <v>11</v>
      </c>
      <c r="B34" s="146">
        <v>241.2</v>
      </c>
      <c r="C34" s="146"/>
    </row>
    <row r="35" spans="1:4">
      <c r="A35" s="143" t="s">
        <v>78</v>
      </c>
      <c r="B35" s="146">
        <v>139.4</v>
      </c>
      <c r="C35" s="146">
        <v>487.64</v>
      </c>
    </row>
    <row r="36" spans="1:4">
      <c r="A36" s="143" t="s">
        <v>9</v>
      </c>
      <c r="B36" s="146">
        <v>603.1</v>
      </c>
      <c r="C36" s="146">
        <v>520.75</v>
      </c>
    </row>
    <row r="37" spans="1:4">
      <c r="A37" s="143" t="s">
        <v>8</v>
      </c>
      <c r="B37" s="146"/>
      <c r="C37" s="146">
        <v>482.64</v>
      </c>
    </row>
    <row r="38" spans="1:4">
      <c r="A38" s="143" t="s">
        <v>25</v>
      </c>
      <c r="B38" s="146">
        <v>822.9</v>
      </c>
      <c r="C38" s="146">
        <v>865.4</v>
      </c>
    </row>
    <row r="39" spans="1:4">
      <c r="A39" s="143" t="s">
        <v>24</v>
      </c>
      <c r="B39" s="146"/>
      <c r="C39" s="146"/>
    </row>
    <row r="40" spans="1:4">
      <c r="A40" s="143" t="s">
        <v>6</v>
      </c>
      <c r="B40" s="146"/>
      <c r="C40" s="146">
        <v>11.32</v>
      </c>
    </row>
    <row r="41" spans="1:4">
      <c r="A41" s="143" t="s">
        <v>5</v>
      </c>
      <c r="B41" s="146">
        <v>3.6074999999999999</v>
      </c>
      <c r="C41" s="146">
        <v>562.51499999999999</v>
      </c>
      <c r="D41" s="184"/>
    </row>
    <row r="42" spans="1:4">
      <c r="A42" s="143" t="s">
        <v>4</v>
      </c>
      <c r="B42" s="146">
        <v>194.65121500000001</v>
      </c>
      <c r="C42" s="146">
        <v>205.58794499999999</v>
      </c>
      <c r="D42" s="184"/>
    </row>
    <row r="43" spans="1:4">
      <c r="A43" s="143" t="s">
        <v>22</v>
      </c>
      <c r="B43" s="146">
        <v>2.13</v>
      </c>
      <c r="C43" s="146">
        <v>3.6960000000000002</v>
      </c>
    </row>
    <row r="44" spans="1:4">
      <c r="A44" s="143" t="s">
        <v>23</v>
      </c>
      <c r="B44" s="146">
        <v>11.523</v>
      </c>
      <c r="C44" s="146">
        <v>38.200000000000003</v>
      </c>
    </row>
    <row r="45" spans="1:4">
      <c r="A45" s="143" t="s">
        <v>54</v>
      </c>
      <c r="B45" s="146">
        <v>37.4</v>
      </c>
      <c r="C45" s="146"/>
    </row>
    <row r="46" spans="1:4">
      <c r="A46" s="143" t="s">
        <v>55</v>
      </c>
      <c r="B46" s="146">
        <v>37.4</v>
      </c>
      <c r="C46" s="146"/>
    </row>
    <row r="47" spans="1:4">
      <c r="A47" s="148" t="s">
        <v>2</v>
      </c>
      <c r="B47" s="187">
        <f>SUM(B33:B46)</f>
        <v>2093.3117150000003</v>
      </c>
      <c r="C47" s="187">
        <f>SUM(C33:C46)</f>
        <v>3179.2689449999998</v>
      </c>
    </row>
    <row r="48" spans="1:4" ht="15">
      <c r="A48"/>
      <c r="B48" s="191"/>
      <c r="C48"/>
      <c r="D48" s="183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241.2</v>
      </c>
      <c r="C52" s="116">
        <f t="shared" ref="C52:C57" si="0">B52/$B$63*100</f>
        <v>11.522411988221256</v>
      </c>
      <c r="D52" s="181"/>
      <c r="F52" s="114" t="s">
        <v>10</v>
      </c>
      <c r="G52" s="115">
        <f>C35</f>
        <v>487.64</v>
      </c>
      <c r="H52" s="116">
        <f>G52/$G$62*100</f>
        <v>15.338117297906045</v>
      </c>
    </row>
    <row r="53" spans="1:8">
      <c r="A53" s="114" t="s">
        <v>10</v>
      </c>
      <c r="B53" s="115">
        <f t="shared" ref="B53:B54" si="1">B35</f>
        <v>139.4</v>
      </c>
      <c r="C53" s="116">
        <f t="shared" si="0"/>
        <v>6.6593044409537452</v>
      </c>
      <c r="D53" s="181"/>
      <c r="F53" s="114" t="s">
        <v>9</v>
      </c>
      <c r="G53" s="115">
        <f>C36</f>
        <v>520.75</v>
      </c>
      <c r="H53" s="116">
        <f t="shared" ref="H53:H61" si="2">G53/$G$62*100</f>
        <v>16.379551683382356</v>
      </c>
    </row>
    <row r="54" spans="1:8">
      <c r="A54" s="114" t="s">
        <v>9</v>
      </c>
      <c r="B54" s="115">
        <f t="shared" si="1"/>
        <v>603.1</v>
      </c>
      <c r="C54" s="116">
        <f t="shared" si="0"/>
        <v>28.81080708995124</v>
      </c>
      <c r="D54" s="181"/>
      <c r="F54" s="114" t="s">
        <v>8</v>
      </c>
      <c r="G54" s="115">
        <f>C37</f>
        <v>482.64</v>
      </c>
      <c r="H54" s="116">
        <f t="shared" si="2"/>
        <v>15.180848438728106</v>
      </c>
    </row>
    <row r="55" spans="1:8">
      <c r="A55" s="114" t="s">
        <v>25</v>
      </c>
      <c r="B55" s="115">
        <f>B38</f>
        <v>822.9</v>
      </c>
      <c r="C55" s="116">
        <f t="shared" si="0"/>
        <v>39.310915526978732</v>
      </c>
      <c r="D55" s="181"/>
      <c r="F55" s="114" t="s">
        <v>25</v>
      </c>
      <c r="G55" s="115">
        <f>C38</f>
        <v>865.4</v>
      </c>
      <c r="H55" s="116">
        <f t="shared" si="2"/>
        <v>27.220094146517699</v>
      </c>
    </row>
    <row r="56" spans="1:8">
      <c r="A56" s="114" t="s">
        <v>24</v>
      </c>
      <c r="B56" s="115">
        <f>B39</f>
        <v>0</v>
      </c>
      <c r="C56" s="116">
        <f t="shared" si="0"/>
        <v>0</v>
      </c>
      <c r="D56" s="181"/>
      <c r="F56" s="114" t="s">
        <v>23</v>
      </c>
      <c r="G56" s="115">
        <f>C44</f>
        <v>38.200000000000003</v>
      </c>
      <c r="H56" s="116">
        <f t="shared" si="2"/>
        <v>1.2015340841194548</v>
      </c>
    </row>
    <row r="57" spans="1:8">
      <c r="A57" s="114" t="s">
        <v>23</v>
      </c>
      <c r="B57" s="115">
        <f>B44</f>
        <v>11.523</v>
      </c>
      <c r="C57" s="116">
        <f t="shared" si="0"/>
        <v>0.55046746824325676</v>
      </c>
      <c r="D57" s="181"/>
      <c r="F57" s="114" t="s">
        <v>12</v>
      </c>
      <c r="G57" s="116">
        <f>C33</f>
        <v>1.52</v>
      </c>
      <c r="H57" s="116">
        <f t="shared" si="2"/>
        <v>4.780973319009349E-2</v>
      </c>
    </row>
    <row r="58" spans="1:8">
      <c r="A58" s="114" t="s">
        <v>55</v>
      </c>
      <c r="B58" s="115">
        <f>B46</f>
        <v>37.4</v>
      </c>
      <c r="C58" s="116">
        <f t="shared" ref="C58:C62" si="3">B58/$B$63*100</f>
        <v>1.7866426548900287</v>
      </c>
      <c r="D58" s="181"/>
      <c r="F58" s="114" t="s">
        <v>6</v>
      </c>
      <c r="G58" s="115">
        <f>C40</f>
        <v>11.32</v>
      </c>
      <c r="H58" s="116">
        <f t="shared" si="2"/>
        <v>0.35605669717885413</v>
      </c>
    </row>
    <row r="59" spans="1:8">
      <c r="A59" s="114" t="s">
        <v>54</v>
      </c>
      <c r="B59" s="115">
        <f>B45</f>
        <v>37.4</v>
      </c>
      <c r="C59" s="116">
        <f t="shared" si="3"/>
        <v>1.7866426548900287</v>
      </c>
      <c r="D59" s="181"/>
      <c r="F59" s="114" t="s">
        <v>5</v>
      </c>
      <c r="G59" s="115">
        <f>C41</f>
        <v>562.51499999999999</v>
      </c>
      <c r="H59" s="116">
        <f t="shared" si="2"/>
        <v>17.693218464095683</v>
      </c>
    </row>
    <row r="60" spans="1:8">
      <c r="A60" s="114" t="s">
        <v>5</v>
      </c>
      <c r="B60" s="115">
        <f>B41</f>
        <v>3.6074999999999999</v>
      </c>
      <c r="C60" s="116">
        <f t="shared" si="3"/>
        <v>0.17233458228651816</v>
      </c>
      <c r="D60" s="181"/>
      <c r="F60" s="114" t="s">
        <v>4</v>
      </c>
      <c r="G60" s="115">
        <f>C42</f>
        <v>205.58794499999999</v>
      </c>
      <c r="H60" s="116">
        <f t="shared" si="2"/>
        <v>6.4665163141773769</v>
      </c>
    </row>
    <row r="61" spans="1:8">
      <c r="A61" s="114" t="s">
        <v>4</v>
      </c>
      <c r="B61" s="115">
        <f>B42</f>
        <v>194.65121500000001</v>
      </c>
      <c r="C61" s="116">
        <f t="shared" si="3"/>
        <v>9.2987209504056096</v>
      </c>
      <c r="D61" s="181"/>
      <c r="F61" s="114" t="s">
        <v>22</v>
      </c>
      <c r="G61" s="115">
        <f>C43</f>
        <v>3.6960000000000002</v>
      </c>
      <c r="H61" s="116">
        <f t="shared" si="2"/>
        <v>0.1162531407043326</v>
      </c>
    </row>
    <row r="62" spans="1:8">
      <c r="A62" s="114" t="s">
        <v>22</v>
      </c>
      <c r="B62" s="115">
        <f>B43</f>
        <v>2.13</v>
      </c>
      <c r="C62" s="116">
        <f t="shared" si="3"/>
        <v>0.10175264317956582</v>
      </c>
      <c r="D62" s="181"/>
      <c r="F62" s="117" t="s">
        <v>20</v>
      </c>
      <c r="G62" s="118">
        <f>SUM(G52:G61)</f>
        <v>3179.2689449999998</v>
      </c>
      <c r="H62" s="119">
        <f>SUM(H52:H61)</f>
        <v>100</v>
      </c>
    </row>
    <row r="63" spans="1:8">
      <c r="A63" s="117" t="s">
        <v>20</v>
      </c>
      <c r="B63" s="118">
        <f>SUM(B52:B62)</f>
        <v>2093.3117150000003</v>
      </c>
      <c r="C63" s="119">
        <f>SUM(C52:C62)</f>
        <v>99.999999999999986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104</v>
      </c>
      <c r="D67" s="181"/>
      <c r="F67" s="112"/>
      <c r="G67" s="113" t="s">
        <v>26</v>
      </c>
    </row>
    <row r="68" spans="1:7">
      <c r="A68" s="114" t="s">
        <v>11</v>
      </c>
      <c r="B68" s="116">
        <f>C68/$C$80*100</f>
        <v>0</v>
      </c>
      <c r="C68" s="115">
        <f>IF(R9&lt;0,0,R9)</f>
        <v>0</v>
      </c>
      <c r="D68" s="185">
        <f>(C68/SUM($C$68:$C$78))*100</f>
        <v>0</v>
      </c>
      <c r="F68" s="114" t="s">
        <v>10</v>
      </c>
      <c r="G68" s="116">
        <f>Z10/Z$24*100</f>
        <v>20.320272317229644</v>
      </c>
    </row>
    <row r="69" spans="1:7">
      <c r="A69" s="114" t="s">
        <v>10</v>
      </c>
      <c r="B69" s="116">
        <f t="shared" ref="B69:B78" si="4">C69/$C$80*100</f>
        <v>5.5017488233037799</v>
      </c>
      <c r="C69" s="115">
        <f>R10</f>
        <v>32713.325000000001</v>
      </c>
      <c r="D69" s="185">
        <f t="shared" ref="D69:D78" si="5">(C69/SUM($C$68:$C$78))*100</f>
        <v>6.2435808923076141</v>
      </c>
      <c r="F69" s="114" t="s">
        <v>9</v>
      </c>
      <c r="G69" s="116">
        <f>Z11/Z$24*100</f>
        <v>3.8612056098902849</v>
      </c>
    </row>
    <row r="70" spans="1:7">
      <c r="A70" s="114" t="s">
        <v>9</v>
      </c>
      <c r="B70" s="116">
        <f t="shared" si="4"/>
        <v>9.4929528802304866</v>
      </c>
      <c r="C70" s="115">
        <f>R11</f>
        <v>56444.970999999998</v>
      </c>
      <c r="D70" s="185">
        <f t="shared" si="5"/>
        <v>10.772941680567701</v>
      </c>
      <c r="F70" s="114" t="s">
        <v>8</v>
      </c>
      <c r="G70" s="116">
        <f>Z12/Z$24*100</f>
        <v>15.322481623602288</v>
      </c>
    </row>
    <row r="71" spans="1:7">
      <c r="A71" s="114" t="s">
        <v>25</v>
      </c>
      <c r="B71" s="116">
        <f t="shared" si="4"/>
        <v>63.416527790920149</v>
      </c>
      <c r="C71" s="115">
        <f>R13</f>
        <v>377073.82699999999</v>
      </c>
      <c r="D71" s="185">
        <f>(C71/SUM($C$68:$C$78))*100</f>
        <v>71.967338729600456</v>
      </c>
      <c r="F71" s="114" t="s">
        <v>25</v>
      </c>
      <c r="G71" s="116">
        <f>Z13/Z$24*100</f>
        <v>39.399036572754795</v>
      </c>
    </row>
    <row r="72" spans="1:7">
      <c r="A72" s="114" t="s">
        <v>24</v>
      </c>
      <c r="B72" s="116">
        <f t="shared" si="4"/>
        <v>0.6871566061910962</v>
      </c>
      <c r="C72" s="115">
        <f>R14</f>
        <v>4085.8240000000001</v>
      </c>
      <c r="D72" s="186"/>
      <c r="F72" s="114" t="s">
        <v>23</v>
      </c>
      <c r="G72" s="116">
        <f>Z19/Z$24*100</f>
        <v>-1.6381139189411435E-3</v>
      </c>
    </row>
    <row r="73" spans="1:7">
      <c r="A73" s="114" t="s">
        <v>23</v>
      </c>
      <c r="B73" s="116">
        <f t="shared" si="4"/>
        <v>0.34263665954015665</v>
      </c>
      <c r="C73" s="115">
        <f>R19</f>
        <v>2037.3130000000001</v>
      </c>
      <c r="D73" s="185">
        <f t="shared" si="5"/>
        <v>0.38883630809310588</v>
      </c>
      <c r="F73" s="114" t="s">
        <v>12</v>
      </c>
      <c r="G73" s="116">
        <f>Z8/Z$24*100</f>
        <v>3.9899853652846894E-2</v>
      </c>
    </row>
    <row r="74" spans="1:7">
      <c r="A74" s="114" t="s">
        <v>55</v>
      </c>
      <c r="B74" s="116">
        <f t="shared" si="4"/>
        <v>2.2841733966627276</v>
      </c>
      <c r="C74" s="115">
        <f>R21</f>
        <v>13581.664500000001</v>
      </c>
      <c r="D74" s="185">
        <f t="shared" si="5"/>
        <v>2.5921614803121558</v>
      </c>
      <c r="F74" s="114" t="s">
        <v>6</v>
      </c>
      <c r="G74" s="116">
        <f>Z15/Z$24*100</f>
        <v>0.28656567211475059</v>
      </c>
    </row>
    <row r="75" spans="1:7">
      <c r="A75" s="114" t="s">
        <v>54</v>
      </c>
      <c r="B75" s="116">
        <f t="shared" si="4"/>
        <v>2.2841733966627276</v>
      </c>
      <c r="C75" s="115">
        <f>R20</f>
        <v>13581.664500000001</v>
      </c>
      <c r="D75" s="185">
        <f t="shared" si="5"/>
        <v>2.5921614803121558</v>
      </c>
      <c r="F75" s="114" t="s">
        <v>5</v>
      </c>
      <c r="G75" s="116">
        <f>Z16/Z$24*100</f>
        <v>17.022114439856399</v>
      </c>
    </row>
    <row r="76" spans="1:7">
      <c r="A76" s="114" t="s">
        <v>5</v>
      </c>
      <c r="B76" s="116">
        <f t="shared" si="4"/>
        <v>2.1459853128765181E-3</v>
      </c>
      <c r="C76" s="115">
        <f>R16</f>
        <v>12.76</v>
      </c>
      <c r="D76" s="185">
        <f t="shared" si="5"/>
        <v>2.4353407116471698E-3</v>
      </c>
      <c r="F76" s="114" t="s">
        <v>4</v>
      </c>
      <c r="G76" s="116">
        <f>Z17/Z$24*100</f>
        <v>3.651348191853323</v>
      </c>
    </row>
    <row r="77" spans="1:7">
      <c r="A77" s="114" t="s">
        <v>4</v>
      </c>
      <c r="B77" s="116">
        <f t="shared" si="4"/>
        <v>4.0948891200334074</v>
      </c>
      <c r="C77" s="115">
        <f>R17</f>
        <v>24348.155999999999</v>
      </c>
      <c r="D77" s="185">
        <f t="shared" si="5"/>
        <v>4.6470262978319994</v>
      </c>
      <c r="F77" s="114" t="s">
        <v>22</v>
      </c>
      <c r="G77" s="116">
        <f>Z18/Z$24*100</f>
        <v>9.8713832964606021E-2</v>
      </c>
    </row>
    <row r="78" spans="1:7">
      <c r="A78" s="114" t="s">
        <v>22</v>
      </c>
      <c r="B78" s="116">
        <f t="shared" si="4"/>
        <v>1.2079240056953773E-2</v>
      </c>
      <c r="C78" s="115">
        <f>R18</f>
        <v>71.822999999999993</v>
      </c>
      <c r="D78" s="185">
        <f t="shared" si="5"/>
        <v>1.370795265929739E-2</v>
      </c>
      <c r="F78" s="117" t="s">
        <v>20</v>
      </c>
      <c r="G78" s="119">
        <f>SUM(G68:G77)</f>
        <v>99.999999999999986</v>
      </c>
    </row>
    <row r="79" spans="1:7">
      <c r="A79" s="114" t="s">
        <v>21</v>
      </c>
      <c r="B79" s="116">
        <f>C79/$C$80*100</f>
        <v>11.881516101085619</v>
      </c>
      <c r="C79" s="115">
        <f>R23</f>
        <v>70647.335999999996</v>
      </c>
      <c r="D79" s="181"/>
    </row>
    <row r="80" spans="1:7">
      <c r="A80" s="117" t="s">
        <v>20</v>
      </c>
      <c r="B80" s="119">
        <f>SUM(B68:B79)</f>
        <v>99.999999999999972</v>
      </c>
      <c r="C80" s="118">
        <f>SUM(C68:C79)</f>
        <v>594598.66400000011</v>
      </c>
      <c r="D80" s="181"/>
    </row>
    <row r="85" spans="1:26" ht="15">
      <c r="A85" s="144"/>
      <c r="B85" s="144" t="s">
        <v>69</v>
      </c>
      <c r="C85" s="223" t="s">
        <v>13</v>
      </c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/>
      <c r="Z85"/>
    </row>
    <row r="86" spans="1:26" ht="15">
      <c r="A86" s="144"/>
      <c r="B86" s="142" t="s">
        <v>67</v>
      </c>
      <c r="C86" s="188" t="s">
        <v>106</v>
      </c>
      <c r="D86" s="188" t="s">
        <v>107</v>
      </c>
      <c r="E86" s="188" t="s">
        <v>108</v>
      </c>
      <c r="F86" s="188" t="s">
        <v>109</v>
      </c>
      <c r="G86" s="188" t="s">
        <v>110</v>
      </c>
      <c r="H86" s="188" t="s">
        <v>111</v>
      </c>
      <c r="I86" s="188" t="s">
        <v>112</v>
      </c>
      <c r="J86" s="188" t="s">
        <v>113</v>
      </c>
      <c r="K86" s="188" t="s">
        <v>114</v>
      </c>
      <c r="L86" s="188" t="s">
        <v>115</v>
      </c>
      <c r="M86" s="188" t="s">
        <v>116</v>
      </c>
      <c r="N86" s="188" t="s">
        <v>117</v>
      </c>
      <c r="O86" s="188" t="s">
        <v>118</v>
      </c>
      <c r="P86" s="188" t="s">
        <v>119</v>
      </c>
      <c r="Q86" s="188" t="s">
        <v>120</v>
      </c>
      <c r="R86" s="188" t="s">
        <v>121</v>
      </c>
      <c r="S86" s="188" t="s">
        <v>122</v>
      </c>
      <c r="T86" s="188" t="s">
        <v>123</v>
      </c>
      <c r="U86" s="188" t="s">
        <v>124</v>
      </c>
      <c r="V86" s="188" t="s">
        <v>125</v>
      </c>
      <c r="W86" s="188" t="s">
        <v>126</v>
      </c>
      <c r="X86" s="188" t="s">
        <v>130</v>
      </c>
      <c r="Y86"/>
      <c r="Z86"/>
    </row>
    <row r="87" spans="1:26" ht="15">
      <c r="A87" s="144" t="s">
        <v>68</v>
      </c>
      <c r="B87" s="144" t="s">
        <v>70</v>
      </c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7"/>
      <c r="Q87" s="147"/>
      <c r="R87" s="147"/>
      <c r="S87" s="147"/>
      <c r="T87" s="147"/>
      <c r="U87" s="147"/>
      <c r="V87" s="147"/>
      <c r="W87" s="147"/>
      <c r="X87" s="147"/>
      <c r="Y87"/>
      <c r="Z87"/>
    </row>
    <row r="88" spans="1:26" ht="15">
      <c r="A88" s="217" t="s">
        <v>57</v>
      </c>
      <c r="B88" s="143" t="s">
        <v>11</v>
      </c>
      <c r="C88" s="146">
        <v>-0.63269200000000003</v>
      </c>
      <c r="D88" s="146">
        <v>-0.606159</v>
      </c>
      <c r="E88" s="146">
        <v>-0.651559</v>
      </c>
      <c r="F88" s="146">
        <v>-0.59136100000000003</v>
      </c>
      <c r="G88" s="146">
        <v>-1.103416</v>
      </c>
      <c r="H88" s="146">
        <v>41.953423999999998</v>
      </c>
      <c r="I88" s="146">
        <v>9.292719</v>
      </c>
      <c r="J88" s="146">
        <v>-0.72875599999999996</v>
      </c>
      <c r="K88" s="146">
        <v>-0.54997399999999996</v>
      </c>
      <c r="L88" s="146">
        <v>-0.58327700000000005</v>
      </c>
      <c r="M88" s="146">
        <v>-0.582067</v>
      </c>
      <c r="N88" s="146">
        <v>-0.61424800000000002</v>
      </c>
      <c r="O88" s="146">
        <v>-0.627467</v>
      </c>
      <c r="P88" s="146">
        <v>-0.58012699999999995</v>
      </c>
      <c r="Q88" s="146">
        <v>-0.66887300000000005</v>
      </c>
      <c r="R88" s="146">
        <v>-0.60498099999999999</v>
      </c>
      <c r="S88" s="146">
        <v>-1.0302370000000001</v>
      </c>
      <c r="T88" s="146">
        <v>29.141857000000002</v>
      </c>
      <c r="U88" s="146">
        <v>50.189168000000002</v>
      </c>
      <c r="V88" s="146">
        <v>5.2653150000000002</v>
      </c>
      <c r="W88" s="146">
        <v>-0.60380599999999995</v>
      </c>
      <c r="X88" s="146">
        <v>0</v>
      </c>
      <c r="Y88"/>
      <c r="Z88"/>
    </row>
    <row r="89" spans="1:26" ht="15">
      <c r="A89" s="218"/>
      <c r="B89" s="143" t="s">
        <v>78</v>
      </c>
      <c r="C89" s="146">
        <v>27.196950000000001</v>
      </c>
      <c r="D89" s="146">
        <v>18.940327</v>
      </c>
      <c r="E89" s="146">
        <v>14.238515</v>
      </c>
      <c r="F89" s="146">
        <v>18.127455999999999</v>
      </c>
      <c r="G89" s="146">
        <v>20.114982000000001</v>
      </c>
      <c r="H89" s="146">
        <v>40.523569999999999</v>
      </c>
      <c r="I89" s="146">
        <v>56.775785999999997</v>
      </c>
      <c r="J89" s="146">
        <v>61.091033000000003</v>
      </c>
      <c r="K89" s="146">
        <v>52.802481999999998</v>
      </c>
      <c r="L89" s="146">
        <v>40.707250000000002</v>
      </c>
      <c r="M89" s="146">
        <v>21.566172999999999</v>
      </c>
      <c r="N89" s="146">
        <v>26.795760999999999</v>
      </c>
      <c r="O89" s="146">
        <v>31.928764000000001</v>
      </c>
      <c r="P89" s="146">
        <v>27.285081000000002</v>
      </c>
      <c r="Q89" s="146">
        <v>26.627289999999999</v>
      </c>
      <c r="R89" s="146">
        <v>38.583128000000002</v>
      </c>
      <c r="S89" s="146">
        <v>43.134320000000002</v>
      </c>
      <c r="T89" s="146">
        <v>52.984195999999997</v>
      </c>
      <c r="U89" s="146">
        <v>59.042844000000002</v>
      </c>
      <c r="V89" s="146">
        <v>60.455578000000003</v>
      </c>
      <c r="W89" s="146">
        <v>32.713324999999998</v>
      </c>
      <c r="X89" s="146">
        <v>7.4117749999999996</v>
      </c>
      <c r="Y89"/>
      <c r="Z89"/>
    </row>
    <row r="90" spans="1:26" ht="15">
      <c r="A90" s="218"/>
      <c r="B90" s="143" t="s">
        <v>9</v>
      </c>
      <c r="C90" s="146">
        <v>18.542487000000001</v>
      </c>
      <c r="D90" s="146">
        <v>7.6657599999999997</v>
      </c>
      <c r="E90" s="146">
        <v>13.135553</v>
      </c>
      <c r="F90" s="146">
        <v>8.3072920000000003</v>
      </c>
      <c r="G90" s="146">
        <v>7.7047420000000004</v>
      </c>
      <c r="H90" s="146">
        <v>18.862037999999998</v>
      </c>
      <c r="I90" s="146">
        <v>27.349309999999999</v>
      </c>
      <c r="J90" s="146">
        <v>38.115422000000002</v>
      </c>
      <c r="K90" s="146">
        <v>38.690980000000003</v>
      </c>
      <c r="L90" s="146">
        <v>18.871455999999998</v>
      </c>
      <c r="M90" s="146">
        <v>15.480005999999999</v>
      </c>
      <c r="N90" s="146">
        <v>11.535242</v>
      </c>
      <c r="O90" s="146">
        <v>14.287936</v>
      </c>
      <c r="P90" s="146">
        <v>12.016398000000001</v>
      </c>
      <c r="Q90" s="146">
        <v>16.590530000000001</v>
      </c>
      <c r="R90" s="146">
        <v>16.923745</v>
      </c>
      <c r="S90" s="146">
        <v>26.908525000000001</v>
      </c>
      <c r="T90" s="146">
        <v>32.914068</v>
      </c>
      <c r="U90" s="146">
        <v>59.770274999999998</v>
      </c>
      <c r="V90" s="146">
        <v>67.567459999999997</v>
      </c>
      <c r="W90" s="146">
        <v>56.444971000000002</v>
      </c>
      <c r="X90" s="146">
        <v>13.404914</v>
      </c>
      <c r="Y90"/>
      <c r="Z90"/>
    </row>
    <row r="91" spans="1:26" ht="15">
      <c r="A91" s="218"/>
      <c r="B91" s="143" t="s">
        <v>25</v>
      </c>
      <c r="C91" s="146">
        <v>260.27204499999999</v>
      </c>
      <c r="D91" s="146">
        <v>187.465463</v>
      </c>
      <c r="E91" s="146">
        <v>217.47864799999999</v>
      </c>
      <c r="F91" s="146">
        <v>208.53059300000001</v>
      </c>
      <c r="G91" s="146">
        <v>203.81251599999999</v>
      </c>
      <c r="H91" s="146">
        <v>240.58060900000001</v>
      </c>
      <c r="I91" s="146">
        <v>408.79444899999999</v>
      </c>
      <c r="J91" s="146">
        <v>437.91378300000002</v>
      </c>
      <c r="K91" s="146">
        <v>367.24080800000002</v>
      </c>
      <c r="L91" s="146">
        <v>312.10340600000001</v>
      </c>
      <c r="M91" s="146">
        <v>305.43751500000002</v>
      </c>
      <c r="N91" s="146">
        <v>332.59120100000001</v>
      </c>
      <c r="O91" s="146">
        <v>350.08292499999999</v>
      </c>
      <c r="P91" s="146">
        <v>298.62258500000002</v>
      </c>
      <c r="Q91" s="146">
        <v>331.00133499999998</v>
      </c>
      <c r="R91" s="146">
        <v>307.42903200000001</v>
      </c>
      <c r="S91" s="146">
        <v>317.55595499999998</v>
      </c>
      <c r="T91" s="146">
        <v>367.58788099999998</v>
      </c>
      <c r="U91" s="146">
        <v>396.959791</v>
      </c>
      <c r="V91" s="146">
        <v>456.377207</v>
      </c>
      <c r="W91" s="146">
        <v>377.07382699999999</v>
      </c>
      <c r="X91" s="146">
        <v>109.672382</v>
      </c>
      <c r="Y91"/>
      <c r="Z91"/>
    </row>
    <row r="92" spans="1:26" ht="15">
      <c r="A92" s="218"/>
      <c r="B92" s="143" t="s">
        <v>24</v>
      </c>
      <c r="C92" s="146">
        <v>0</v>
      </c>
      <c r="D92" s="146">
        <v>0</v>
      </c>
      <c r="E92" s="146">
        <v>0</v>
      </c>
      <c r="F92" s="146">
        <v>0</v>
      </c>
      <c r="G92" s="146">
        <v>1.1771689999999999</v>
      </c>
      <c r="H92" s="146">
        <v>0.95765299999999998</v>
      </c>
      <c r="I92" s="146">
        <v>2.9751430000000001</v>
      </c>
      <c r="J92" s="146">
        <v>3.834768</v>
      </c>
      <c r="K92" s="146">
        <v>2.0925159999999998</v>
      </c>
      <c r="L92" s="146">
        <v>0.98881300000000005</v>
      </c>
      <c r="M92" s="146">
        <v>0</v>
      </c>
      <c r="N92" s="146">
        <v>0</v>
      </c>
      <c r="O92" s="146">
        <v>0</v>
      </c>
      <c r="P92" s="146">
        <v>0</v>
      </c>
      <c r="Q92" s="146">
        <v>0</v>
      </c>
      <c r="R92" s="146">
        <v>0</v>
      </c>
      <c r="S92" s="146">
        <v>0</v>
      </c>
      <c r="T92" s="146">
        <v>0</v>
      </c>
      <c r="U92" s="146">
        <v>2.6835830000000001</v>
      </c>
      <c r="V92" s="146">
        <v>4.441192</v>
      </c>
      <c r="W92" s="146">
        <v>4.0858239999999997</v>
      </c>
      <c r="X92" s="146">
        <v>1.085764</v>
      </c>
      <c r="Y92"/>
      <c r="Z92"/>
    </row>
    <row r="93" spans="1:26" ht="15">
      <c r="A93" s="218"/>
      <c r="B93" s="143" t="s">
        <v>5</v>
      </c>
      <c r="C93" s="146">
        <v>0.27796300000000002</v>
      </c>
      <c r="D93" s="146">
        <v>0.15948300000000001</v>
      </c>
      <c r="E93" s="146">
        <v>0.30611500000000003</v>
      </c>
      <c r="F93" s="146">
        <v>0.29466900000000001</v>
      </c>
      <c r="G93" s="146">
        <v>0.189554</v>
      </c>
      <c r="H93" s="146">
        <v>9.4216999999999995E-2</v>
      </c>
      <c r="I93" s="146">
        <v>0.106017</v>
      </c>
      <c r="J93" s="146">
        <v>0.20128099999999999</v>
      </c>
      <c r="K93" s="146">
        <v>0.27444800000000003</v>
      </c>
      <c r="L93" s="146">
        <v>0.26974799999999999</v>
      </c>
      <c r="M93" s="146">
        <v>6.1364000000000002E-2</v>
      </c>
      <c r="N93" s="146">
        <v>0.10125000000000001</v>
      </c>
      <c r="O93" s="146">
        <v>0.215638</v>
      </c>
      <c r="P93" s="146">
        <v>0.22824</v>
      </c>
      <c r="Q93" s="146">
        <v>0.33845999999999998</v>
      </c>
      <c r="R93" s="146">
        <v>0.239788</v>
      </c>
      <c r="S93" s="146">
        <v>0.16079099999999999</v>
      </c>
      <c r="T93" s="146">
        <v>6.1122000000000003E-2</v>
      </c>
      <c r="U93" s="146">
        <v>3.0289E-2</v>
      </c>
      <c r="V93" s="146">
        <v>3.2219999999999999E-2</v>
      </c>
      <c r="W93" s="146">
        <v>1.2760000000000001E-2</v>
      </c>
      <c r="X93" s="146">
        <v>2.1100000000000001E-2</v>
      </c>
      <c r="Y93"/>
      <c r="Z93"/>
    </row>
    <row r="94" spans="1:26" ht="15">
      <c r="A94" s="218"/>
      <c r="B94" s="143" t="s">
        <v>4</v>
      </c>
      <c r="C94" s="146">
        <v>8.5897050000000004</v>
      </c>
      <c r="D94" s="146">
        <v>9.5130970000000001</v>
      </c>
      <c r="E94" s="146">
        <v>13.295218999999999</v>
      </c>
      <c r="F94" s="146">
        <v>14.71546</v>
      </c>
      <c r="G94" s="146">
        <v>22.208131999999999</v>
      </c>
      <c r="H94" s="146">
        <v>21.169694</v>
      </c>
      <c r="I94" s="146">
        <v>22.966384000000001</v>
      </c>
      <c r="J94" s="146">
        <v>21.414781000000001</v>
      </c>
      <c r="K94" s="146">
        <v>17.622215000000001</v>
      </c>
      <c r="L94" s="146">
        <v>16.792960999999998</v>
      </c>
      <c r="M94" s="146">
        <v>8.8102359999999997</v>
      </c>
      <c r="N94" s="146">
        <v>11.149039999999999</v>
      </c>
      <c r="O94" s="146">
        <v>14.434640999999999</v>
      </c>
      <c r="P94" s="146">
        <v>17.856766</v>
      </c>
      <c r="Q94" s="146">
        <v>13.692501999999999</v>
      </c>
      <c r="R94" s="146">
        <v>22.081204</v>
      </c>
      <c r="S94" s="146">
        <v>27.327051999999998</v>
      </c>
      <c r="T94" s="146">
        <v>29.225902000000001</v>
      </c>
      <c r="U94" s="146">
        <v>32.264840999999997</v>
      </c>
      <c r="V94" s="146">
        <v>28.239802000000001</v>
      </c>
      <c r="W94" s="146">
        <v>24.348155999999999</v>
      </c>
      <c r="X94" s="146">
        <v>8.3354999999999997</v>
      </c>
      <c r="Y94"/>
      <c r="Z94"/>
    </row>
    <row r="95" spans="1:26" ht="15">
      <c r="A95" s="218"/>
      <c r="B95" s="143" t="s">
        <v>22</v>
      </c>
      <c r="C95" s="146">
        <v>5.7757000000000003E-2</v>
      </c>
      <c r="D95" s="146">
        <v>7.6887999999999998E-2</v>
      </c>
      <c r="E95" s="146">
        <v>0.13778699999999999</v>
      </c>
      <c r="F95" s="146">
        <v>0.10574</v>
      </c>
      <c r="G95" s="146">
        <v>0.118546</v>
      </c>
      <c r="H95" s="146">
        <v>0.10044400000000001</v>
      </c>
      <c r="I95" s="146">
        <v>9.6151E-2</v>
      </c>
      <c r="J95" s="146">
        <v>8.4413000000000002E-2</v>
      </c>
      <c r="K95" s="146">
        <v>8.1381999999999996E-2</v>
      </c>
      <c r="L95" s="146">
        <v>0.243059</v>
      </c>
      <c r="M95" s="146">
        <v>0.24007600000000001</v>
      </c>
      <c r="N95" s="146">
        <v>0.230462</v>
      </c>
      <c r="O95" s="146">
        <v>0.285244</v>
      </c>
      <c r="P95" s="146">
        <v>0.28095199999999998</v>
      </c>
      <c r="Q95" s="146">
        <v>0.29118100000000002</v>
      </c>
      <c r="R95" s="146">
        <v>0.16531499999999999</v>
      </c>
      <c r="S95" s="146">
        <v>0.166327</v>
      </c>
      <c r="T95" s="146">
        <v>0.111179</v>
      </c>
      <c r="U95" s="146">
        <v>9.5128000000000004E-2</v>
      </c>
      <c r="V95" s="146">
        <v>5.6752999999999998E-2</v>
      </c>
      <c r="W95" s="146">
        <v>7.1822999999999998E-2</v>
      </c>
      <c r="X95" s="146">
        <v>5.287E-2</v>
      </c>
      <c r="Y95"/>
      <c r="Z95"/>
    </row>
    <row r="96" spans="1:26" ht="15">
      <c r="A96" s="218"/>
      <c r="B96" s="143" t="s">
        <v>23</v>
      </c>
      <c r="C96" s="146">
        <v>4.0659429999999999</v>
      </c>
      <c r="D96" s="146">
        <v>3.641699</v>
      </c>
      <c r="E96" s="146">
        <v>3.9954990000000001</v>
      </c>
      <c r="F96" s="146">
        <v>3.2208809999999999</v>
      </c>
      <c r="G96" s="146">
        <v>2.5715810000000001</v>
      </c>
      <c r="H96" s="146">
        <v>3.062163</v>
      </c>
      <c r="I96" s="146">
        <v>4.0856940000000002</v>
      </c>
      <c r="J96" s="146">
        <v>3.9309270000000001</v>
      </c>
      <c r="K96" s="146">
        <v>3.8190279999999999</v>
      </c>
      <c r="L96" s="146">
        <v>4.0205719999999996</v>
      </c>
      <c r="M96" s="146">
        <v>1.4121680000000001</v>
      </c>
      <c r="N96" s="146">
        <v>3.5189080000000001</v>
      </c>
      <c r="O96" s="146">
        <v>3.4010050000000001</v>
      </c>
      <c r="P96" s="146">
        <v>3.0684070000000001</v>
      </c>
      <c r="Q96" s="146">
        <v>3.993204</v>
      </c>
      <c r="R96" s="146">
        <v>1.8386769999999999</v>
      </c>
      <c r="S96" s="146">
        <v>1.9461250000000001</v>
      </c>
      <c r="T96" s="146">
        <v>1.5363420000000001</v>
      </c>
      <c r="U96" s="146">
        <v>1.1719729999999999</v>
      </c>
      <c r="V96" s="146">
        <v>5.1333999999999998E-2</v>
      </c>
      <c r="W96" s="146">
        <v>2.0373130000000002</v>
      </c>
      <c r="X96" s="146">
        <v>0.67061999999999999</v>
      </c>
      <c r="Y96"/>
      <c r="Z96"/>
    </row>
    <row r="97" spans="1:26" ht="15">
      <c r="A97" s="218"/>
      <c r="B97" s="143" t="s">
        <v>54</v>
      </c>
      <c r="C97" s="146">
        <v>7.1515275000000003</v>
      </c>
      <c r="D97" s="146">
        <v>10.723705000000001</v>
      </c>
      <c r="E97" s="146">
        <v>10.093087499999999</v>
      </c>
      <c r="F97" s="146">
        <v>7.5393055000000002</v>
      </c>
      <c r="G97" s="146">
        <v>6.0236640000000001</v>
      </c>
      <c r="H97" s="146">
        <v>13.481942</v>
      </c>
      <c r="I97" s="146">
        <v>11.473026000000001</v>
      </c>
      <c r="J97" s="146">
        <v>13.3199895</v>
      </c>
      <c r="K97" s="146">
        <v>11.972504499999999</v>
      </c>
      <c r="L97" s="146">
        <v>6.4146000000000001</v>
      </c>
      <c r="M97" s="146">
        <v>13.8683715</v>
      </c>
      <c r="N97" s="146">
        <v>8.8660929999999993</v>
      </c>
      <c r="O97" s="146">
        <v>9.8711500000000001</v>
      </c>
      <c r="P97" s="146">
        <v>5.4414375000000001</v>
      </c>
      <c r="Q97" s="146">
        <v>9.6633200000000006</v>
      </c>
      <c r="R97" s="146">
        <v>7.8050050000000004</v>
      </c>
      <c r="S97" s="146">
        <v>11.846121999999999</v>
      </c>
      <c r="T97" s="146">
        <v>13.186323</v>
      </c>
      <c r="U97" s="146">
        <v>16.1606655</v>
      </c>
      <c r="V97" s="146">
        <v>13.6723105</v>
      </c>
      <c r="W97" s="146">
        <v>13.5816645</v>
      </c>
      <c r="X97" s="146">
        <v>4.5780000000000003</v>
      </c>
      <c r="Y97"/>
      <c r="Z97"/>
    </row>
    <row r="98" spans="1:26" ht="15">
      <c r="A98" s="218"/>
      <c r="B98" s="143" t="s">
        <v>55</v>
      </c>
      <c r="C98" s="146">
        <v>7.1515275000000003</v>
      </c>
      <c r="D98" s="146">
        <v>10.723705000000001</v>
      </c>
      <c r="E98" s="146">
        <v>10.093087499999999</v>
      </c>
      <c r="F98" s="146">
        <v>7.5393055000000002</v>
      </c>
      <c r="G98" s="146">
        <v>6.0236640000000001</v>
      </c>
      <c r="H98" s="146">
        <v>13.481942</v>
      </c>
      <c r="I98" s="146">
        <v>11.473026000000001</v>
      </c>
      <c r="J98" s="146">
        <v>13.3199895</v>
      </c>
      <c r="K98" s="146">
        <v>11.972504499999999</v>
      </c>
      <c r="L98" s="146">
        <v>6.4146000000000001</v>
      </c>
      <c r="M98" s="146">
        <v>13.8683715</v>
      </c>
      <c r="N98" s="146">
        <v>8.8660929999999993</v>
      </c>
      <c r="O98" s="146">
        <v>9.8711500000000001</v>
      </c>
      <c r="P98" s="146">
        <v>5.4414375000000001</v>
      </c>
      <c r="Q98" s="146">
        <v>9.6633200000000006</v>
      </c>
      <c r="R98" s="146">
        <v>7.8050050000000004</v>
      </c>
      <c r="S98" s="146">
        <v>11.846121999999999</v>
      </c>
      <c r="T98" s="146">
        <v>13.186323</v>
      </c>
      <c r="U98" s="146">
        <v>16.1606655</v>
      </c>
      <c r="V98" s="146">
        <v>13.6723105</v>
      </c>
      <c r="W98" s="146">
        <v>13.5816645</v>
      </c>
      <c r="X98" s="146">
        <v>4.5780000000000003</v>
      </c>
      <c r="Y98"/>
      <c r="Z98"/>
    </row>
    <row r="99" spans="1:26" ht="15">
      <c r="A99" s="218"/>
      <c r="B99" s="148" t="s">
        <v>2</v>
      </c>
      <c r="C99" s="149">
        <v>332.67321299999998</v>
      </c>
      <c r="D99" s="149">
        <v>248.303968</v>
      </c>
      <c r="E99" s="149">
        <v>282.12195200000002</v>
      </c>
      <c r="F99" s="149">
        <v>267.78934099999998</v>
      </c>
      <c r="G99" s="149">
        <v>268.84113400000001</v>
      </c>
      <c r="H99" s="149">
        <v>394.267696</v>
      </c>
      <c r="I99" s="149">
        <v>555.38770499999998</v>
      </c>
      <c r="J99" s="149">
        <v>592.49763099999996</v>
      </c>
      <c r="K99" s="149">
        <v>506.01889399999999</v>
      </c>
      <c r="L99" s="149">
        <v>406.24318799999998</v>
      </c>
      <c r="M99" s="149">
        <v>380.16221400000001</v>
      </c>
      <c r="N99" s="149">
        <v>403.03980200000001</v>
      </c>
      <c r="O99" s="149">
        <v>433.75098600000001</v>
      </c>
      <c r="P99" s="149">
        <v>369.66117700000001</v>
      </c>
      <c r="Q99" s="149">
        <v>411.19226900000001</v>
      </c>
      <c r="R99" s="149">
        <v>402.265918</v>
      </c>
      <c r="S99" s="149">
        <v>439.86110200000002</v>
      </c>
      <c r="T99" s="149">
        <v>539.93519300000003</v>
      </c>
      <c r="U99" s="149">
        <v>634.529223</v>
      </c>
      <c r="V99" s="149">
        <v>649.83148200000005</v>
      </c>
      <c r="W99" s="149">
        <v>523.34752200000003</v>
      </c>
      <c r="X99" s="149">
        <v>149.810925</v>
      </c>
      <c r="Y99"/>
      <c r="Z99"/>
    </row>
    <row r="100" spans="1:26" ht="15">
      <c r="A100" s="218"/>
      <c r="B100" s="143" t="s">
        <v>21</v>
      </c>
      <c r="C100" s="146">
        <v>138.25041200000001</v>
      </c>
      <c r="D100" s="146">
        <v>113.412009</v>
      </c>
      <c r="E100" s="146">
        <v>127.985573</v>
      </c>
      <c r="F100" s="146">
        <v>111.02179700000001</v>
      </c>
      <c r="G100" s="146">
        <v>111.601713</v>
      </c>
      <c r="H100" s="146">
        <v>65.429468</v>
      </c>
      <c r="I100" s="146">
        <v>45.879221000000001</v>
      </c>
      <c r="J100" s="146">
        <v>40.107311000000003</v>
      </c>
      <c r="K100" s="146">
        <v>37.549396999999999</v>
      </c>
      <c r="L100" s="146">
        <v>38.285525</v>
      </c>
      <c r="M100" s="146">
        <v>28.435708999999999</v>
      </c>
      <c r="N100" s="146">
        <v>32.270831999999999</v>
      </c>
      <c r="O100" s="146">
        <v>31.159338999999999</v>
      </c>
      <c r="P100" s="146">
        <v>27.502502</v>
      </c>
      <c r="Q100" s="146">
        <v>30.689281000000001</v>
      </c>
      <c r="R100" s="146">
        <v>33.641058999999998</v>
      </c>
      <c r="S100" s="146">
        <v>32.047055999999998</v>
      </c>
      <c r="T100" s="146">
        <v>35.225064000000003</v>
      </c>
      <c r="U100" s="146">
        <v>67.033137999999994</v>
      </c>
      <c r="V100" s="146">
        <v>77.653036</v>
      </c>
      <c r="W100" s="146">
        <v>70.647335999999996</v>
      </c>
      <c r="X100" s="146">
        <v>20.5122</v>
      </c>
      <c r="Y100"/>
      <c r="Z100"/>
    </row>
    <row r="101" spans="1:26" ht="15">
      <c r="A101" s="219"/>
      <c r="B101" s="148" t="s">
        <v>79</v>
      </c>
      <c r="C101" s="149">
        <v>470.92362500000002</v>
      </c>
      <c r="D101" s="149">
        <v>361.71597700000001</v>
      </c>
      <c r="E101" s="149">
        <v>410.10752500000001</v>
      </c>
      <c r="F101" s="149">
        <v>378.81113800000003</v>
      </c>
      <c r="G101" s="149">
        <v>380.44284699999997</v>
      </c>
      <c r="H101" s="149">
        <v>459.69716399999999</v>
      </c>
      <c r="I101" s="149">
        <v>601.26692600000001</v>
      </c>
      <c r="J101" s="149">
        <v>632.60494200000005</v>
      </c>
      <c r="K101" s="149">
        <v>543.56829100000004</v>
      </c>
      <c r="L101" s="149">
        <v>444.52871299999998</v>
      </c>
      <c r="M101" s="149">
        <v>408.59792299999998</v>
      </c>
      <c r="N101" s="149">
        <v>435.31063399999999</v>
      </c>
      <c r="O101" s="149">
        <v>464.910325</v>
      </c>
      <c r="P101" s="149">
        <v>397.163679</v>
      </c>
      <c r="Q101" s="149">
        <v>441.88155</v>
      </c>
      <c r="R101" s="149">
        <v>435.90697699999998</v>
      </c>
      <c r="S101" s="149">
        <v>471.90815800000001</v>
      </c>
      <c r="T101" s="149">
        <v>575.160257</v>
      </c>
      <c r="U101" s="149">
        <v>701.56236100000001</v>
      </c>
      <c r="V101" s="149">
        <v>727.48451799999998</v>
      </c>
      <c r="W101" s="149">
        <v>593.99485800000002</v>
      </c>
      <c r="X101" s="149">
        <v>170.323125</v>
      </c>
      <c r="Y101"/>
      <c r="Z101"/>
    </row>
    <row r="102" spans="1:26" ht="15">
      <c r="A102" s="222" t="s">
        <v>58</v>
      </c>
      <c r="B102" s="143" t="s">
        <v>12</v>
      </c>
      <c r="C102" s="146">
        <v>0.29762100000000002</v>
      </c>
      <c r="D102" s="146">
        <v>0.25852999999999998</v>
      </c>
      <c r="E102" s="146">
        <v>0.28226499999999999</v>
      </c>
      <c r="F102" s="146">
        <v>0.13780600000000001</v>
      </c>
      <c r="G102" s="146">
        <v>0.26783600000000002</v>
      </c>
      <c r="H102" s="146">
        <v>0.28217700000000001</v>
      </c>
      <c r="I102" s="146">
        <v>0.28972599999999998</v>
      </c>
      <c r="J102" s="146">
        <v>0.28065899999999999</v>
      </c>
      <c r="K102" s="146">
        <v>0.27753299999999997</v>
      </c>
      <c r="L102" s="146">
        <v>0.28213100000000002</v>
      </c>
      <c r="M102" s="146">
        <v>0.23125799999999999</v>
      </c>
      <c r="N102" s="146">
        <v>0.15536</v>
      </c>
      <c r="O102" s="146">
        <v>0.294213</v>
      </c>
      <c r="P102" s="146">
        <v>0.25058200000000003</v>
      </c>
      <c r="Q102" s="146">
        <v>0.29644599999999999</v>
      </c>
      <c r="R102" s="146">
        <v>0.27407199999999998</v>
      </c>
      <c r="S102" s="146">
        <v>0.29880499999999999</v>
      </c>
      <c r="T102" s="146">
        <v>0.28138299999999999</v>
      </c>
      <c r="U102" s="146">
        <v>0.29436099999999998</v>
      </c>
      <c r="V102" s="146">
        <v>0.29274699999999998</v>
      </c>
      <c r="W102" s="146">
        <v>0.28892499999999999</v>
      </c>
      <c r="X102" s="146">
        <v>0</v>
      </c>
      <c r="Y102"/>
      <c r="Z102"/>
    </row>
    <row r="103" spans="1:26" ht="15">
      <c r="A103" s="218"/>
      <c r="B103" s="143" t="s">
        <v>78</v>
      </c>
      <c r="C103" s="146">
        <v>141.05104299999999</v>
      </c>
      <c r="D103" s="146">
        <v>112.359525</v>
      </c>
      <c r="E103" s="146">
        <v>128.50312700000001</v>
      </c>
      <c r="F103" s="146">
        <v>140.012246</v>
      </c>
      <c r="G103" s="146">
        <v>126.338086</v>
      </c>
      <c r="H103" s="146">
        <v>133.47636299999999</v>
      </c>
      <c r="I103" s="146">
        <v>143.30591200000001</v>
      </c>
      <c r="J103" s="146">
        <v>156.76768200000001</v>
      </c>
      <c r="K103" s="146">
        <v>167.979367</v>
      </c>
      <c r="L103" s="146">
        <v>160.016738</v>
      </c>
      <c r="M103" s="146">
        <v>150.664601</v>
      </c>
      <c r="N103" s="146">
        <v>156.43285700000001</v>
      </c>
      <c r="O103" s="146">
        <v>144.976482</v>
      </c>
      <c r="P103" s="146">
        <v>129.27893900000001</v>
      </c>
      <c r="Q103" s="146">
        <v>148.836814</v>
      </c>
      <c r="R103" s="146">
        <v>137.06189800000001</v>
      </c>
      <c r="S103" s="146">
        <v>142.20011299999999</v>
      </c>
      <c r="T103" s="146">
        <v>140.17607899999999</v>
      </c>
      <c r="U103" s="146">
        <v>145.16304500000001</v>
      </c>
      <c r="V103" s="146">
        <v>144.446313</v>
      </c>
      <c r="W103" s="146">
        <v>147.14426599999999</v>
      </c>
      <c r="X103" s="146">
        <v>51.880462999999999</v>
      </c>
      <c r="Y103"/>
      <c r="Z103"/>
    </row>
    <row r="104" spans="1:26" ht="15">
      <c r="A104" s="218"/>
      <c r="B104" s="143" t="s">
        <v>9</v>
      </c>
      <c r="C104" s="146">
        <v>10.157844000000001</v>
      </c>
      <c r="D104" s="146">
        <v>10.355027</v>
      </c>
      <c r="E104" s="146">
        <v>14.760713000000001</v>
      </c>
      <c r="F104" s="146">
        <v>16.229486999999999</v>
      </c>
      <c r="G104" s="146">
        <v>17.203126999999999</v>
      </c>
      <c r="H104" s="146">
        <v>15.24977</v>
      </c>
      <c r="I104" s="146">
        <v>13.198846</v>
      </c>
      <c r="J104" s="146">
        <v>9.7369489999999992</v>
      </c>
      <c r="K104" s="146">
        <v>32.625571999999998</v>
      </c>
      <c r="L104" s="146">
        <v>27.415593999999999</v>
      </c>
      <c r="M104" s="146">
        <v>14.576139</v>
      </c>
      <c r="N104" s="146">
        <v>17.516629999999999</v>
      </c>
      <c r="O104" s="146">
        <v>20.123602000000002</v>
      </c>
      <c r="P104" s="146">
        <v>22.305457000000001</v>
      </c>
      <c r="Q104" s="146">
        <v>22.266936999999999</v>
      </c>
      <c r="R104" s="146">
        <v>17.593667</v>
      </c>
      <c r="S104" s="146">
        <v>15.375764</v>
      </c>
      <c r="T104" s="146">
        <v>14.745189</v>
      </c>
      <c r="U104" s="146">
        <v>19.947948</v>
      </c>
      <c r="V104" s="146">
        <v>17.951955999999999</v>
      </c>
      <c r="W104" s="146">
        <v>27.959973000000002</v>
      </c>
      <c r="X104" s="146">
        <v>7.3720569999999999</v>
      </c>
      <c r="Y104"/>
      <c r="Z104"/>
    </row>
    <row r="105" spans="1:26" ht="15">
      <c r="A105" s="218"/>
      <c r="B105" s="143" t="s">
        <v>8</v>
      </c>
      <c r="C105" s="146">
        <v>116.282053</v>
      </c>
      <c r="D105" s="146">
        <v>104.960847</v>
      </c>
      <c r="E105" s="146">
        <v>100.758259</v>
      </c>
      <c r="F105" s="146">
        <v>70.652975999999995</v>
      </c>
      <c r="G105" s="146">
        <v>62.41677</v>
      </c>
      <c r="H105" s="146">
        <v>33.486941999999999</v>
      </c>
      <c r="I105" s="146">
        <v>66.134209999999996</v>
      </c>
      <c r="J105" s="146">
        <v>99.644189999999995</v>
      </c>
      <c r="K105" s="146">
        <v>113.210213</v>
      </c>
      <c r="L105" s="146">
        <v>112.484255</v>
      </c>
      <c r="M105" s="146">
        <v>115.10042799999999</v>
      </c>
      <c r="N105" s="146">
        <v>112.90636000000001</v>
      </c>
      <c r="O105" s="146">
        <v>117.422501</v>
      </c>
      <c r="P105" s="146">
        <v>102.630663</v>
      </c>
      <c r="Q105" s="146">
        <v>114.385115</v>
      </c>
      <c r="R105" s="146">
        <v>103.636366</v>
      </c>
      <c r="S105" s="146">
        <v>86.849653000000004</v>
      </c>
      <c r="T105" s="146">
        <v>60.625902000000004</v>
      </c>
      <c r="U105" s="146">
        <v>73.213599000000002</v>
      </c>
      <c r="V105" s="146">
        <v>102.417012</v>
      </c>
      <c r="W105" s="146">
        <v>110.953991</v>
      </c>
      <c r="X105" s="146">
        <v>38.058045999999997</v>
      </c>
      <c r="Y105"/>
      <c r="Z105"/>
    </row>
    <row r="106" spans="1:26" ht="15">
      <c r="A106" s="218"/>
      <c r="B106" s="143" t="s">
        <v>25</v>
      </c>
      <c r="C106" s="146">
        <v>280.66014899999999</v>
      </c>
      <c r="D106" s="146">
        <v>269.76136200000002</v>
      </c>
      <c r="E106" s="146">
        <v>284.19602200000003</v>
      </c>
      <c r="F106" s="146">
        <v>311.21022299999998</v>
      </c>
      <c r="G106" s="146">
        <v>236.28277700000001</v>
      </c>
      <c r="H106" s="146">
        <v>276.61590899999999</v>
      </c>
      <c r="I106" s="146">
        <v>284.60979800000001</v>
      </c>
      <c r="J106" s="146">
        <v>284.30052499999999</v>
      </c>
      <c r="K106" s="146">
        <v>278.88830000000002</v>
      </c>
      <c r="L106" s="146">
        <v>288.42916700000001</v>
      </c>
      <c r="M106" s="146">
        <v>314.272829</v>
      </c>
      <c r="N106" s="146">
        <v>321.01253800000001</v>
      </c>
      <c r="O106" s="146">
        <v>350.31383599999998</v>
      </c>
      <c r="P106" s="146">
        <v>285.33313399999997</v>
      </c>
      <c r="Q106" s="146">
        <v>288.5179</v>
      </c>
      <c r="R106" s="146">
        <v>265.37271800000002</v>
      </c>
      <c r="S106" s="146">
        <v>303.45663500000001</v>
      </c>
      <c r="T106" s="146">
        <v>283.58392400000002</v>
      </c>
      <c r="U106" s="146">
        <v>295.51749599999999</v>
      </c>
      <c r="V106" s="146">
        <v>269.79137200000002</v>
      </c>
      <c r="W106" s="146">
        <v>285.29845599999999</v>
      </c>
      <c r="X106" s="146">
        <v>105.179163</v>
      </c>
      <c r="Y106"/>
      <c r="Z106"/>
    </row>
    <row r="107" spans="1:26" ht="15">
      <c r="A107" s="218"/>
      <c r="B107" s="143" t="s">
        <v>6</v>
      </c>
      <c r="C107" s="146">
        <v>0.99317</v>
      </c>
      <c r="D107" s="146">
        <v>1.226483</v>
      </c>
      <c r="E107" s="146">
        <v>1.921443</v>
      </c>
      <c r="F107" s="146">
        <v>0.83590799999999998</v>
      </c>
      <c r="G107" s="146">
        <v>3.227077</v>
      </c>
      <c r="H107" s="146">
        <v>3.0020419999999999</v>
      </c>
      <c r="I107" s="146">
        <v>3.5782180000000001</v>
      </c>
      <c r="J107" s="146">
        <v>2.663478</v>
      </c>
      <c r="K107" s="146">
        <v>1.4201079999999999</v>
      </c>
      <c r="L107" s="146">
        <v>1.852679</v>
      </c>
      <c r="M107" s="146">
        <v>1.1397900000000001</v>
      </c>
      <c r="N107" s="146">
        <v>1.2278610000000001</v>
      </c>
      <c r="O107" s="146">
        <v>1.110916</v>
      </c>
      <c r="P107" s="146">
        <v>1.4820450000000001</v>
      </c>
      <c r="Q107" s="146">
        <v>2.1263230000000002</v>
      </c>
      <c r="R107" s="146">
        <v>1.7525280000000001</v>
      </c>
      <c r="S107" s="146">
        <v>1.9171739999999999</v>
      </c>
      <c r="T107" s="146">
        <v>2.44956</v>
      </c>
      <c r="U107" s="146">
        <v>3.5629430000000002</v>
      </c>
      <c r="V107" s="146">
        <v>3.5176750000000001</v>
      </c>
      <c r="W107" s="146">
        <v>2.0750950000000001</v>
      </c>
      <c r="X107" s="146">
        <v>0.80271300000000001</v>
      </c>
      <c r="Y107"/>
      <c r="Z107"/>
    </row>
    <row r="108" spans="1:26" ht="15">
      <c r="A108" s="218"/>
      <c r="B108" s="143" t="s">
        <v>5</v>
      </c>
      <c r="C108" s="146">
        <v>81.695520000000002</v>
      </c>
      <c r="D108" s="146">
        <v>58.777921999999997</v>
      </c>
      <c r="E108" s="146">
        <v>84.883152999999993</v>
      </c>
      <c r="F108" s="146">
        <v>53.035682999999999</v>
      </c>
      <c r="G108" s="146">
        <v>164.67089200000001</v>
      </c>
      <c r="H108" s="146">
        <v>148.01756800000001</v>
      </c>
      <c r="I108" s="146">
        <v>158.51629800000001</v>
      </c>
      <c r="J108" s="146">
        <v>145.95032699999999</v>
      </c>
      <c r="K108" s="146">
        <v>107.853368</v>
      </c>
      <c r="L108" s="146">
        <v>121.987015</v>
      </c>
      <c r="M108" s="146">
        <v>91.770038</v>
      </c>
      <c r="N108" s="146">
        <v>92.867580000000004</v>
      </c>
      <c r="O108" s="146">
        <v>60.136758999999998</v>
      </c>
      <c r="P108" s="146">
        <v>88.970084999999997</v>
      </c>
      <c r="Q108" s="146">
        <v>109.43612899999999</v>
      </c>
      <c r="R108" s="146">
        <v>120.763114</v>
      </c>
      <c r="S108" s="146">
        <v>116.774248</v>
      </c>
      <c r="T108" s="146">
        <v>159.50470799999999</v>
      </c>
      <c r="U108" s="146">
        <v>180.24268000000001</v>
      </c>
      <c r="V108" s="146">
        <v>183.67649499999999</v>
      </c>
      <c r="W108" s="146">
        <v>123.261465</v>
      </c>
      <c r="X108" s="146">
        <v>48.144514000000001</v>
      </c>
      <c r="Y108"/>
      <c r="Z108"/>
    </row>
    <row r="109" spans="1:26" ht="15">
      <c r="A109" s="218"/>
      <c r="B109" s="143" t="s">
        <v>4</v>
      </c>
      <c r="C109" s="146">
        <v>16.647461</v>
      </c>
      <c r="D109" s="146">
        <v>18.033656000000001</v>
      </c>
      <c r="E109" s="146">
        <v>24.504390000000001</v>
      </c>
      <c r="F109" s="146">
        <v>22.758417999999999</v>
      </c>
      <c r="G109" s="146">
        <v>27.092843999999999</v>
      </c>
      <c r="H109" s="146">
        <v>24.741710999999999</v>
      </c>
      <c r="I109" s="146">
        <v>27.937771999999999</v>
      </c>
      <c r="J109" s="146">
        <v>26.120768999999999</v>
      </c>
      <c r="K109" s="146">
        <v>21.565273000000001</v>
      </c>
      <c r="L109" s="146">
        <v>20.979474</v>
      </c>
      <c r="M109" s="146">
        <v>14.946410999999999</v>
      </c>
      <c r="N109" s="146">
        <v>16.937016</v>
      </c>
      <c r="O109" s="146">
        <v>18.038699999999999</v>
      </c>
      <c r="P109" s="146">
        <v>18.864350999999999</v>
      </c>
      <c r="Q109" s="146">
        <v>24.968492999999999</v>
      </c>
      <c r="R109" s="146">
        <v>25.164787</v>
      </c>
      <c r="S109" s="146">
        <v>32.867409000000002</v>
      </c>
      <c r="T109" s="146">
        <v>30.72391</v>
      </c>
      <c r="U109" s="146">
        <v>34.107903</v>
      </c>
      <c r="V109" s="146">
        <v>31.953105999999998</v>
      </c>
      <c r="W109" s="146">
        <v>26.440342000000001</v>
      </c>
      <c r="X109" s="146">
        <v>9.6105610000000006</v>
      </c>
      <c r="Y109"/>
      <c r="Z109"/>
    </row>
    <row r="110" spans="1:26" ht="15">
      <c r="A110" s="218"/>
      <c r="B110" s="143" t="s">
        <v>22</v>
      </c>
      <c r="C110" s="146">
        <v>0.35872300000000001</v>
      </c>
      <c r="D110" s="146">
        <v>0.69978200000000002</v>
      </c>
      <c r="E110" s="146">
        <v>0.79178499999999996</v>
      </c>
      <c r="F110" s="146">
        <v>0.72202100000000002</v>
      </c>
      <c r="G110" s="146">
        <v>0.72256799999999999</v>
      </c>
      <c r="H110" s="146">
        <v>0.72395900000000002</v>
      </c>
      <c r="I110" s="146">
        <v>0.73402900000000004</v>
      </c>
      <c r="J110" s="146">
        <v>0.56980699999999995</v>
      </c>
      <c r="K110" s="146">
        <v>0.40013300000000002</v>
      </c>
      <c r="L110" s="146">
        <v>0.75599700000000003</v>
      </c>
      <c r="M110" s="146">
        <v>0.75323799999999996</v>
      </c>
      <c r="N110" s="146">
        <v>0.822349</v>
      </c>
      <c r="O110" s="146">
        <v>0.86053100000000005</v>
      </c>
      <c r="P110" s="146">
        <v>0.72069799999999995</v>
      </c>
      <c r="Q110" s="146">
        <v>0.90984399999999999</v>
      </c>
      <c r="R110" s="146">
        <v>0.61352399999999996</v>
      </c>
      <c r="S110" s="146">
        <v>0.72146399999999999</v>
      </c>
      <c r="T110" s="146">
        <v>0.696106</v>
      </c>
      <c r="U110" s="146">
        <v>0.688222</v>
      </c>
      <c r="V110" s="146">
        <v>0.71531400000000001</v>
      </c>
      <c r="W110" s="146">
        <v>0.714812</v>
      </c>
      <c r="X110" s="146">
        <v>0</v>
      </c>
      <c r="Y110"/>
      <c r="Z110"/>
    </row>
    <row r="111" spans="1:26" ht="15">
      <c r="A111" s="218"/>
      <c r="B111" s="143" t="s">
        <v>23</v>
      </c>
      <c r="C111" s="146">
        <v>0</v>
      </c>
      <c r="D111" s="146">
        <v>0</v>
      </c>
      <c r="E111" s="146">
        <v>0</v>
      </c>
      <c r="F111" s="146">
        <v>0</v>
      </c>
      <c r="G111" s="146">
        <v>0</v>
      </c>
      <c r="H111" s="146">
        <v>0</v>
      </c>
      <c r="I111" s="146">
        <v>0</v>
      </c>
      <c r="J111" s="146">
        <v>0</v>
      </c>
      <c r="K111" s="146">
        <v>0</v>
      </c>
      <c r="L111" s="146">
        <v>0</v>
      </c>
      <c r="M111" s="146">
        <v>0</v>
      </c>
      <c r="N111" s="146">
        <v>0</v>
      </c>
      <c r="O111" s="146">
        <v>0</v>
      </c>
      <c r="P111" s="146">
        <v>0</v>
      </c>
      <c r="Q111" s="146">
        <v>0</v>
      </c>
      <c r="R111" s="146">
        <v>0</v>
      </c>
      <c r="S111" s="146">
        <v>0</v>
      </c>
      <c r="T111" s="146">
        <v>0</v>
      </c>
      <c r="U111" s="146">
        <v>-7.7730000000000004E-3</v>
      </c>
      <c r="V111" s="146">
        <v>-1.2208999999999999E-2</v>
      </c>
      <c r="W111" s="146">
        <v>-1.1861999999999999E-2</v>
      </c>
      <c r="X111" s="146">
        <v>0</v>
      </c>
      <c r="Y111"/>
      <c r="Z111"/>
    </row>
    <row r="112" spans="1:26" ht="15">
      <c r="A112" s="218"/>
      <c r="B112" s="148" t="s">
        <v>2</v>
      </c>
      <c r="C112" s="149">
        <v>648.14358400000003</v>
      </c>
      <c r="D112" s="149">
        <v>576.433134</v>
      </c>
      <c r="E112" s="149">
        <v>640.60115699999994</v>
      </c>
      <c r="F112" s="149">
        <v>615.59476800000004</v>
      </c>
      <c r="G112" s="149">
        <v>638.22197700000004</v>
      </c>
      <c r="H112" s="149">
        <v>635.59644100000003</v>
      </c>
      <c r="I112" s="149">
        <v>698.30480899999998</v>
      </c>
      <c r="J112" s="149">
        <v>726.03438600000004</v>
      </c>
      <c r="K112" s="149">
        <v>724.21986700000002</v>
      </c>
      <c r="L112" s="149">
        <v>734.20304999999996</v>
      </c>
      <c r="M112" s="149">
        <v>703.45473200000004</v>
      </c>
      <c r="N112" s="149">
        <v>719.87855100000002</v>
      </c>
      <c r="O112" s="149">
        <v>713.27754000000004</v>
      </c>
      <c r="P112" s="149">
        <v>649.83595400000002</v>
      </c>
      <c r="Q112" s="149">
        <v>711.74400100000003</v>
      </c>
      <c r="R112" s="149">
        <v>672.23267399999997</v>
      </c>
      <c r="S112" s="149">
        <v>700.46126500000003</v>
      </c>
      <c r="T112" s="149">
        <v>692.78676099999996</v>
      </c>
      <c r="U112" s="149">
        <v>752.73042399999997</v>
      </c>
      <c r="V112" s="149">
        <v>754.74978099999998</v>
      </c>
      <c r="W112" s="149">
        <v>724.12546299999997</v>
      </c>
      <c r="X112" s="149">
        <v>261.04751700000003</v>
      </c>
      <c r="Y112"/>
      <c r="Z112"/>
    </row>
    <row r="113" spans="1:24">
      <c r="A113" s="219"/>
      <c r="B113" s="148" t="s">
        <v>79</v>
      </c>
      <c r="C113" s="149">
        <v>648.14358400000003</v>
      </c>
      <c r="D113" s="149">
        <v>576.433134</v>
      </c>
      <c r="E113" s="149">
        <v>640.60115699999994</v>
      </c>
      <c r="F113" s="149">
        <v>615.59476800000004</v>
      </c>
      <c r="G113" s="149">
        <v>638.22197700000004</v>
      </c>
      <c r="H113" s="149">
        <v>635.59644100000003</v>
      </c>
      <c r="I113" s="149">
        <v>698.30480899999998</v>
      </c>
      <c r="J113" s="149">
        <v>726.03438600000004</v>
      </c>
      <c r="K113" s="149">
        <v>724.21986700000002</v>
      </c>
      <c r="L113" s="149">
        <v>734.20304999999996</v>
      </c>
      <c r="M113" s="149">
        <v>703.45473200000004</v>
      </c>
      <c r="N113" s="149">
        <v>719.87855100000002</v>
      </c>
      <c r="O113" s="149">
        <v>713.27754000000004</v>
      </c>
      <c r="P113" s="149">
        <v>649.83595400000002</v>
      </c>
      <c r="Q113" s="149">
        <v>711.74400100000003</v>
      </c>
      <c r="R113" s="149">
        <v>672.23267399999997</v>
      </c>
      <c r="S113" s="149">
        <v>700.46126500000003</v>
      </c>
      <c r="T113" s="149">
        <v>692.78676099999996</v>
      </c>
      <c r="U113" s="149">
        <v>752.73042399999997</v>
      </c>
      <c r="V113" s="149">
        <v>754.74978099999998</v>
      </c>
      <c r="W113" s="149">
        <v>724.12546299999997</v>
      </c>
      <c r="X113" s="149">
        <v>261.04751700000003</v>
      </c>
    </row>
    <row r="114" spans="1:24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24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24">
      <c r="B117" s="215" t="s">
        <v>73</v>
      </c>
      <c r="C117" s="120" t="str">
        <f>TEXT(EDATE(D117,-1),"mmmm aaaa")</f>
        <v>septiembre 2021</v>
      </c>
      <c r="D117" s="120" t="str">
        <f t="shared" ref="D117:M117" si="6">TEXT(EDATE(E117,-1),"mmmm aaaa")</f>
        <v>octubre 2021</v>
      </c>
      <c r="E117" s="120" t="str">
        <f t="shared" si="6"/>
        <v>noviembre 2021</v>
      </c>
      <c r="F117" s="120" t="str">
        <f t="shared" si="6"/>
        <v>diciembre 2021</v>
      </c>
      <c r="G117" s="120" t="str">
        <f t="shared" si="6"/>
        <v>enero 2022</v>
      </c>
      <c r="H117" s="120" t="str">
        <f t="shared" si="6"/>
        <v>febrero 2022</v>
      </c>
      <c r="I117" s="120" t="str">
        <f t="shared" si="6"/>
        <v>marzo 2022</v>
      </c>
      <c r="J117" s="120" t="str">
        <f t="shared" si="6"/>
        <v>abril 2022</v>
      </c>
      <c r="K117" s="120" t="str">
        <f t="shared" si="6"/>
        <v>mayo 2022</v>
      </c>
      <c r="L117" s="120" t="str">
        <f t="shared" si="6"/>
        <v>junio 2022</v>
      </c>
      <c r="M117" s="120" t="str">
        <f t="shared" si="6"/>
        <v>julio 2022</v>
      </c>
      <c r="N117" s="120" t="str">
        <f>TEXT(EDATE(O117,-1),"mmmm aaaa")</f>
        <v>agosto 2022</v>
      </c>
      <c r="O117" s="121" t="str">
        <f>A2</f>
        <v>Septiembre 2022</v>
      </c>
    </row>
    <row r="118" spans="1:24">
      <c r="B118" s="216"/>
      <c r="C118" s="131" t="str">
        <f>TEXT(EDATE($A$2,-12),"mmm")&amp;".-"&amp;TEXT(EDATE($A$2,-12),"aa")</f>
        <v>sep.-21</v>
      </c>
      <c r="D118" s="131" t="str">
        <f>TEXT(EDATE($A$2,-11),"mmm")&amp;".-"&amp;TEXT(EDATE($A$2,-11),"aa")</f>
        <v>oct.-21</v>
      </c>
      <c r="E118" s="131" t="str">
        <f>TEXT(EDATE($A$2,-10),"mmm")&amp;".-"&amp;TEXT(EDATE($A$2,-10),"aa")</f>
        <v>nov.-21</v>
      </c>
      <c r="F118" s="131" t="str">
        <f>TEXT(EDATE($A$2,-9),"mmm")&amp;".-"&amp;TEXT(EDATE($A$2,-9),"aa")</f>
        <v>dic.-21</v>
      </c>
      <c r="G118" s="131" t="str">
        <f>TEXT(EDATE($A$2,-8),"mmm")&amp;".-"&amp;TEXT(EDATE($A$2,-8),"aa")</f>
        <v>ene.-22</v>
      </c>
      <c r="H118" s="131" t="str">
        <f>TEXT(EDATE($A$2,-7),"mmm")&amp;".-"&amp;TEXT(EDATE($A$2,-7),"aa")</f>
        <v>feb.-22</v>
      </c>
      <c r="I118" s="131" t="str">
        <f>TEXT(EDATE($A$2,-6),"mmm")&amp;".-"&amp;TEXT(EDATE($A$2,-6),"aa")</f>
        <v>mar.-22</v>
      </c>
      <c r="J118" s="131" t="str">
        <f>TEXT(EDATE($A$2,-5),"mmm")&amp;".-"&amp;TEXT(EDATE($A$2,-5),"aa")</f>
        <v>abr.-22</v>
      </c>
      <c r="K118" s="131" t="str">
        <f>TEXT(EDATE($A$2,-4),"mmm")&amp;".-"&amp;TEXT(EDATE($A$2,-4),"aa")</f>
        <v>may.-22</v>
      </c>
      <c r="L118" s="131" t="str">
        <f>TEXT(EDATE($A$2,-3),"mmm")&amp;".-"&amp;TEXT(EDATE($A$2,-3),"aa")</f>
        <v>jun.-22</v>
      </c>
      <c r="M118" s="131" t="str">
        <f>TEXT(EDATE($A$2,-2),"mmm")&amp;".-"&amp;TEXT(EDATE($A$2,-2),"aa")</f>
        <v>jul.-22</v>
      </c>
      <c r="N118" s="131" t="str">
        <f>TEXT(EDATE($A$2,-1),"mmm")&amp;".-"&amp;TEXT(EDATE($A$2,-1),"aa")</f>
        <v>ago.-22</v>
      </c>
      <c r="O118" s="159" t="str">
        <f>TEXT($A$2,"mmm")&amp;".-"&amp;TEXT($A$2,"aa")</f>
        <v>sep.-22</v>
      </c>
    </row>
    <row r="119" spans="1:24">
      <c r="A119" s="212" t="s">
        <v>76</v>
      </c>
      <c r="B119" s="132" t="s">
        <v>11</v>
      </c>
      <c r="C119" s="133">
        <f>HLOOKUP(C$117,$86:$101,3,FALSE)</f>
        <v>-0.54997399999999996</v>
      </c>
      <c r="D119" s="133">
        <f t="shared" ref="D119:N119" si="7">HLOOKUP(D$117,$86:$101,3,FALSE)</f>
        <v>-0.58327700000000005</v>
      </c>
      <c r="E119" s="133">
        <f t="shared" si="7"/>
        <v>-0.582067</v>
      </c>
      <c r="F119" s="133">
        <f t="shared" si="7"/>
        <v>-0.61424800000000002</v>
      </c>
      <c r="G119" s="133">
        <f t="shared" si="7"/>
        <v>-0.627467</v>
      </c>
      <c r="H119" s="133">
        <f t="shared" si="7"/>
        <v>-0.58012699999999995</v>
      </c>
      <c r="I119" s="133">
        <f t="shared" si="7"/>
        <v>-0.66887300000000005</v>
      </c>
      <c r="J119" s="133">
        <f t="shared" si="7"/>
        <v>-0.60498099999999999</v>
      </c>
      <c r="K119" s="133">
        <f t="shared" si="7"/>
        <v>-1.0302370000000001</v>
      </c>
      <c r="L119" s="133">
        <f t="shared" si="7"/>
        <v>29.141857000000002</v>
      </c>
      <c r="M119" s="133">
        <f t="shared" si="7"/>
        <v>50.189168000000002</v>
      </c>
      <c r="N119" s="133">
        <f t="shared" si="7"/>
        <v>5.2653150000000002</v>
      </c>
      <c r="O119" s="134">
        <f>HLOOKUP(O$117,$86:$101,3,FALSE)</f>
        <v>-0.60380599999999995</v>
      </c>
    </row>
    <row r="120" spans="1:24">
      <c r="A120" s="213"/>
      <c r="B120" s="122" t="s">
        <v>10</v>
      </c>
      <c r="C120" s="116">
        <f>HLOOKUP(C$117,$86:$101,4,FALSE)</f>
        <v>52.802481999999998</v>
      </c>
      <c r="D120" s="116">
        <f t="shared" ref="D120:O120" si="8">HLOOKUP(D$117,$86:$101,4,FALSE)</f>
        <v>40.707250000000002</v>
      </c>
      <c r="E120" s="116">
        <f t="shared" si="8"/>
        <v>21.566172999999999</v>
      </c>
      <c r="F120" s="116">
        <f t="shared" si="8"/>
        <v>26.795760999999999</v>
      </c>
      <c r="G120" s="116">
        <f t="shared" si="8"/>
        <v>31.928764000000001</v>
      </c>
      <c r="H120" s="116">
        <f t="shared" si="8"/>
        <v>27.285081000000002</v>
      </c>
      <c r="I120" s="116">
        <f t="shared" si="8"/>
        <v>26.627289999999999</v>
      </c>
      <c r="J120" s="116">
        <f t="shared" si="8"/>
        <v>38.583128000000002</v>
      </c>
      <c r="K120" s="116">
        <f t="shared" si="8"/>
        <v>43.134320000000002</v>
      </c>
      <c r="L120" s="116">
        <f t="shared" si="8"/>
        <v>52.984195999999997</v>
      </c>
      <c r="M120" s="116">
        <f t="shared" si="8"/>
        <v>59.042844000000002</v>
      </c>
      <c r="N120" s="116">
        <f t="shared" si="8"/>
        <v>60.455578000000003</v>
      </c>
      <c r="O120" s="134">
        <f t="shared" si="8"/>
        <v>32.713324999999998</v>
      </c>
    </row>
    <row r="121" spans="1:24">
      <c r="A121" s="213"/>
      <c r="B121" s="122" t="s">
        <v>9</v>
      </c>
      <c r="C121" s="116">
        <f>HLOOKUP(C$117,$86:$101,5,FALSE)</f>
        <v>38.690980000000003</v>
      </c>
      <c r="D121" s="116">
        <f t="shared" ref="D121:O121" si="9">HLOOKUP(D$117,$86:$101,5,FALSE)</f>
        <v>18.871455999999998</v>
      </c>
      <c r="E121" s="116">
        <f t="shared" si="9"/>
        <v>15.480005999999999</v>
      </c>
      <c r="F121" s="116">
        <f t="shared" si="9"/>
        <v>11.535242</v>
      </c>
      <c r="G121" s="116">
        <f t="shared" si="9"/>
        <v>14.287936</v>
      </c>
      <c r="H121" s="116">
        <f t="shared" si="9"/>
        <v>12.016398000000001</v>
      </c>
      <c r="I121" s="116">
        <f t="shared" si="9"/>
        <v>16.590530000000001</v>
      </c>
      <c r="J121" s="116">
        <f t="shared" si="9"/>
        <v>16.923745</v>
      </c>
      <c r="K121" s="116">
        <f t="shared" si="9"/>
        <v>26.908525000000001</v>
      </c>
      <c r="L121" s="116">
        <f t="shared" si="9"/>
        <v>32.914068</v>
      </c>
      <c r="M121" s="116">
        <f t="shared" si="9"/>
        <v>59.770274999999998</v>
      </c>
      <c r="N121" s="116">
        <f t="shared" si="9"/>
        <v>67.567459999999997</v>
      </c>
      <c r="O121" s="134">
        <f t="shared" si="9"/>
        <v>56.444971000000002</v>
      </c>
    </row>
    <row r="122" spans="1:24" ht="14.25">
      <c r="A122" s="213"/>
      <c r="B122" s="122" t="s">
        <v>74</v>
      </c>
      <c r="C122" s="116">
        <f>HLOOKUP(C$117,$86:$101,6,FALSE)</f>
        <v>367.24080800000002</v>
      </c>
      <c r="D122" s="116">
        <f t="shared" ref="D122:O122" si="10">HLOOKUP(D$117,$86:$101,6,FALSE)</f>
        <v>312.10340600000001</v>
      </c>
      <c r="E122" s="116">
        <f t="shared" si="10"/>
        <v>305.43751500000002</v>
      </c>
      <c r="F122" s="116">
        <f t="shared" si="10"/>
        <v>332.59120100000001</v>
      </c>
      <c r="G122" s="116">
        <f t="shared" si="10"/>
        <v>350.08292499999999</v>
      </c>
      <c r="H122" s="116">
        <f t="shared" si="10"/>
        <v>298.62258500000002</v>
      </c>
      <c r="I122" s="116">
        <f t="shared" si="10"/>
        <v>331.00133499999998</v>
      </c>
      <c r="J122" s="116">
        <f t="shared" si="10"/>
        <v>307.42903200000001</v>
      </c>
      <c r="K122" s="116">
        <f t="shared" si="10"/>
        <v>317.55595499999998</v>
      </c>
      <c r="L122" s="116">
        <f t="shared" si="10"/>
        <v>367.58788099999998</v>
      </c>
      <c r="M122" s="116">
        <f t="shared" si="10"/>
        <v>396.959791</v>
      </c>
      <c r="N122" s="116">
        <f t="shared" si="10"/>
        <v>456.377207</v>
      </c>
      <c r="O122" s="134">
        <f t="shared" si="10"/>
        <v>377.07382699999999</v>
      </c>
    </row>
    <row r="123" spans="1:24">
      <c r="A123" s="213"/>
      <c r="B123" s="122" t="s">
        <v>24</v>
      </c>
      <c r="C123" s="116">
        <f>HLOOKUP(C$117,$86:$101,7,FALSE)</f>
        <v>2.0925159999999998</v>
      </c>
      <c r="D123" s="116">
        <f t="shared" ref="D123:O123" si="11">HLOOKUP(D$117,$86:$101,7,FALSE)</f>
        <v>0.98881300000000005</v>
      </c>
      <c r="E123" s="116">
        <f t="shared" si="11"/>
        <v>0</v>
      </c>
      <c r="F123" s="116">
        <f t="shared" si="11"/>
        <v>0</v>
      </c>
      <c r="G123" s="116">
        <f t="shared" si="11"/>
        <v>0</v>
      </c>
      <c r="H123" s="116">
        <f t="shared" si="11"/>
        <v>0</v>
      </c>
      <c r="I123" s="116">
        <f t="shared" si="11"/>
        <v>0</v>
      </c>
      <c r="J123" s="116">
        <f t="shared" si="11"/>
        <v>0</v>
      </c>
      <c r="K123" s="116">
        <f t="shared" si="11"/>
        <v>0</v>
      </c>
      <c r="L123" s="116">
        <f t="shared" si="11"/>
        <v>0</v>
      </c>
      <c r="M123" s="116">
        <f t="shared" si="11"/>
        <v>2.6835830000000001</v>
      </c>
      <c r="N123" s="116">
        <f t="shared" si="11"/>
        <v>4.441192</v>
      </c>
      <c r="O123" s="134">
        <f t="shared" si="11"/>
        <v>4.0858239999999997</v>
      </c>
    </row>
    <row r="124" spans="1:24">
      <c r="A124" s="213"/>
      <c r="B124" s="122" t="s">
        <v>5</v>
      </c>
      <c r="C124" s="116">
        <f>HLOOKUP(C$117,$86:$102,8,FALSE)</f>
        <v>0.27444800000000003</v>
      </c>
      <c r="D124" s="116">
        <f t="shared" ref="D124:O124" si="12">HLOOKUP(D$117,$86:$102,8,FALSE)</f>
        <v>0.26974799999999999</v>
      </c>
      <c r="E124" s="116">
        <f t="shared" si="12"/>
        <v>6.1364000000000002E-2</v>
      </c>
      <c r="F124" s="116">
        <f t="shared" si="12"/>
        <v>0.10125000000000001</v>
      </c>
      <c r="G124" s="116">
        <f t="shared" si="12"/>
        <v>0.215638</v>
      </c>
      <c r="H124" s="116">
        <f t="shared" si="12"/>
        <v>0.22824</v>
      </c>
      <c r="I124" s="116">
        <f t="shared" si="12"/>
        <v>0.33845999999999998</v>
      </c>
      <c r="J124" s="116">
        <f t="shared" si="12"/>
        <v>0.239788</v>
      </c>
      <c r="K124" s="116">
        <f t="shared" si="12"/>
        <v>0.16079099999999999</v>
      </c>
      <c r="L124" s="116">
        <f t="shared" si="12"/>
        <v>6.1122000000000003E-2</v>
      </c>
      <c r="M124" s="116">
        <f t="shared" si="12"/>
        <v>3.0289E-2</v>
      </c>
      <c r="N124" s="116">
        <f t="shared" si="12"/>
        <v>3.2219999999999999E-2</v>
      </c>
      <c r="O124" s="134">
        <f t="shared" si="12"/>
        <v>1.2760000000000001E-2</v>
      </c>
    </row>
    <row r="125" spans="1:24">
      <c r="A125" s="213"/>
      <c r="B125" s="122" t="s">
        <v>4</v>
      </c>
      <c r="C125" s="116">
        <f>HLOOKUP(C$117,$86:$102,9,FALSE)</f>
        <v>17.622215000000001</v>
      </c>
      <c r="D125" s="116">
        <f t="shared" ref="D125:O125" si="13">HLOOKUP(D$117,$86:$102,9,FALSE)</f>
        <v>16.792960999999998</v>
      </c>
      <c r="E125" s="116">
        <f t="shared" si="13"/>
        <v>8.8102359999999997</v>
      </c>
      <c r="F125" s="116">
        <f t="shared" si="13"/>
        <v>11.149039999999999</v>
      </c>
      <c r="G125" s="116">
        <f t="shared" si="13"/>
        <v>14.434640999999999</v>
      </c>
      <c r="H125" s="116">
        <f t="shared" si="13"/>
        <v>17.856766</v>
      </c>
      <c r="I125" s="116">
        <f t="shared" si="13"/>
        <v>13.692501999999999</v>
      </c>
      <c r="J125" s="116">
        <f t="shared" si="13"/>
        <v>22.081204</v>
      </c>
      <c r="K125" s="116">
        <f t="shared" si="13"/>
        <v>27.327051999999998</v>
      </c>
      <c r="L125" s="116">
        <f t="shared" si="13"/>
        <v>29.225902000000001</v>
      </c>
      <c r="M125" s="116">
        <f t="shared" si="13"/>
        <v>32.264840999999997</v>
      </c>
      <c r="N125" s="116">
        <f t="shared" si="13"/>
        <v>28.239802000000001</v>
      </c>
      <c r="O125" s="134">
        <f t="shared" si="13"/>
        <v>24.348155999999999</v>
      </c>
    </row>
    <row r="126" spans="1:24">
      <c r="A126" s="213"/>
      <c r="B126" s="123" t="s">
        <v>22</v>
      </c>
      <c r="C126" s="116">
        <f>HLOOKUP(C$117,$86:$102,10,FALSE)</f>
        <v>8.1381999999999996E-2</v>
      </c>
      <c r="D126" s="116">
        <f t="shared" ref="D126:O126" si="14">HLOOKUP(D$117,$86:$102,10,FALSE)</f>
        <v>0.243059</v>
      </c>
      <c r="E126" s="116">
        <f t="shared" si="14"/>
        <v>0.24007600000000001</v>
      </c>
      <c r="F126" s="116">
        <f t="shared" si="14"/>
        <v>0.230462</v>
      </c>
      <c r="G126" s="116">
        <f t="shared" si="14"/>
        <v>0.285244</v>
      </c>
      <c r="H126" s="116">
        <f t="shared" si="14"/>
        <v>0.28095199999999998</v>
      </c>
      <c r="I126" s="116">
        <f t="shared" si="14"/>
        <v>0.29118100000000002</v>
      </c>
      <c r="J126" s="116">
        <f t="shared" si="14"/>
        <v>0.16531499999999999</v>
      </c>
      <c r="K126" s="116">
        <f t="shared" si="14"/>
        <v>0.166327</v>
      </c>
      <c r="L126" s="116">
        <f t="shared" si="14"/>
        <v>0.111179</v>
      </c>
      <c r="M126" s="116">
        <f t="shared" si="14"/>
        <v>9.5128000000000004E-2</v>
      </c>
      <c r="N126" s="116">
        <f t="shared" si="14"/>
        <v>5.6752999999999998E-2</v>
      </c>
      <c r="O126" s="134">
        <f t="shared" si="14"/>
        <v>7.1822999999999998E-2</v>
      </c>
    </row>
    <row r="127" spans="1:24">
      <c r="A127" s="213"/>
      <c r="B127" s="123" t="s">
        <v>23</v>
      </c>
      <c r="C127" s="116">
        <f>HLOOKUP(C$117,$86:$102,11,FALSE)</f>
        <v>3.8190279999999999</v>
      </c>
      <c r="D127" s="116">
        <f t="shared" ref="D127:O127" si="15">HLOOKUP(D$117,$86:$102,11,FALSE)</f>
        <v>4.0205719999999996</v>
      </c>
      <c r="E127" s="116">
        <f t="shared" si="15"/>
        <v>1.4121680000000001</v>
      </c>
      <c r="F127" s="116">
        <f t="shared" si="15"/>
        <v>3.5189080000000001</v>
      </c>
      <c r="G127" s="116">
        <f t="shared" si="15"/>
        <v>3.4010050000000001</v>
      </c>
      <c r="H127" s="116">
        <f t="shared" si="15"/>
        <v>3.0684070000000001</v>
      </c>
      <c r="I127" s="116">
        <f t="shared" si="15"/>
        <v>3.993204</v>
      </c>
      <c r="J127" s="116">
        <f t="shared" si="15"/>
        <v>1.8386769999999999</v>
      </c>
      <c r="K127" s="116">
        <f t="shared" si="15"/>
        <v>1.9461250000000001</v>
      </c>
      <c r="L127" s="116">
        <f t="shared" si="15"/>
        <v>1.5363420000000001</v>
      </c>
      <c r="M127" s="116">
        <f t="shared" si="15"/>
        <v>1.1719729999999999</v>
      </c>
      <c r="N127" s="116">
        <f t="shared" si="15"/>
        <v>5.1333999999999998E-2</v>
      </c>
      <c r="O127" s="134">
        <f t="shared" si="15"/>
        <v>2.0373130000000002</v>
      </c>
    </row>
    <row r="128" spans="1:24">
      <c r="A128" s="213"/>
      <c r="B128" s="122" t="s">
        <v>55</v>
      </c>
      <c r="C128" s="116">
        <f t="shared" ref="C128:O128" si="16">HLOOKUP(C$117,$86:$102,13,FALSE)</f>
        <v>11.972504499999999</v>
      </c>
      <c r="D128" s="116">
        <f t="shared" si="16"/>
        <v>6.4146000000000001</v>
      </c>
      <c r="E128" s="116">
        <f t="shared" si="16"/>
        <v>13.8683715</v>
      </c>
      <c r="F128" s="116">
        <f t="shared" si="16"/>
        <v>8.8660929999999993</v>
      </c>
      <c r="G128" s="116">
        <f t="shared" si="16"/>
        <v>9.8711500000000001</v>
      </c>
      <c r="H128" s="116">
        <f t="shared" si="16"/>
        <v>5.4414375000000001</v>
      </c>
      <c r="I128" s="116">
        <f t="shared" si="16"/>
        <v>9.6633200000000006</v>
      </c>
      <c r="J128" s="116">
        <f t="shared" si="16"/>
        <v>7.8050050000000004</v>
      </c>
      <c r="K128" s="116">
        <f t="shared" si="16"/>
        <v>11.846121999999999</v>
      </c>
      <c r="L128" s="116">
        <f t="shared" si="16"/>
        <v>13.186323</v>
      </c>
      <c r="M128" s="116">
        <f t="shared" si="16"/>
        <v>16.1606655</v>
      </c>
      <c r="N128" s="116">
        <f t="shared" si="16"/>
        <v>13.6723105</v>
      </c>
      <c r="O128" s="134">
        <f t="shared" si="16"/>
        <v>13.5816645</v>
      </c>
    </row>
    <row r="129" spans="1:15">
      <c r="A129" s="213"/>
      <c r="B129" s="122" t="s">
        <v>54</v>
      </c>
      <c r="C129" s="116">
        <f>HLOOKUP(C$117,$86:$102,12,FALSE)</f>
        <v>11.972504499999999</v>
      </c>
      <c r="D129" s="116">
        <f t="shared" ref="D129:O129" si="17">HLOOKUP(D$117,$86:$102,12,FALSE)</f>
        <v>6.4146000000000001</v>
      </c>
      <c r="E129" s="116">
        <f t="shared" si="17"/>
        <v>13.8683715</v>
      </c>
      <c r="F129" s="116">
        <f t="shared" si="17"/>
        <v>8.8660929999999993</v>
      </c>
      <c r="G129" s="116">
        <f t="shared" si="17"/>
        <v>9.8711500000000001</v>
      </c>
      <c r="H129" s="116">
        <f t="shared" si="17"/>
        <v>5.4414375000000001</v>
      </c>
      <c r="I129" s="116">
        <f t="shared" si="17"/>
        <v>9.6633200000000006</v>
      </c>
      <c r="J129" s="116">
        <f t="shared" si="17"/>
        <v>7.8050050000000004</v>
      </c>
      <c r="K129" s="116">
        <f t="shared" si="17"/>
        <v>11.846121999999999</v>
      </c>
      <c r="L129" s="116">
        <f t="shared" si="17"/>
        <v>13.186323</v>
      </c>
      <c r="M129" s="116">
        <f t="shared" si="17"/>
        <v>16.1606655</v>
      </c>
      <c r="N129" s="116">
        <f t="shared" si="17"/>
        <v>13.6723105</v>
      </c>
      <c r="O129" s="134">
        <f t="shared" si="17"/>
        <v>13.5816645</v>
      </c>
    </row>
    <row r="130" spans="1:15">
      <c r="A130" s="213"/>
      <c r="B130" s="124" t="s">
        <v>2</v>
      </c>
      <c r="C130" s="125">
        <f>HLOOKUP(C$117,$86:$102,14,FALSE)</f>
        <v>506.01889399999999</v>
      </c>
      <c r="D130" s="125">
        <f t="shared" ref="D130:O130" si="18">HLOOKUP(D$117,$86:$102,14,FALSE)</f>
        <v>406.24318799999998</v>
      </c>
      <c r="E130" s="125">
        <f t="shared" si="18"/>
        <v>380.16221400000001</v>
      </c>
      <c r="F130" s="125">
        <f t="shared" si="18"/>
        <v>403.03980200000001</v>
      </c>
      <c r="G130" s="125">
        <f t="shared" si="18"/>
        <v>433.75098600000001</v>
      </c>
      <c r="H130" s="125">
        <f t="shared" si="18"/>
        <v>369.66117700000001</v>
      </c>
      <c r="I130" s="125">
        <f t="shared" si="18"/>
        <v>411.19226900000001</v>
      </c>
      <c r="J130" s="125">
        <f t="shared" si="18"/>
        <v>402.265918</v>
      </c>
      <c r="K130" s="125">
        <f t="shared" si="18"/>
        <v>439.86110200000002</v>
      </c>
      <c r="L130" s="125">
        <f t="shared" si="18"/>
        <v>539.93519300000003</v>
      </c>
      <c r="M130" s="125">
        <f t="shared" si="18"/>
        <v>634.529223</v>
      </c>
      <c r="N130" s="125">
        <f t="shared" si="18"/>
        <v>649.83148200000005</v>
      </c>
      <c r="O130" s="135">
        <f t="shared" si="18"/>
        <v>523.34752200000003</v>
      </c>
    </row>
    <row r="131" spans="1:15">
      <c r="A131" s="213"/>
      <c r="B131" s="122" t="s">
        <v>21</v>
      </c>
      <c r="C131" s="126">
        <f>HLOOKUP(C$117,$86:$102,15,FALSE)</f>
        <v>37.549396999999999</v>
      </c>
      <c r="D131" s="126">
        <f t="shared" ref="D131:O131" si="19">HLOOKUP(D$117,$86:$102,15,FALSE)</f>
        <v>38.285525</v>
      </c>
      <c r="E131" s="126">
        <f t="shared" si="19"/>
        <v>28.435708999999999</v>
      </c>
      <c r="F131" s="126">
        <f t="shared" si="19"/>
        <v>32.270831999999999</v>
      </c>
      <c r="G131" s="126">
        <f t="shared" si="19"/>
        <v>31.159338999999999</v>
      </c>
      <c r="H131" s="126">
        <f t="shared" si="19"/>
        <v>27.502502</v>
      </c>
      <c r="I131" s="126">
        <f t="shared" si="19"/>
        <v>30.689281000000001</v>
      </c>
      <c r="J131" s="126">
        <f t="shared" si="19"/>
        <v>33.641058999999998</v>
      </c>
      <c r="K131" s="126">
        <f t="shared" si="19"/>
        <v>32.047055999999998</v>
      </c>
      <c r="L131" s="126">
        <f t="shared" si="19"/>
        <v>35.225064000000003</v>
      </c>
      <c r="M131" s="126">
        <f t="shared" si="19"/>
        <v>67.033137999999994</v>
      </c>
      <c r="N131" s="126">
        <f t="shared" si="19"/>
        <v>77.653036</v>
      </c>
      <c r="O131" s="126">
        <f t="shared" si="19"/>
        <v>70.647335999999996</v>
      </c>
    </row>
    <row r="132" spans="1:15">
      <c r="A132" s="213"/>
      <c r="B132" s="127" t="s">
        <v>1</v>
      </c>
      <c r="C132" s="128">
        <f>HLOOKUP(C$117,$86:$102,16,FALSE)</f>
        <v>543.56829100000004</v>
      </c>
      <c r="D132" s="128">
        <f t="shared" ref="D132:O132" si="20">HLOOKUP(D$117,$86:$102,16,FALSE)</f>
        <v>444.52871299999998</v>
      </c>
      <c r="E132" s="128">
        <f t="shared" si="20"/>
        <v>408.59792299999998</v>
      </c>
      <c r="F132" s="128">
        <f t="shared" si="20"/>
        <v>435.31063399999999</v>
      </c>
      <c r="G132" s="128">
        <f t="shared" si="20"/>
        <v>464.910325</v>
      </c>
      <c r="H132" s="128">
        <f t="shared" si="20"/>
        <v>397.163679</v>
      </c>
      <c r="I132" s="128">
        <f t="shared" si="20"/>
        <v>441.88155</v>
      </c>
      <c r="J132" s="128">
        <f t="shared" si="20"/>
        <v>435.90697699999998</v>
      </c>
      <c r="K132" s="128">
        <f t="shared" si="20"/>
        <v>471.90815800000001</v>
      </c>
      <c r="L132" s="128">
        <f t="shared" si="20"/>
        <v>575.160257</v>
      </c>
      <c r="M132" s="128">
        <f t="shared" si="20"/>
        <v>701.56236100000001</v>
      </c>
      <c r="N132" s="128">
        <f t="shared" si="20"/>
        <v>727.48451799999998</v>
      </c>
      <c r="O132" s="128">
        <f t="shared" si="20"/>
        <v>593.99485800000002</v>
      </c>
    </row>
    <row r="133" spans="1:15" ht="14.25">
      <c r="A133" s="214"/>
      <c r="B133" s="136" t="s">
        <v>75</v>
      </c>
      <c r="C133" s="137">
        <f>C120+C121+C123</f>
        <v>93.585977999999997</v>
      </c>
      <c r="D133" s="137">
        <f>D120+D121+D123</f>
        <v>60.567518999999997</v>
      </c>
      <c r="E133" s="137">
        <f t="shared" ref="E133:O133" si="21">E120+E121+E123</f>
        <v>37.046178999999995</v>
      </c>
      <c r="F133" s="137">
        <f t="shared" si="21"/>
        <v>38.331002999999995</v>
      </c>
      <c r="G133" s="137">
        <f t="shared" si="21"/>
        <v>46.216700000000003</v>
      </c>
      <c r="H133" s="137">
        <f t="shared" si="21"/>
        <v>39.301479</v>
      </c>
      <c r="I133" s="137">
        <f t="shared" si="21"/>
        <v>43.217820000000003</v>
      </c>
      <c r="J133" s="137">
        <f t="shared" si="21"/>
        <v>55.506872999999999</v>
      </c>
      <c r="K133" s="137">
        <f t="shared" si="21"/>
        <v>70.042845</v>
      </c>
      <c r="L133" s="137">
        <f t="shared" si="21"/>
        <v>85.898263999999998</v>
      </c>
      <c r="M133" s="137">
        <f t="shared" si="21"/>
        <v>121.496702</v>
      </c>
      <c r="N133" s="137">
        <f t="shared" si="21"/>
        <v>132.46422999999999</v>
      </c>
      <c r="O133" s="137">
        <f t="shared" si="21"/>
        <v>93.244120000000009</v>
      </c>
    </row>
    <row r="134" spans="1:15">
      <c r="A134" s="212" t="s">
        <v>77</v>
      </c>
      <c r="B134" s="138" t="s">
        <v>73</v>
      </c>
      <c r="C134" s="120" t="str">
        <f>TEXT(EDATE($A$2,-12),"mmm")&amp;".-"&amp;TEXT(EDATE($A$2,-12),"aa")</f>
        <v>sep.-21</v>
      </c>
      <c r="D134" s="120" t="str">
        <f>TEXT(EDATE($A$2,-11),"mmm")&amp;".-"&amp;TEXT(EDATE($A$2,-11),"aa")</f>
        <v>oct.-21</v>
      </c>
      <c r="E134" s="120" t="str">
        <f>TEXT(EDATE($A$2,-10),"mmm")&amp;".-"&amp;TEXT(EDATE($A$2,-10),"aa")</f>
        <v>nov.-21</v>
      </c>
      <c r="F134" s="120" t="str">
        <f>TEXT(EDATE($A$2,-9),"mmm")&amp;".-"&amp;TEXT(EDATE($A$2,-9),"aa")</f>
        <v>dic.-21</v>
      </c>
      <c r="G134" s="120" t="str">
        <f>TEXT(EDATE($A$2,-8),"mmm")&amp;".-"&amp;TEXT(EDATE($A$2,-8),"aa")</f>
        <v>ene.-22</v>
      </c>
      <c r="H134" s="120" t="str">
        <f>TEXT(EDATE($A$2,-7),"mmm")&amp;".-"&amp;TEXT(EDATE($A$2,-7),"aa")</f>
        <v>feb.-22</v>
      </c>
      <c r="I134" s="120" t="str">
        <f>TEXT(EDATE($A$2,-6),"mmm")&amp;".-"&amp;TEXT(EDATE($A$2,-6),"aa")</f>
        <v>mar.-22</v>
      </c>
      <c r="J134" s="120" t="str">
        <f>TEXT(EDATE($A$2,-5),"mmm")&amp;".-"&amp;TEXT(EDATE($A$2,-5),"aa")</f>
        <v>abr.-22</v>
      </c>
      <c r="K134" s="120" t="str">
        <f>TEXT(EDATE($A$2,-4),"mmm")&amp;".-"&amp;TEXT(EDATE($A$2,-4),"aa")</f>
        <v>may.-22</v>
      </c>
      <c r="L134" s="120" t="str">
        <f>TEXT(EDATE($A$2,-3),"mmm")&amp;".-"&amp;TEXT(EDATE($A$2,-3),"aa")</f>
        <v>jun.-22</v>
      </c>
      <c r="M134" s="120" t="str">
        <f>TEXT(EDATE($A$2,-2),"mmm")&amp;".-"&amp;TEXT(EDATE($A$2,-2),"aa")</f>
        <v>jul.-22</v>
      </c>
      <c r="N134" s="120" t="str">
        <f>TEXT(EDATE($A$2,-1),"mmm")&amp;".-"&amp;TEXT(EDATE($A$2,-1),"aa")</f>
        <v>ago.-22</v>
      </c>
      <c r="O134" s="121" t="str">
        <f>TEXT($A$2,"mmm")&amp;".-"&amp;TEXT($A$2,"aa")</f>
        <v>sep.-22</v>
      </c>
    </row>
    <row r="135" spans="1:15" ht="15" customHeight="1">
      <c r="A135" s="213"/>
      <c r="B135" s="122" t="s">
        <v>12</v>
      </c>
      <c r="C135" s="116">
        <f>HLOOKUP(C$117,$86:$115,17,FALSE)</f>
        <v>0.27753299999999997</v>
      </c>
      <c r="D135" s="116">
        <f t="shared" ref="D135:O135" si="22">HLOOKUP(D$117,$86:$115,17,FALSE)</f>
        <v>0.28213100000000002</v>
      </c>
      <c r="E135" s="116">
        <f t="shared" si="22"/>
        <v>0.23125799999999999</v>
      </c>
      <c r="F135" s="116">
        <f t="shared" si="22"/>
        <v>0.15536</v>
      </c>
      <c r="G135" s="116">
        <f t="shared" si="22"/>
        <v>0.294213</v>
      </c>
      <c r="H135" s="116">
        <f t="shared" si="22"/>
        <v>0.25058200000000003</v>
      </c>
      <c r="I135" s="116">
        <f t="shared" si="22"/>
        <v>0.29644599999999999</v>
      </c>
      <c r="J135" s="116">
        <f t="shared" si="22"/>
        <v>0.27407199999999998</v>
      </c>
      <c r="K135" s="116">
        <f t="shared" si="22"/>
        <v>0.29880499999999999</v>
      </c>
      <c r="L135" s="116">
        <f t="shared" si="22"/>
        <v>0.28138299999999999</v>
      </c>
      <c r="M135" s="116">
        <f t="shared" si="22"/>
        <v>0.29436099999999998</v>
      </c>
      <c r="N135" s="116">
        <f t="shared" si="22"/>
        <v>0.29274699999999998</v>
      </c>
      <c r="O135" s="160">
        <f t="shared" si="22"/>
        <v>0.28892499999999999</v>
      </c>
    </row>
    <row r="136" spans="1:15">
      <c r="A136" s="213"/>
      <c r="B136" s="122" t="s">
        <v>10</v>
      </c>
      <c r="C136" s="116">
        <f>HLOOKUP(C$117,$86:$115,18,FALSE)</f>
        <v>167.979367</v>
      </c>
      <c r="D136" s="116">
        <f t="shared" ref="D136:O136" si="23">HLOOKUP(D$117,$86:$115,18,FALSE)</f>
        <v>160.016738</v>
      </c>
      <c r="E136" s="116">
        <f t="shared" si="23"/>
        <v>150.664601</v>
      </c>
      <c r="F136" s="116">
        <f t="shared" si="23"/>
        <v>156.43285700000001</v>
      </c>
      <c r="G136" s="116">
        <f t="shared" si="23"/>
        <v>144.976482</v>
      </c>
      <c r="H136" s="116">
        <f t="shared" si="23"/>
        <v>129.27893900000001</v>
      </c>
      <c r="I136" s="116">
        <f t="shared" si="23"/>
        <v>148.836814</v>
      </c>
      <c r="J136" s="116">
        <f t="shared" si="23"/>
        <v>137.06189800000001</v>
      </c>
      <c r="K136" s="116">
        <f t="shared" si="23"/>
        <v>142.20011299999999</v>
      </c>
      <c r="L136" s="116">
        <f t="shared" si="23"/>
        <v>140.17607899999999</v>
      </c>
      <c r="M136" s="116">
        <f t="shared" si="23"/>
        <v>145.16304500000001</v>
      </c>
      <c r="N136" s="116">
        <f t="shared" si="23"/>
        <v>144.446313</v>
      </c>
      <c r="O136" s="134">
        <f t="shared" si="23"/>
        <v>147.14426599999999</v>
      </c>
    </row>
    <row r="137" spans="1:15">
      <c r="A137" s="213"/>
      <c r="B137" s="122" t="s">
        <v>9</v>
      </c>
      <c r="C137" s="116">
        <f>HLOOKUP(C$117,$86:$115,19,FALSE)</f>
        <v>32.625571999999998</v>
      </c>
      <c r="D137" s="116">
        <f t="shared" ref="D137:O137" si="24">HLOOKUP(D$117,$86:$115,19,FALSE)</f>
        <v>27.415593999999999</v>
      </c>
      <c r="E137" s="116">
        <f t="shared" si="24"/>
        <v>14.576139</v>
      </c>
      <c r="F137" s="116">
        <f t="shared" si="24"/>
        <v>17.516629999999999</v>
      </c>
      <c r="G137" s="116">
        <f t="shared" si="24"/>
        <v>20.123602000000002</v>
      </c>
      <c r="H137" s="116">
        <f t="shared" si="24"/>
        <v>22.305457000000001</v>
      </c>
      <c r="I137" s="116">
        <f t="shared" si="24"/>
        <v>22.266936999999999</v>
      </c>
      <c r="J137" s="116">
        <f t="shared" si="24"/>
        <v>17.593667</v>
      </c>
      <c r="K137" s="116">
        <f t="shared" si="24"/>
        <v>15.375764</v>
      </c>
      <c r="L137" s="116">
        <f t="shared" si="24"/>
        <v>14.745189</v>
      </c>
      <c r="M137" s="116">
        <f t="shared" si="24"/>
        <v>19.947948</v>
      </c>
      <c r="N137" s="116">
        <f t="shared" si="24"/>
        <v>17.951955999999999</v>
      </c>
      <c r="O137" s="134">
        <f t="shared" si="24"/>
        <v>27.959973000000002</v>
      </c>
    </row>
    <row r="138" spans="1:15">
      <c r="A138" s="213"/>
      <c r="B138" s="122" t="s">
        <v>8</v>
      </c>
      <c r="C138" s="116">
        <f>HLOOKUP(C$117,$86:$115,20,FALSE)</f>
        <v>113.210213</v>
      </c>
      <c r="D138" s="116">
        <f t="shared" ref="D138:O138" si="25">HLOOKUP(D$117,$86:$115,20,FALSE)</f>
        <v>112.484255</v>
      </c>
      <c r="E138" s="116">
        <f t="shared" si="25"/>
        <v>115.10042799999999</v>
      </c>
      <c r="F138" s="116">
        <f t="shared" si="25"/>
        <v>112.90636000000001</v>
      </c>
      <c r="G138" s="116">
        <f t="shared" si="25"/>
        <v>117.422501</v>
      </c>
      <c r="H138" s="116">
        <f t="shared" si="25"/>
        <v>102.630663</v>
      </c>
      <c r="I138" s="116">
        <f t="shared" si="25"/>
        <v>114.385115</v>
      </c>
      <c r="J138" s="116">
        <f t="shared" si="25"/>
        <v>103.636366</v>
      </c>
      <c r="K138" s="116">
        <f t="shared" si="25"/>
        <v>86.849653000000004</v>
      </c>
      <c r="L138" s="116">
        <f t="shared" si="25"/>
        <v>60.625902000000004</v>
      </c>
      <c r="M138" s="116">
        <f t="shared" si="25"/>
        <v>73.213599000000002</v>
      </c>
      <c r="N138" s="116">
        <f t="shared" si="25"/>
        <v>102.417012</v>
      </c>
      <c r="O138" s="134">
        <f t="shared" si="25"/>
        <v>110.953991</v>
      </c>
    </row>
    <row r="139" spans="1:15" ht="14.25">
      <c r="A139" s="213"/>
      <c r="B139" s="122" t="s">
        <v>74</v>
      </c>
      <c r="C139" s="116">
        <f>HLOOKUP(C$117,$86:$115,21,FALSE)</f>
        <v>278.88830000000002</v>
      </c>
      <c r="D139" s="116">
        <f t="shared" ref="D139:O139" si="26">HLOOKUP(D$117,$86:$115,21,FALSE)</f>
        <v>288.42916700000001</v>
      </c>
      <c r="E139" s="116">
        <f t="shared" si="26"/>
        <v>314.272829</v>
      </c>
      <c r="F139" s="116">
        <f t="shared" si="26"/>
        <v>321.01253800000001</v>
      </c>
      <c r="G139" s="116">
        <f t="shared" si="26"/>
        <v>350.31383599999998</v>
      </c>
      <c r="H139" s="116">
        <f t="shared" si="26"/>
        <v>285.33313399999997</v>
      </c>
      <c r="I139" s="116">
        <f t="shared" si="26"/>
        <v>288.5179</v>
      </c>
      <c r="J139" s="116">
        <f t="shared" si="26"/>
        <v>265.37271800000002</v>
      </c>
      <c r="K139" s="116">
        <f t="shared" si="26"/>
        <v>303.45663500000001</v>
      </c>
      <c r="L139" s="116">
        <f t="shared" si="26"/>
        <v>283.58392400000002</v>
      </c>
      <c r="M139" s="116">
        <f t="shared" si="26"/>
        <v>295.51749599999999</v>
      </c>
      <c r="N139" s="116">
        <f t="shared" si="26"/>
        <v>269.79137200000002</v>
      </c>
      <c r="O139" s="134">
        <f t="shared" si="26"/>
        <v>285.29845599999999</v>
      </c>
    </row>
    <row r="140" spans="1:15">
      <c r="A140" s="213"/>
      <c r="B140" s="122" t="s">
        <v>6</v>
      </c>
      <c r="C140" s="116">
        <f>HLOOKUP(C$117,$86:$115,22,FALSE)</f>
        <v>1.4201079999999999</v>
      </c>
      <c r="D140" s="116">
        <f t="shared" ref="D140:O140" si="27">HLOOKUP(D$117,$86:$115,22,FALSE)</f>
        <v>1.852679</v>
      </c>
      <c r="E140" s="116">
        <f t="shared" si="27"/>
        <v>1.1397900000000001</v>
      </c>
      <c r="F140" s="116">
        <f t="shared" si="27"/>
        <v>1.2278610000000001</v>
      </c>
      <c r="G140" s="116">
        <f t="shared" si="27"/>
        <v>1.110916</v>
      </c>
      <c r="H140" s="116">
        <f t="shared" si="27"/>
        <v>1.4820450000000001</v>
      </c>
      <c r="I140" s="116">
        <f t="shared" si="27"/>
        <v>2.1263230000000002</v>
      </c>
      <c r="J140" s="116">
        <f t="shared" si="27"/>
        <v>1.7525280000000001</v>
      </c>
      <c r="K140" s="116">
        <f t="shared" si="27"/>
        <v>1.9171739999999999</v>
      </c>
      <c r="L140" s="116">
        <f t="shared" si="27"/>
        <v>2.44956</v>
      </c>
      <c r="M140" s="116">
        <f t="shared" si="27"/>
        <v>3.5629430000000002</v>
      </c>
      <c r="N140" s="116">
        <f t="shared" si="27"/>
        <v>3.5176750000000001</v>
      </c>
      <c r="O140" s="134">
        <f t="shared" si="27"/>
        <v>2.0750950000000001</v>
      </c>
    </row>
    <row r="141" spans="1:15">
      <c r="A141" s="213"/>
      <c r="B141" s="122" t="s">
        <v>5</v>
      </c>
      <c r="C141" s="116">
        <f>HLOOKUP(C$117,$86:$115,23,FALSE)</f>
        <v>107.853368</v>
      </c>
      <c r="D141" s="116">
        <f t="shared" ref="D141:O141" si="28">HLOOKUP(D$117,$86:$115,23,FALSE)</f>
        <v>121.987015</v>
      </c>
      <c r="E141" s="116">
        <f t="shared" si="28"/>
        <v>91.770038</v>
      </c>
      <c r="F141" s="116">
        <f t="shared" si="28"/>
        <v>92.867580000000004</v>
      </c>
      <c r="G141" s="116">
        <f t="shared" si="28"/>
        <v>60.136758999999998</v>
      </c>
      <c r="H141" s="116">
        <f t="shared" si="28"/>
        <v>88.970084999999997</v>
      </c>
      <c r="I141" s="116">
        <f t="shared" si="28"/>
        <v>109.43612899999999</v>
      </c>
      <c r="J141" s="116">
        <f t="shared" si="28"/>
        <v>120.763114</v>
      </c>
      <c r="K141" s="116">
        <f t="shared" si="28"/>
        <v>116.774248</v>
      </c>
      <c r="L141" s="116">
        <f t="shared" si="28"/>
        <v>159.50470799999999</v>
      </c>
      <c r="M141" s="116">
        <f t="shared" si="28"/>
        <v>180.24268000000001</v>
      </c>
      <c r="N141" s="116">
        <f t="shared" si="28"/>
        <v>183.67649499999999</v>
      </c>
      <c r="O141" s="134">
        <f t="shared" si="28"/>
        <v>123.261465</v>
      </c>
    </row>
    <row r="142" spans="1:15">
      <c r="A142" s="213"/>
      <c r="B142" s="122" t="s">
        <v>4</v>
      </c>
      <c r="C142" s="116">
        <f>HLOOKUP(C$117,$86:$115,24,FALSE)</f>
        <v>21.565273000000001</v>
      </c>
      <c r="D142" s="116">
        <f t="shared" ref="D142:O142" si="29">HLOOKUP(D$117,$86:$115,24,FALSE)</f>
        <v>20.979474</v>
      </c>
      <c r="E142" s="116">
        <f t="shared" si="29"/>
        <v>14.946410999999999</v>
      </c>
      <c r="F142" s="116">
        <f t="shared" si="29"/>
        <v>16.937016</v>
      </c>
      <c r="G142" s="116">
        <f t="shared" si="29"/>
        <v>18.038699999999999</v>
      </c>
      <c r="H142" s="116">
        <f t="shared" si="29"/>
        <v>18.864350999999999</v>
      </c>
      <c r="I142" s="116">
        <f t="shared" si="29"/>
        <v>24.968492999999999</v>
      </c>
      <c r="J142" s="116">
        <f t="shared" si="29"/>
        <v>25.164787</v>
      </c>
      <c r="K142" s="116">
        <f t="shared" si="29"/>
        <v>32.867409000000002</v>
      </c>
      <c r="L142" s="116">
        <f t="shared" si="29"/>
        <v>30.72391</v>
      </c>
      <c r="M142" s="116">
        <f t="shared" si="29"/>
        <v>34.107903</v>
      </c>
      <c r="N142" s="116">
        <f t="shared" si="29"/>
        <v>31.953105999999998</v>
      </c>
      <c r="O142" s="134">
        <f t="shared" si="29"/>
        <v>26.440342000000001</v>
      </c>
    </row>
    <row r="143" spans="1:15">
      <c r="A143" s="213"/>
      <c r="B143" s="122" t="s">
        <v>22</v>
      </c>
      <c r="C143" s="116">
        <f>HLOOKUP(C$117,$86:$115,25,FALSE)</f>
        <v>0.40013300000000002</v>
      </c>
      <c r="D143" s="116">
        <f t="shared" ref="D143:O143" si="30">HLOOKUP(D$117,$86:$115,25,FALSE)</f>
        <v>0.75599700000000003</v>
      </c>
      <c r="E143" s="116">
        <f t="shared" si="30"/>
        <v>0.75323799999999996</v>
      </c>
      <c r="F143" s="116">
        <f t="shared" si="30"/>
        <v>0.822349</v>
      </c>
      <c r="G143" s="116">
        <f t="shared" si="30"/>
        <v>0.86053100000000005</v>
      </c>
      <c r="H143" s="116">
        <f t="shared" si="30"/>
        <v>0.72069799999999995</v>
      </c>
      <c r="I143" s="116">
        <f t="shared" si="30"/>
        <v>0.90984399999999999</v>
      </c>
      <c r="J143" s="116">
        <f t="shared" si="30"/>
        <v>0.61352399999999996</v>
      </c>
      <c r="K143" s="116">
        <f t="shared" si="30"/>
        <v>0.72146399999999999</v>
      </c>
      <c r="L143" s="116">
        <f t="shared" si="30"/>
        <v>0.696106</v>
      </c>
      <c r="M143" s="116">
        <f t="shared" si="30"/>
        <v>0.688222</v>
      </c>
      <c r="N143" s="116">
        <f t="shared" si="30"/>
        <v>0.71531400000000001</v>
      </c>
      <c r="O143" s="134">
        <f t="shared" si="30"/>
        <v>0.714812</v>
      </c>
    </row>
    <row r="144" spans="1:15">
      <c r="A144" s="213"/>
      <c r="B144" s="127" t="s">
        <v>1</v>
      </c>
      <c r="C144" s="128">
        <f>HLOOKUP(C$117,$86:$115,27,FALSE)</f>
        <v>724.21986700000002</v>
      </c>
      <c r="D144" s="128">
        <f>HLOOKUP(D$117,$86:$115,27,FALSE)</f>
        <v>734.20304999999996</v>
      </c>
      <c r="E144" s="128">
        <f t="shared" ref="E144:O144" si="31">HLOOKUP(E$117,$86:$115,27,FALSE)</f>
        <v>703.45473200000004</v>
      </c>
      <c r="F144" s="128">
        <f t="shared" si="31"/>
        <v>719.87855100000002</v>
      </c>
      <c r="G144" s="128">
        <f t="shared" si="31"/>
        <v>713.27754000000004</v>
      </c>
      <c r="H144" s="128">
        <f t="shared" si="31"/>
        <v>649.83595400000002</v>
      </c>
      <c r="I144" s="128">
        <f t="shared" si="31"/>
        <v>711.74400100000003</v>
      </c>
      <c r="J144" s="128">
        <f t="shared" si="31"/>
        <v>672.23267399999997</v>
      </c>
      <c r="K144" s="128">
        <f t="shared" si="31"/>
        <v>700.46126500000003</v>
      </c>
      <c r="L144" s="128">
        <f t="shared" si="31"/>
        <v>692.78676099999996</v>
      </c>
      <c r="M144" s="128">
        <f t="shared" si="31"/>
        <v>752.73042399999997</v>
      </c>
      <c r="N144" s="128">
        <f t="shared" si="31"/>
        <v>754.74978099999998</v>
      </c>
      <c r="O144" s="128">
        <f t="shared" si="31"/>
        <v>724.12546299999997</v>
      </c>
    </row>
    <row r="145" spans="1:26">
      <c r="A145" s="213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9"/>
    </row>
    <row r="146" spans="1:26" ht="14.25">
      <c r="A146" s="214"/>
      <c r="B146" s="136" t="s">
        <v>75</v>
      </c>
      <c r="C146" s="140">
        <f>SUM(C136:C138)</f>
        <v>313.81515200000001</v>
      </c>
      <c r="D146" s="140">
        <f t="shared" ref="D146:O146" si="32">SUM(D136:D138)</f>
        <v>299.91658699999999</v>
      </c>
      <c r="E146" s="140">
        <f t="shared" si="32"/>
        <v>280.34116800000004</v>
      </c>
      <c r="F146" s="140">
        <f t="shared" si="32"/>
        <v>286.85584700000004</v>
      </c>
      <c r="G146" s="140">
        <f t="shared" si="32"/>
        <v>282.52258499999999</v>
      </c>
      <c r="H146" s="140">
        <f t="shared" si="32"/>
        <v>254.215059</v>
      </c>
      <c r="I146" s="140">
        <f t="shared" si="32"/>
        <v>285.48886599999997</v>
      </c>
      <c r="J146" s="140">
        <f t="shared" si="32"/>
        <v>258.29193100000003</v>
      </c>
      <c r="K146" s="140">
        <f t="shared" si="32"/>
        <v>244.42552999999998</v>
      </c>
      <c r="L146" s="140">
        <f t="shared" si="32"/>
        <v>215.54716999999999</v>
      </c>
      <c r="M146" s="140">
        <f t="shared" si="32"/>
        <v>238.324592</v>
      </c>
      <c r="N146" s="140">
        <f t="shared" si="32"/>
        <v>264.81528100000003</v>
      </c>
      <c r="O146" s="141">
        <f t="shared" si="32"/>
        <v>286.05822999999998</v>
      </c>
    </row>
    <row r="149" spans="1:26" ht="15">
      <c r="A149" s="173"/>
      <c r="B149" s="173" t="s">
        <v>68</v>
      </c>
      <c r="C149" s="211" t="s">
        <v>57</v>
      </c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3"/>
      <c r="B150" s="173" t="s">
        <v>69</v>
      </c>
      <c r="C150" s="189" t="s">
        <v>90</v>
      </c>
      <c r="D150" s="189" t="s">
        <v>91</v>
      </c>
      <c r="E150" s="189" t="s">
        <v>92</v>
      </c>
      <c r="F150" s="189" t="s">
        <v>93</v>
      </c>
      <c r="G150" s="189" t="s">
        <v>94</v>
      </c>
      <c r="H150" s="189" t="s">
        <v>95</v>
      </c>
      <c r="I150" s="189" t="s">
        <v>96</v>
      </c>
      <c r="J150" s="189" t="s">
        <v>97</v>
      </c>
      <c r="K150" s="189" t="s">
        <v>98</v>
      </c>
      <c r="L150" s="189" t="s">
        <v>99</v>
      </c>
      <c r="M150" s="189" t="s">
        <v>100</v>
      </c>
      <c r="N150" s="189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3" t="s">
        <v>67</v>
      </c>
      <c r="B151" s="173" t="s">
        <v>102</v>
      </c>
      <c r="C151" s="174"/>
      <c r="D151" s="174"/>
      <c r="E151" s="174"/>
      <c r="F151" s="174"/>
      <c r="G151" s="174"/>
      <c r="H151" s="174"/>
      <c r="I151" s="174"/>
      <c r="J151" s="174"/>
      <c r="K151" s="174"/>
      <c r="L151" s="174"/>
      <c r="M151" s="174"/>
      <c r="N151" s="174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5" t="s">
        <v>126</v>
      </c>
      <c r="B152" s="175" t="s">
        <v>127</v>
      </c>
      <c r="C152" s="182">
        <v>9.2770000000000005E-2</v>
      </c>
      <c r="D152" s="182">
        <v>1.58E-3</v>
      </c>
      <c r="E152" s="182">
        <v>-2.3349999999999999E-2</v>
      </c>
      <c r="F152" s="182">
        <v>0.11454</v>
      </c>
      <c r="G152" s="182">
        <v>0.13466</v>
      </c>
      <c r="H152" s="182">
        <v>2.47E-3</v>
      </c>
      <c r="I152" s="182">
        <v>-3.7299999999999998E-3</v>
      </c>
      <c r="J152" s="182">
        <v>0.13592000000000001</v>
      </c>
      <c r="K152" s="182">
        <v>0.12751999999999999</v>
      </c>
      <c r="L152" s="182">
        <v>1.34E-3</v>
      </c>
      <c r="M152" s="182">
        <v>2.4099999999999998E-3</v>
      </c>
      <c r="N152" s="182">
        <v>0.12377000000000001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73"/>
      <c r="B155" s="173" t="s">
        <v>68</v>
      </c>
      <c r="C155" s="211" t="s">
        <v>58</v>
      </c>
      <c r="D155" s="207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3"/>
      <c r="B156" s="173" t="s">
        <v>69</v>
      </c>
      <c r="C156" s="189" t="s">
        <v>90</v>
      </c>
      <c r="D156" s="189" t="s">
        <v>91</v>
      </c>
      <c r="E156" s="189" t="s">
        <v>92</v>
      </c>
      <c r="F156" s="189" t="s">
        <v>93</v>
      </c>
      <c r="G156" s="189" t="s">
        <v>94</v>
      </c>
      <c r="H156" s="189" t="s">
        <v>95</v>
      </c>
      <c r="I156" s="189" t="s">
        <v>96</v>
      </c>
      <c r="J156" s="189" t="s">
        <v>97</v>
      </c>
      <c r="K156" s="189" t="s">
        <v>98</v>
      </c>
      <c r="L156" s="189" t="s">
        <v>99</v>
      </c>
      <c r="M156" s="189" t="s">
        <v>100</v>
      </c>
      <c r="N156" s="189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3" t="s">
        <v>67</v>
      </c>
      <c r="B157" s="173" t="s">
        <v>102</v>
      </c>
      <c r="C157" s="174"/>
      <c r="D157" s="174"/>
      <c r="E157" s="174"/>
      <c r="F157" s="174"/>
      <c r="G157" s="174"/>
      <c r="H157" s="174"/>
      <c r="I157" s="174"/>
      <c r="J157" s="174"/>
      <c r="K157" s="174"/>
      <c r="L157" s="174"/>
      <c r="M157" s="174"/>
      <c r="N157" s="174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5" t="s">
        <v>126</v>
      </c>
      <c r="B158" s="175" t="s">
        <v>127</v>
      </c>
      <c r="C158" s="182">
        <v>-1.2999999999999999E-4</v>
      </c>
      <c r="D158" s="182">
        <v>1.0300000000000001E-3</v>
      </c>
      <c r="E158" s="182">
        <v>8.5999999999999998E-4</v>
      </c>
      <c r="F158" s="182">
        <v>-2.0200000000000001E-3</v>
      </c>
      <c r="G158" s="182">
        <v>7.9409999999999994E-2</v>
      </c>
      <c r="H158" s="182">
        <v>1.2800000000000001E-3</v>
      </c>
      <c r="I158" s="182">
        <v>1.1800000000000001E-3</v>
      </c>
      <c r="J158" s="182">
        <v>7.6950000000000005E-2</v>
      </c>
      <c r="K158" s="182">
        <v>8.0240000000000006E-2</v>
      </c>
      <c r="L158" s="182">
        <v>2.9999999999999997E-4</v>
      </c>
      <c r="M158" s="182">
        <v>6.8999999999999997E-4</v>
      </c>
      <c r="N158" s="182">
        <v>7.9250000000000001E-2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29:C29"/>
    <mergeCell ref="C149:N149"/>
    <mergeCell ref="C155:N155"/>
    <mergeCell ref="A134:A146"/>
    <mergeCell ref="A119:A133"/>
    <mergeCell ref="B117:B118"/>
    <mergeCell ref="A88:A101"/>
    <mergeCell ref="B30:C30"/>
    <mergeCell ref="A102:A113"/>
    <mergeCell ref="C85:X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5703125" style="75" customWidth="1"/>
    <col min="3" max="3" width="23.5703125" style="75" customWidth="1"/>
    <col min="4" max="4" width="1.42578125" style="75" customWidth="1"/>
    <col min="5" max="5" width="16.425781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Septiembre 2022</v>
      </c>
      <c r="L3" s="76"/>
    </row>
    <row r="4" spans="3:12" ht="20.100000000000001" customHeight="1">
      <c r="C4" s="32" t="s">
        <v>46</v>
      </c>
    </row>
    <row r="5" spans="3:12" ht="12.6" customHeight="1"/>
    <row r="7" spans="3:12" ht="12.75" customHeight="1">
      <c r="C7" s="193" t="s">
        <v>47</v>
      </c>
      <c r="E7" s="77"/>
      <c r="F7" s="194" t="str">
        <f>K3</f>
        <v>Septiembre 2022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22/21</v>
      </c>
      <c r="H8" s="79" t="s">
        <v>13</v>
      </c>
      <c r="I8" s="80" t="str">
        <f>G8</f>
        <v>% 22/21</v>
      </c>
      <c r="J8" s="79" t="s">
        <v>13</v>
      </c>
      <c r="K8" s="80" t="str">
        <f>G8</f>
        <v>% 22/21</v>
      </c>
    </row>
    <row r="9" spans="3:12">
      <c r="C9" s="81"/>
      <c r="E9" s="82" t="s">
        <v>39</v>
      </c>
      <c r="F9" s="83">
        <f>Dat_01!R24/1000</f>
        <v>593.99485800000002</v>
      </c>
      <c r="G9" s="163">
        <f>Dat_01!T24*100</f>
        <v>9.2769515499999997</v>
      </c>
      <c r="H9" s="83">
        <f>Dat_01!U24/1000</f>
        <v>4809.972683</v>
      </c>
      <c r="I9" s="163">
        <f>Dat_01!W24*100</f>
        <v>13.465808130000001</v>
      </c>
      <c r="J9" s="83">
        <f>Dat_01!X24/1000</f>
        <v>6098.4099529999994</v>
      </c>
      <c r="K9" s="163">
        <f>Dat_01!Y24*100</f>
        <v>12.752365099999999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0.158</v>
      </c>
      <c r="H12" s="103"/>
      <c r="I12" s="103">
        <f>Dat_01!H152*100</f>
        <v>0.247</v>
      </c>
      <c r="J12" s="103"/>
      <c r="K12" s="103">
        <f>Dat_01!L152*100</f>
        <v>0.13400000000000001</v>
      </c>
    </row>
    <row r="13" spans="3:12">
      <c r="E13" s="85" t="s">
        <v>42</v>
      </c>
      <c r="F13" s="84"/>
      <c r="G13" s="103">
        <f>Dat_01!E152*100</f>
        <v>-2.335</v>
      </c>
      <c r="H13" s="103"/>
      <c r="I13" s="103">
        <f>Dat_01!I152*100</f>
        <v>-0.373</v>
      </c>
      <c r="J13" s="103"/>
      <c r="K13" s="103">
        <f>Dat_01!M152*100</f>
        <v>0.24099999999999999</v>
      </c>
    </row>
    <row r="14" spans="3:12">
      <c r="E14" s="86" t="s">
        <v>43</v>
      </c>
      <c r="F14" s="87"/>
      <c r="G14" s="104">
        <f>Dat_01!F152*100</f>
        <v>11.454000000000001</v>
      </c>
      <c r="H14" s="104"/>
      <c r="I14" s="104">
        <f>Dat_01!J152*100</f>
        <v>13.592000000000001</v>
      </c>
      <c r="J14" s="104"/>
      <c r="K14" s="104">
        <f>Dat_01!N152*100</f>
        <v>12.377000000000001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20" spans="7:11">
      <c r="G20" s="176"/>
      <c r="H20" s="176"/>
      <c r="I20" s="176"/>
      <c r="J20" s="176"/>
      <c r="K20" s="176"/>
    </row>
    <row r="21" spans="7:11">
      <c r="G21" s="176"/>
      <c r="H21" s="176"/>
      <c r="I21" s="176"/>
      <c r="J21" s="176"/>
      <c r="K21" s="176"/>
    </row>
    <row r="22" spans="7:11">
      <c r="G22" s="176"/>
      <c r="H22" s="176"/>
      <c r="I22" s="176"/>
      <c r="J22" s="176"/>
      <c r="K22" s="176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5703125" style="75" customWidth="1"/>
    <col min="3" max="3" width="23.5703125" style="75" customWidth="1"/>
    <col min="4" max="4" width="1.42578125" style="75" customWidth="1"/>
    <col min="5" max="5" width="16.425781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Septiembre 2022</v>
      </c>
      <c r="L3" s="76"/>
    </row>
    <row r="4" spans="3:12" ht="20.100000000000001" customHeight="1">
      <c r="C4" s="32" t="s">
        <v>46</v>
      </c>
    </row>
    <row r="5" spans="3:12" ht="12.6" customHeight="1"/>
    <row r="7" spans="3:12" ht="12.75" customHeight="1">
      <c r="C7" s="193" t="s">
        <v>48</v>
      </c>
      <c r="E7" s="77"/>
      <c r="F7" s="194" t="str">
        <f>K3</f>
        <v>Septiembre 2022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22/21</v>
      </c>
      <c r="H8" s="79" t="s">
        <v>13</v>
      </c>
      <c r="I8" s="107" t="str">
        <f>G8</f>
        <v>% 22/21</v>
      </c>
      <c r="J8" s="79" t="s">
        <v>13</v>
      </c>
      <c r="K8" s="107" t="str">
        <f>G8</f>
        <v>% 22/21</v>
      </c>
    </row>
    <row r="9" spans="3:12">
      <c r="C9" s="81"/>
      <c r="E9" s="82" t="s">
        <v>39</v>
      </c>
      <c r="F9" s="83">
        <f>Dat_01!Z24/1000</f>
        <v>724.12546299999997</v>
      </c>
      <c r="G9" s="163">
        <f>Dat_01!AB24*100</f>
        <v>-1.303527E-2</v>
      </c>
      <c r="H9" s="83">
        <f>Dat_01!AC24/1000</f>
        <v>6371.9438629999995</v>
      </c>
      <c r="I9" s="163">
        <f>Dat_01!AE24*100</f>
        <v>7.9414165399999996</v>
      </c>
      <c r="J9" s="83">
        <f>Dat_01!AF24/1000</f>
        <v>8529.4801960000004</v>
      </c>
      <c r="K9" s="163">
        <f>Dat_01!AG24*100</f>
        <v>8.0236902400000005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0.10300000000000001</v>
      </c>
      <c r="H12" s="103"/>
      <c r="I12" s="103">
        <f>Dat_01!H158*100</f>
        <v>0.128</v>
      </c>
      <c r="J12" s="103"/>
      <c r="K12" s="103">
        <f>Dat_01!L158*100</f>
        <v>0.03</v>
      </c>
    </row>
    <row r="13" spans="3:12">
      <c r="E13" s="85" t="s">
        <v>42</v>
      </c>
      <c r="F13" s="84"/>
      <c r="G13" s="103">
        <f>Dat_01!E158*100</f>
        <v>8.5999999999999993E-2</v>
      </c>
      <c r="H13" s="103"/>
      <c r="I13" s="103">
        <f>Dat_01!I158*100</f>
        <v>0.11800000000000001</v>
      </c>
      <c r="J13" s="103"/>
      <c r="K13" s="103">
        <f>Dat_01!M158*100</f>
        <v>6.8999999999999992E-2</v>
      </c>
    </row>
    <row r="14" spans="3:12">
      <c r="E14" s="86" t="s">
        <v>43</v>
      </c>
      <c r="F14" s="87"/>
      <c r="G14" s="104">
        <f>Dat_01!F158*100</f>
        <v>-0.20200000000000001</v>
      </c>
      <c r="H14" s="104"/>
      <c r="I14" s="104">
        <f>Dat_01!J158*100</f>
        <v>7.6950000000000003</v>
      </c>
      <c r="J14" s="104"/>
      <c r="K14" s="104">
        <f>Dat_01!N158*100</f>
        <v>7.9249999999999998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19" spans="7:11">
      <c r="G19" s="176"/>
      <c r="H19" s="176"/>
      <c r="I19" s="176"/>
      <c r="J19" s="176"/>
      <c r="K19" s="176"/>
    </row>
    <row r="20" spans="7:11">
      <c r="G20" s="176"/>
      <c r="H20" s="176"/>
      <c r="I20" s="176"/>
      <c r="J20" s="176"/>
      <c r="K20" s="176"/>
    </row>
    <row r="21" spans="7:11">
      <c r="G21" s="176"/>
      <c r="H21" s="176"/>
      <c r="I21" s="176"/>
      <c r="J21" s="176"/>
      <c r="K21" s="176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133</v>
      </c>
    </row>
    <row r="2" spans="1:2">
      <c r="A2" t="s">
        <v>128</v>
      </c>
    </row>
    <row r="3" spans="1:2">
      <c r="A3" t="s">
        <v>129</v>
      </c>
    </row>
    <row r="4" spans="1:2">
      <c r="A4" t="s">
        <v>131</v>
      </c>
    </row>
    <row r="5" spans="1:2">
      <c r="A5" t="s">
        <v>132</v>
      </c>
    </row>
    <row r="6" spans="1:2">
      <c r="A6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B2" sqref="B2"/>
    </sheetView>
  </sheetViews>
  <sheetFormatPr baseColWidth="10" defaultRowHeight="11.25"/>
  <cols>
    <col min="1" max="1" width="0.140625" style="1" customWidth="1"/>
    <col min="2" max="2" width="2.5703125" style="1" customWidth="1"/>
    <col min="3" max="3" width="23.5703125" style="2" customWidth="1"/>
    <col min="4" max="4" width="1.42578125" style="2" customWidth="1"/>
    <col min="5" max="5" width="29.140625" style="2" customWidth="1"/>
    <col min="6" max="7" width="7.5703125" style="2" customWidth="1"/>
    <col min="8" max="9" width="7.5703125" style="1" customWidth="1"/>
    <col min="10" max="11" width="7.5703125" style="2" customWidth="1"/>
    <col min="12" max="13" width="7.5703125" style="1" customWidth="1"/>
    <col min="14" max="254" width="11.42578125" style="1"/>
    <col min="255" max="255" width="0.140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Septiembre 2022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7" t="s">
        <v>18</v>
      </c>
      <c r="E7" s="31"/>
      <c r="F7" s="198" t="s">
        <v>17</v>
      </c>
      <c r="G7" s="199"/>
      <c r="H7" s="198" t="s">
        <v>16</v>
      </c>
      <c r="I7" s="199"/>
      <c r="J7" s="198" t="s">
        <v>15</v>
      </c>
      <c r="K7" s="199"/>
      <c r="L7" s="198" t="s">
        <v>14</v>
      </c>
      <c r="M7" s="199"/>
    </row>
    <row r="8" spans="3:23" s="28" customFormat="1" ht="12.75" customHeight="1">
      <c r="C8" s="197"/>
      <c r="E8" s="30"/>
      <c r="F8" s="29" t="s">
        <v>13</v>
      </c>
      <c r="G8" s="105" t="str">
        <f>CONCATENATE("% ",RIGHT(M3,2),"/",RIGHT(M3,2)-1)</f>
        <v>% 22/21</v>
      </c>
      <c r="H8" s="29" t="s">
        <v>13</v>
      </c>
      <c r="I8" s="105" t="str">
        <f>G8</f>
        <v>% 22/21</v>
      </c>
      <c r="J8" s="29" t="s">
        <v>13</v>
      </c>
      <c r="K8" s="105" t="str">
        <f>I8</f>
        <v>% 22/21</v>
      </c>
      <c r="L8" s="29" t="s">
        <v>13</v>
      </c>
      <c r="M8" s="105" t="str">
        <f>K8</f>
        <v>% 22/21</v>
      </c>
    </row>
    <row r="9" spans="3:23" s="27" customFormat="1" ht="12.75" customHeight="1">
      <c r="C9" s="23"/>
      <c r="E9" s="20" t="s">
        <v>12</v>
      </c>
      <c r="F9" s="152" t="s">
        <v>3</v>
      </c>
      <c r="G9" s="17" t="s">
        <v>3</v>
      </c>
      <c r="H9" s="17">
        <f>Dat_01!Z8/1000</f>
        <v>0.28892499999999999</v>
      </c>
      <c r="I9" s="17">
        <f>IF(Dat_01!AB8*100=-100,"-",Dat_01!AB8*100)</f>
        <v>4.1047370899999995</v>
      </c>
      <c r="J9" s="152" t="s">
        <v>3</v>
      </c>
      <c r="K9" s="17" t="s">
        <v>3</v>
      </c>
      <c r="L9" s="152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2" t="s">
        <v>3</v>
      </c>
      <c r="G10" s="17" t="s">
        <v>3</v>
      </c>
      <c r="H10" s="152">
        <f>Dat_01!Z15/1000</f>
        <v>2.0750949999999997</v>
      </c>
      <c r="I10" s="17">
        <f>Dat_01!AB15*100</f>
        <v>46.122337170000002</v>
      </c>
      <c r="J10" s="152" t="s">
        <v>3</v>
      </c>
      <c r="K10" s="17" t="s">
        <v>3</v>
      </c>
      <c r="L10" s="152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1.2760000000000001E-2</v>
      </c>
      <c r="G11" s="17">
        <f>Dat_01!T16*100</f>
        <v>-95.350667520000002</v>
      </c>
      <c r="H11" s="152">
        <f>Dat_01!Z16/1000</f>
        <v>123.261465</v>
      </c>
      <c r="I11" s="17">
        <f>Dat_01!AB16*100</f>
        <v>14.28615284</v>
      </c>
      <c r="J11" s="152" t="s">
        <v>3</v>
      </c>
      <c r="K11" s="17" t="s">
        <v>3</v>
      </c>
      <c r="L11" s="152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2">
        <f>Dat_01!R17/1000</f>
        <v>24.348155999999999</v>
      </c>
      <c r="G12" s="17">
        <f>Dat_01!T17*100</f>
        <v>38.167398370000001</v>
      </c>
      <c r="H12" s="152">
        <f>Dat_01!Z17/1000</f>
        <v>26.440342000000001</v>
      </c>
      <c r="I12" s="17">
        <f>Dat_01!AB17*100</f>
        <v>22.60610844</v>
      </c>
      <c r="J12" s="152" t="s">
        <v>3</v>
      </c>
      <c r="K12" s="17" t="s">
        <v>3</v>
      </c>
      <c r="L12" s="17">
        <f>Dat_01!J17/1000</f>
        <v>6.2480000000000001E-3</v>
      </c>
      <c r="M12" s="17">
        <f>IF(Dat_01!L17*100=-100,"-",Dat_01!L17*100)</f>
        <v>2.4598228900000003</v>
      </c>
      <c r="N12" s="10"/>
      <c r="O12" s="10"/>
      <c r="P12" s="19"/>
    </row>
    <row r="13" spans="3:23" s="2" customFormat="1" ht="12.75" customHeight="1">
      <c r="C13" s="13"/>
      <c r="E13" s="18" t="s">
        <v>83</v>
      </c>
      <c r="F13" s="17">
        <f>Dat_01!R18/1000</f>
        <v>7.1822999999999998E-2</v>
      </c>
      <c r="G13" s="17">
        <f>Dat_01!T18*100</f>
        <v>-11.745840599999999</v>
      </c>
      <c r="H13" s="152">
        <f>Dat_01!Z18/1000</f>
        <v>0.714812</v>
      </c>
      <c r="I13" s="17">
        <f>IF(Dat_01!AB18*100=-100,"-",Dat_01!AB18*100)</f>
        <v>78.64360099999999</v>
      </c>
      <c r="J13" s="152" t="s">
        <v>3</v>
      </c>
      <c r="K13" s="17" t="s">
        <v>3</v>
      </c>
      <c r="L13" s="152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2">
        <f>Dat_01!R21/1000</f>
        <v>13.5816645</v>
      </c>
      <c r="G14" s="17">
        <f>Dat_01!T21*100</f>
        <v>13.440462689999999</v>
      </c>
      <c r="H14" s="152" t="s">
        <v>3</v>
      </c>
      <c r="I14" s="17" t="s">
        <v>3</v>
      </c>
      <c r="J14" s="152" t="s">
        <v>3</v>
      </c>
      <c r="K14" s="17" t="s">
        <v>3</v>
      </c>
      <c r="L14" s="17">
        <f>Dat_01!J21/1000</f>
        <v>0.47139949999999997</v>
      </c>
      <c r="M14" s="17">
        <f>Dat_01!L21*100</f>
        <v>1.6710827000000001</v>
      </c>
      <c r="N14" s="10"/>
      <c r="O14" s="10"/>
    </row>
    <row r="15" spans="3:23" s="2" customFormat="1" ht="12.75" customHeight="1">
      <c r="C15" s="13"/>
      <c r="E15" s="168" t="s">
        <v>80</v>
      </c>
      <c r="F15" s="171">
        <f>SUM(F9:F14)</f>
        <v>38.0144035</v>
      </c>
      <c r="G15" s="172">
        <f>((SUM(Dat_01!R8,Dat_01!R15:R18,Dat_01!R20)/SUM(Dat_01!S8,Dat_01!S15:S18,Dat_01!S20))-1)*100</f>
        <v>26.923893332908634</v>
      </c>
      <c r="H15" s="171">
        <f>SUM(H9:H14)</f>
        <v>152.78063900000001</v>
      </c>
      <c r="I15" s="172">
        <f>((SUM(Dat_01!Z8,Dat_01!Z15:Z18,Dat_01!Z20)/SUM(Dat_01!AA8,Dat_01!AA15:AA18,Dat_01!AA20))-1)*100</f>
        <v>16.168494252219379</v>
      </c>
      <c r="J15" s="171" t="s">
        <v>3</v>
      </c>
      <c r="K15" s="172" t="s">
        <v>3</v>
      </c>
      <c r="L15" s="172">
        <f>SUM(L9:L14)</f>
        <v>0.47764749999999995</v>
      </c>
      <c r="M15" s="172">
        <f>((SUM(Dat_01!J8,Dat_01!J15:J18,Dat_01!J21)/SUM(Dat_01!K8,Dat_01!K15:K18,Dat_01!K20))-1)*100</f>
        <v>1.6813216405765052</v>
      </c>
      <c r="N15" s="10"/>
      <c r="O15" s="10"/>
    </row>
    <row r="16" spans="3:23" s="7" customFormat="1" ht="12.75" customHeight="1">
      <c r="C16" s="23"/>
      <c r="E16" s="20" t="s">
        <v>11</v>
      </c>
      <c r="F16" s="152">
        <f>Dat_01!R9/1000</f>
        <v>-0.60380600000000006</v>
      </c>
      <c r="G16" s="17" t="s">
        <v>3</v>
      </c>
      <c r="H16" s="152" t="s">
        <v>3</v>
      </c>
      <c r="I16" s="17" t="s">
        <v>3</v>
      </c>
      <c r="J16" s="152" t="s">
        <v>3</v>
      </c>
      <c r="K16" s="17" t="s">
        <v>3</v>
      </c>
      <c r="L16" s="152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3">
        <f>SUM(Dat_01!R10,Dat_01!R14)/1000</f>
        <v>36.799149</v>
      </c>
      <c r="G17" s="24">
        <f>((SUM(Dat_01!R10,Dat_01!R14)/SUM(Dat_01!S10,Dat_01!S14))-1)*100</f>
        <v>-32.964477018470802</v>
      </c>
      <c r="H17" s="153">
        <f>Dat_01!Z10/1000</f>
        <v>147.14426600000002</v>
      </c>
      <c r="I17" s="24">
        <f>Dat_01!AB10*100</f>
        <v>-12.40336916</v>
      </c>
      <c r="J17" s="153">
        <f>Dat_01!B10/1000</f>
        <v>15.801838</v>
      </c>
      <c r="K17" s="24">
        <f>Dat_01!D10*100</f>
        <v>-6.09959001</v>
      </c>
      <c r="L17" s="153">
        <f>Dat_01!J10/1000</f>
        <v>16.331128</v>
      </c>
      <c r="M17" s="24">
        <f>Dat_01!L10*100</f>
        <v>-5.3901690799999997</v>
      </c>
      <c r="N17" s="162"/>
      <c r="O17" s="161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3">
        <f>Dat_01!R11/1000</f>
        <v>56.444970999999995</v>
      </c>
      <c r="G18" s="24">
        <f>Dat_01!T11*100</f>
        <v>45.886640760000006</v>
      </c>
      <c r="H18" s="153">
        <f>Dat_01!Z11/1000</f>
        <v>27.959973000000002</v>
      </c>
      <c r="I18" s="24">
        <f>Dat_01!AB11*100</f>
        <v>-14.300435869999999</v>
      </c>
      <c r="J18" s="153">
        <f>Dat_01!B11/1000</f>
        <v>1.6298E-2</v>
      </c>
      <c r="K18" s="24">
        <f>IF(Dat_01!D11=-100%,"-",Dat_01!D11*100)</f>
        <v>-82.531243970000006</v>
      </c>
      <c r="L18" s="153">
        <f>Dat_01!J11/1000</f>
        <v>1.374E-3</v>
      </c>
      <c r="M18" s="24">
        <f>IF(Dat_01!L11*100=-100,"-",Dat_01!L11*100)</f>
        <v>19.58224543</v>
      </c>
      <c r="N18" s="162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3" t="s">
        <v>3</v>
      </c>
      <c r="G19" s="24" t="s">
        <v>3</v>
      </c>
      <c r="H19" s="153">
        <f>Dat_01!Z12/1000</f>
        <v>110.95399099999999</v>
      </c>
      <c r="I19" s="24">
        <f>Dat_01!AB12*100</f>
        <v>-1.9929491699999999</v>
      </c>
      <c r="J19" s="153" t="s">
        <v>3</v>
      </c>
      <c r="K19" s="153" t="s">
        <v>3</v>
      </c>
      <c r="L19" s="153" t="s">
        <v>3</v>
      </c>
      <c r="M19" s="153" t="s">
        <v>3</v>
      </c>
      <c r="N19" s="162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2">
        <f>SUM(F17:F19)</f>
        <v>93.244119999999995</v>
      </c>
      <c r="G20" s="17">
        <f>((SUM(Dat_01!R10:R12,Dat_01!R14)/SUM(Dat_01!S10:S12,Dat_01!S14))-1)*100</f>
        <v>-0.36528762887962918</v>
      </c>
      <c r="H20" s="152">
        <f>SUM(H17:H19)</f>
        <v>286.05822999999998</v>
      </c>
      <c r="I20" s="17">
        <f>(H20/(H17/(I17/100+1)+H18/(I18/100+1)+H19/(I19/100+1))-1)*100</f>
        <v>-8.8449910166136458</v>
      </c>
      <c r="J20" s="152">
        <f>SUM(J17:J19)</f>
        <v>15.818136000000001</v>
      </c>
      <c r="K20" s="17">
        <f>((SUM(Dat_01!B10:B12)/SUM(Dat_01!C10:C12))-1)*100</f>
        <v>-6.5209995300087753</v>
      </c>
      <c r="L20" s="152">
        <f>SUM(L17:L19)</f>
        <v>16.332501999999998</v>
      </c>
      <c r="M20" s="17">
        <f>((SUM(Dat_01!J10:J12)/SUM(Dat_01!K10:K12))-1)*100</f>
        <v>-5.3885069222064041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84</v>
      </c>
      <c r="F21" s="152">
        <f>Dat_01!R13/1000</f>
        <v>377.07382699999999</v>
      </c>
      <c r="G21" s="17">
        <f>Dat_01!T13*100</f>
        <v>2.67753986</v>
      </c>
      <c r="H21" s="152">
        <f>Dat_01!Z13/1000</f>
        <v>285.29845599999999</v>
      </c>
      <c r="I21" s="17">
        <f>Dat_01!AB13*100</f>
        <v>2.29846716</v>
      </c>
      <c r="J21" s="152" t="s">
        <v>3</v>
      </c>
      <c r="K21" s="17" t="s">
        <v>3</v>
      </c>
      <c r="L21" s="152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2">
        <f>Dat_01!R19/1000</f>
        <v>2.0373130000000002</v>
      </c>
      <c r="G22" s="17">
        <f>Dat_01!T19*100</f>
        <v>-46.653624950000001</v>
      </c>
      <c r="H22" s="152">
        <f>Dat_01!Z19/1000</f>
        <v>-1.1861999999999999E-2</v>
      </c>
      <c r="I22" s="17" t="s">
        <v>3</v>
      </c>
      <c r="J22" s="152" t="s">
        <v>3</v>
      </c>
      <c r="K22" s="17" t="s">
        <v>3</v>
      </c>
      <c r="L22" s="152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2">
        <f>Dat_01!R20/1000</f>
        <v>13.5816645</v>
      </c>
      <c r="G23" s="17">
        <f>Dat_01!T20*100</f>
        <v>13.440462689999999</v>
      </c>
      <c r="H23" s="152" t="s">
        <v>3</v>
      </c>
      <c r="I23" s="17" t="s">
        <v>3</v>
      </c>
      <c r="J23" s="152" t="s">
        <v>3</v>
      </c>
      <c r="K23" s="17" t="s">
        <v>3</v>
      </c>
      <c r="L23" s="17">
        <f>Dat_01!J20/1000</f>
        <v>0.47139949999999997</v>
      </c>
      <c r="M23" s="17">
        <f>Dat_01!L20*100</f>
        <v>1.6710827000000001</v>
      </c>
      <c r="N23" s="10"/>
      <c r="O23" s="10"/>
    </row>
    <row r="24" spans="3:23" s="2" customFormat="1" ht="12.75" customHeight="1">
      <c r="C24" s="13"/>
      <c r="E24" s="168" t="s">
        <v>81</v>
      </c>
      <c r="F24" s="154">
        <f>SUM(F16,F20:F23)</f>
        <v>485.33311849999996</v>
      </c>
      <c r="G24" s="172">
        <f>((SUM(Dat_01!R9:R14,Dat_01!R19,Dat_01!R21)/SUM(Dat_01!S9:S14,Dat_01!S19,Dat_01!S21))-1)*100</f>
        <v>1.9461016694421351</v>
      </c>
      <c r="H24" s="154">
        <f>SUM(H16,H20:H23)</f>
        <v>571.34482400000002</v>
      </c>
      <c r="I24" s="172">
        <f>((SUM(Dat_01!Z9:Z14,Dat_01!Z19,Dat_01!Z21)/SUM(Dat_01!AA9:AA14,Dat_01!AA19,Dat_01!AA21))-1)*100</f>
        <v>-3.603594331689508</v>
      </c>
      <c r="J24" s="154">
        <f>SUM(J16,J20:J23)</f>
        <v>15.818136000000001</v>
      </c>
      <c r="K24" s="172">
        <f>((SUM(Dat_01!B9:B14,Dat_01!B19,Dat_01!B21)/SUM(Dat_01!C9:C14,Dat_01!C19,Dat_01!C21))-1)*100</f>
        <v>-6.5209995300087753</v>
      </c>
      <c r="L24" s="154">
        <f>SUM(L16,L20:L23)</f>
        <v>16.803901499999998</v>
      </c>
      <c r="M24" s="172">
        <f>((SUM(Dat_01!J9:J14,Dat_01!J19,Dat_01!J21)/SUM(Dat_01!K9:K14,Dat_01!K19,Dat_01!K21))-1)*100</f>
        <v>-5.2038559195092375</v>
      </c>
      <c r="N24" s="10"/>
      <c r="O24" s="10"/>
    </row>
    <row r="25" spans="3:23" s="2" customFormat="1" ht="12.75" customHeight="1">
      <c r="C25" s="16"/>
      <c r="E25" s="15" t="s">
        <v>87</v>
      </c>
      <c r="F25" s="155">
        <f>Dat_01!R23/1000</f>
        <v>70.647335999999996</v>
      </c>
      <c r="G25" s="14">
        <f>Dat_01!T23*100</f>
        <v>88.145061290000001</v>
      </c>
      <c r="H25" s="155" t="s">
        <v>3</v>
      </c>
      <c r="I25" s="155" t="s">
        <v>3</v>
      </c>
      <c r="J25" s="155" t="s">
        <v>3</v>
      </c>
      <c r="K25" s="155" t="s">
        <v>3</v>
      </c>
      <c r="L25" s="155" t="s">
        <v>3</v>
      </c>
      <c r="M25" s="155" t="s">
        <v>3</v>
      </c>
      <c r="N25" s="10"/>
      <c r="O25" s="10"/>
    </row>
    <row r="26" spans="3:23" s="2" customFormat="1" ht="16.350000000000001" customHeight="1">
      <c r="C26" s="13"/>
      <c r="E26" s="12" t="s">
        <v>1</v>
      </c>
      <c r="F26" s="156">
        <f>Dat_01!R24/1000</f>
        <v>593.99485800000002</v>
      </c>
      <c r="G26" s="11">
        <f>Dat_01!T24*100</f>
        <v>9.2769515499999997</v>
      </c>
      <c r="H26" s="156">
        <f>Dat_01!Z24/1000</f>
        <v>724.12546299999997</v>
      </c>
      <c r="I26" s="11">
        <f>Dat_01!AB24*100</f>
        <v>-1.303527E-2</v>
      </c>
      <c r="J26" s="156">
        <f>Dat_01!B24/1000</f>
        <v>15.818136000000001</v>
      </c>
      <c r="K26" s="11">
        <f>Dat_01!D24*100</f>
        <v>-6.5209995300000001</v>
      </c>
      <c r="L26" s="156">
        <f>Dat_01!J24/1000</f>
        <v>17.281548999999998</v>
      </c>
      <c r="M26" s="11">
        <f>Dat_01!L24*100</f>
        <v>-5.0261086099999996</v>
      </c>
      <c r="N26" s="10"/>
      <c r="O26" s="10"/>
    </row>
    <row r="27" spans="3:23" s="2" customFormat="1" ht="16.350000000000001" customHeight="1">
      <c r="C27" s="13"/>
      <c r="E27" s="202" t="s">
        <v>56</v>
      </c>
      <c r="F27" s="202"/>
      <c r="G27" s="202"/>
      <c r="H27" s="202"/>
      <c r="I27" s="202"/>
      <c r="J27" s="202"/>
      <c r="K27" s="202"/>
      <c r="L27" s="169"/>
      <c r="M27" s="170"/>
      <c r="N27" s="10"/>
      <c r="O27" s="10"/>
    </row>
    <row r="28" spans="3:23" s="2" customFormat="1" ht="34.5" customHeight="1">
      <c r="C28" s="13"/>
      <c r="E28" s="203" t="s">
        <v>105</v>
      </c>
      <c r="F28" s="203"/>
      <c r="G28" s="203"/>
      <c r="H28" s="203"/>
      <c r="I28" s="203"/>
      <c r="J28" s="203"/>
      <c r="K28" s="203"/>
      <c r="L28" s="203"/>
      <c r="M28" s="203"/>
      <c r="N28" s="10"/>
      <c r="O28" s="10"/>
    </row>
    <row r="29" spans="3:23" s="2" customFormat="1" ht="12.75" customHeight="1">
      <c r="C29" s="8"/>
      <c r="D29" s="8"/>
      <c r="E29" s="201" t="s">
        <v>0</v>
      </c>
      <c r="F29" s="201"/>
      <c r="G29" s="201"/>
      <c r="H29" s="201"/>
      <c r="I29" s="201"/>
      <c r="J29" s="201"/>
      <c r="K29" s="201"/>
      <c r="L29" s="201"/>
      <c r="M29" s="201"/>
      <c r="O29" s="9"/>
    </row>
    <row r="30" spans="3:23" s="7" customFormat="1" ht="12.75" customHeight="1">
      <c r="E30" s="200" t="s">
        <v>82</v>
      </c>
      <c r="F30" s="200"/>
      <c r="G30" s="200"/>
      <c r="H30" s="200"/>
      <c r="I30" s="200"/>
      <c r="J30" s="200"/>
      <c r="K30" s="200"/>
      <c r="L30" s="200"/>
      <c r="M30" s="200"/>
    </row>
    <row r="31" spans="3:23" s="2" customFormat="1" ht="12.75" customHeight="1">
      <c r="C31" s="8"/>
      <c r="D31" s="8"/>
      <c r="E31" s="200" t="s">
        <v>85</v>
      </c>
      <c r="F31" s="200"/>
      <c r="G31" s="200"/>
      <c r="H31" s="200"/>
      <c r="I31" s="200"/>
      <c r="J31" s="200"/>
      <c r="K31" s="200"/>
      <c r="L31" s="200"/>
      <c r="M31" s="200"/>
    </row>
    <row r="32" spans="3:23" ht="12.75" customHeight="1">
      <c r="C32" s="1"/>
      <c r="D32" s="1"/>
      <c r="E32" s="200" t="s">
        <v>86</v>
      </c>
      <c r="F32" s="200"/>
      <c r="G32" s="200"/>
      <c r="H32" s="200"/>
      <c r="I32" s="200"/>
      <c r="J32" s="200"/>
      <c r="K32" s="200"/>
      <c r="L32" s="200"/>
      <c r="M32" s="200"/>
    </row>
    <row r="33" spans="3:13" ht="12.75" customHeight="1">
      <c r="C33" s="1"/>
      <c r="D33" s="1"/>
      <c r="E33" s="200"/>
      <c r="F33" s="200"/>
      <c r="G33" s="200"/>
      <c r="H33" s="200"/>
      <c r="I33" s="200"/>
      <c r="J33" s="200"/>
      <c r="K33" s="200"/>
      <c r="L33" s="200"/>
      <c r="M33" s="200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36" customWidth="1"/>
    <col min="2" max="2" width="2.5703125" style="36" customWidth="1"/>
    <col min="3" max="3" width="23.5703125" style="36" customWidth="1"/>
    <col min="4" max="4" width="1.425781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5703125" style="35" customWidth="1"/>
    <col min="256" max="256" width="18.5703125" style="35" customWidth="1"/>
    <col min="257" max="257" width="1.425781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5703125" style="35" customWidth="1"/>
    <col min="512" max="512" width="18.5703125" style="35" customWidth="1"/>
    <col min="513" max="513" width="1.425781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5703125" style="35" customWidth="1"/>
    <col min="768" max="768" width="18.5703125" style="35" customWidth="1"/>
    <col min="769" max="769" width="1.425781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5703125" style="35" customWidth="1"/>
    <col min="1024" max="1024" width="18.5703125" style="35" customWidth="1"/>
    <col min="1025" max="1025" width="1.425781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5703125" style="35" customWidth="1"/>
    <col min="1280" max="1280" width="18.5703125" style="35" customWidth="1"/>
    <col min="1281" max="1281" width="1.425781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5703125" style="35" customWidth="1"/>
    <col min="1536" max="1536" width="18.5703125" style="35" customWidth="1"/>
    <col min="1537" max="1537" width="1.425781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5703125" style="35" customWidth="1"/>
    <col min="1792" max="1792" width="18.5703125" style="35" customWidth="1"/>
    <col min="1793" max="1793" width="1.425781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5703125" style="35" customWidth="1"/>
    <col min="2048" max="2048" width="18.5703125" style="35" customWidth="1"/>
    <col min="2049" max="2049" width="1.425781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5703125" style="35" customWidth="1"/>
    <col min="2304" max="2304" width="18.5703125" style="35" customWidth="1"/>
    <col min="2305" max="2305" width="1.425781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5703125" style="35" customWidth="1"/>
    <col min="2560" max="2560" width="18.5703125" style="35" customWidth="1"/>
    <col min="2561" max="2561" width="1.425781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5703125" style="35" customWidth="1"/>
    <col min="2816" max="2816" width="18.5703125" style="35" customWidth="1"/>
    <col min="2817" max="2817" width="1.425781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5703125" style="35" customWidth="1"/>
    <col min="3072" max="3072" width="18.5703125" style="35" customWidth="1"/>
    <col min="3073" max="3073" width="1.425781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5703125" style="35" customWidth="1"/>
    <col min="3328" max="3328" width="18.5703125" style="35" customWidth="1"/>
    <col min="3329" max="3329" width="1.425781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5703125" style="35" customWidth="1"/>
    <col min="3584" max="3584" width="18.5703125" style="35" customWidth="1"/>
    <col min="3585" max="3585" width="1.425781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5703125" style="35" customWidth="1"/>
    <col min="3840" max="3840" width="18.5703125" style="35" customWidth="1"/>
    <col min="3841" max="3841" width="1.425781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5703125" style="35" customWidth="1"/>
    <col min="4096" max="4096" width="18.5703125" style="35" customWidth="1"/>
    <col min="4097" max="4097" width="1.425781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5703125" style="35" customWidth="1"/>
    <col min="4352" max="4352" width="18.5703125" style="35" customWidth="1"/>
    <col min="4353" max="4353" width="1.425781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5703125" style="35" customWidth="1"/>
    <col min="4608" max="4608" width="18.5703125" style="35" customWidth="1"/>
    <col min="4609" max="4609" width="1.425781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5703125" style="35" customWidth="1"/>
    <col min="4864" max="4864" width="18.5703125" style="35" customWidth="1"/>
    <col min="4865" max="4865" width="1.425781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5703125" style="35" customWidth="1"/>
    <col min="5120" max="5120" width="18.5703125" style="35" customWidth="1"/>
    <col min="5121" max="5121" width="1.425781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5703125" style="35" customWidth="1"/>
    <col min="5376" max="5376" width="18.5703125" style="35" customWidth="1"/>
    <col min="5377" max="5377" width="1.425781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5703125" style="35" customWidth="1"/>
    <col min="5632" max="5632" width="18.5703125" style="35" customWidth="1"/>
    <col min="5633" max="5633" width="1.425781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5703125" style="35" customWidth="1"/>
    <col min="5888" max="5888" width="18.5703125" style="35" customWidth="1"/>
    <col min="5889" max="5889" width="1.425781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5703125" style="35" customWidth="1"/>
    <col min="6144" max="6144" width="18.5703125" style="35" customWidth="1"/>
    <col min="6145" max="6145" width="1.425781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5703125" style="35" customWidth="1"/>
    <col min="6400" max="6400" width="18.5703125" style="35" customWidth="1"/>
    <col min="6401" max="6401" width="1.425781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5703125" style="35" customWidth="1"/>
    <col min="6656" max="6656" width="18.5703125" style="35" customWidth="1"/>
    <col min="6657" max="6657" width="1.425781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5703125" style="35" customWidth="1"/>
    <col min="6912" max="6912" width="18.5703125" style="35" customWidth="1"/>
    <col min="6913" max="6913" width="1.425781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5703125" style="35" customWidth="1"/>
    <col min="7168" max="7168" width="18.5703125" style="35" customWidth="1"/>
    <col min="7169" max="7169" width="1.425781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5703125" style="35" customWidth="1"/>
    <col min="7424" max="7424" width="18.5703125" style="35" customWidth="1"/>
    <col min="7425" max="7425" width="1.425781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5703125" style="35" customWidth="1"/>
    <col min="7680" max="7680" width="18.5703125" style="35" customWidth="1"/>
    <col min="7681" max="7681" width="1.425781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5703125" style="35" customWidth="1"/>
    <col min="7936" max="7936" width="18.5703125" style="35" customWidth="1"/>
    <col min="7937" max="7937" width="1.425781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5703125" style="35" customWidth="1"/>
    <col min="8192" max="8192" width="18.5703125" style="35" customWidth="1"/>
    <col min="8193" max="8193" width="1.425781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5703125" style="35" customWidth="1"/>
    <col min="8448" max="8448" width="18.5703125" style="35" customWidth="1"/>
    <col min="8449" max="8449" width="1.425781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5703125" style="35" customWidth="1"/>
    <col min="8704" max="8704" width="18.5703125" style="35" customWidth="1"/>
    <col min="8705" max="8705" width="1.425781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5703125" style="35" customWidth="1"/>
    <col min="8960" max="8960" width="18.5703125" style="35" customWidth="1"/>
    <col min="8961" max="8961" width="1.425781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5703125" style="35" customWidth="1"/>
    <col min="9216" max="9216" width="18.5703125" style="35" customWidth="1"/>
    <col min="9217" max="9217" width="1.425781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5703125" style="35" customWidth="1"/>
    <col min="9472" max="9472" width="18.5703125" style="35" customWidth="1"/>
    <col min="9473" max="9473" width="1.425781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5703125" style="35" customWidth="1"/>
    <col min="9728" max="9728" width="18.5703125" style="35" customWidth="1"/>
    <col min="9729" max="9729" width="1.425781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5703125" style="35" customWidth="1"/>
    <col min="9984" max="9984" width="18.5703125" style="35" customWidth="1"/>
    <col min="9985" max="9985" width="1.425781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5703125" style="35" customWidth="1"/>
    <col min="10240" max="10240" width="18.5703125" style="35" customWidth="1"/>
    <col min="10241" max="10241" width="1.425781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5703125" style="35" customWidth="1"/>
    <col min="10496" max="10496" width="18.5703125" style="35" customWidth="1"/>
    <col min="10497" max="10497" width="1.425781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5703125" style="35" customWidth="1"/>
    <col min="10752" max="10752" width="18.5703125" style="35" customWidth="1"/>
    <col min="10753" max="10753" width="1.425781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5703125" style="35" customWidth="1"/>
    <col min="11008" max="11008" width="18.5703125" style="35" customWidth="1"/>
    <col min="11009" max="11009" width="1.425781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5703125" style="35" customWidth="1"/>
    <col min="11264" max="11264" width="18.5703125" style="35" customWidth="1"/>
    <col min="11265" max="11265" width="1.425781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5703125" style="35" customWidth="1"/>
    <col min="11520" max="11520" width="18.5703125" style="35" customWidth="1"/>
    <col min="11521" max="11521" width="1.425781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5703125" style="35" customWidth="1"/>
    <col min="11776" max="11776" width="18.5703125" style="35" customWidth="1"/>
    <col min="11777" max="11777" width="1.425781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5703125" style="35" customWidth="1"/>
    <col min="12032" max="12032" width="18.5703125" style="35" customWidth="1"/>
    <col min="12033" max="12033" width="1.425781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5703125" style="35" customWidth="1"/>
    <col min="12288" max="12288" width="18.5703125" style="35" customWidth="1"/>
    <col min="12289" max="12289" width="1.425781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5703125" style="35" customWidth="1"/>
    <col min="12544" max="12544" width="18.5703125" style="35" customWidth="1"/>
    <col min="12545" max="12545" width="1.425781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5703125" style="35" customWidth="1"/>
    <col min="12800" max="12800" width="18.5703125" style="35" customWidth="1"/>
    <col min="12801" max="12801" width="1.425781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5703125" style="35" customWidth="1"/>
    <col min="13056" max="13056" width="18.5703125" style="35" customWidth="1"/>
    <col min="13057" max="13057" width="1.425781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5703125" style="35" customWidth="1"/>
    <col min="13312" max="13312" width="18.5703125" style="35" customWidth="1"/>
    <col min="13313" max="13313" width="1.425781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5703125" style="35" customWidth="1"/>
    <col min="13568" max="13568" width="18.5703125" style="35" customWidth="1"/>
    <col min="13569" max="13569" width="1.425781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5703125" style="35" customWidth="1"/>
    <col min="13824" max="13824" width="18.5703125" style="35" customWidth="1"/>
    <col min="13825" max="13825" width="1.425781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5703125" style="35" customWidth="1"/>
    <col min="14080" max="14080" width="18.5703125" style="35" customWidth="1"/>
    <col min="14081" max="14081" width="1.425781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5703125" style="35" customWidth="1"/>
    <col min="14336" max="14336" width="18.5703125" style="35" customWidth="1"/>
    <col min="14337" max="14337" width="1.425781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5703125" style="35" customWidth="1"/>
    <col min="14592" max="14592" width="18.5703125" style="35" customWidth="1"/>
    <col min="14593" max="14593" width="1.425781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5703125" style="35" customWidth="1"/>
    <col min="14848" max="14848" width="18.5703125" style="35" customWidth="1"/>
    <col min="14849" max="14849" width="1.425781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5703125" style="35" customWidth="1"/>
    <col min="15104" max="15104" width="18.5703125" style="35" customWidth="1"/>
    <col min="15105" max="15105" width="1.425781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5703125" style="35" customWidth="1"/>
    <col min="15360" max="15360" width="18.5703125" style="35" customWidth="1"/>
    <col min="15361" max="15361" width="1.425781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5703125" style="35" customWidth="1"/>
    <col min="15616" max="15616" width="18.5703125" style="35" customWidth="1"/>
    <col min="15617" max="15617" width="1.425781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5703125" style="35" customWidth="1"/>
    <col min="15872" max="15872" width="18.5703125" style="35" customWidth="1"/>
    <col min="15873" max="15873" width="1.425781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5703125" style="35" customWidth="1"/>
    <col min="16128" max="16128" width="18.5703125" style="35" customWidth="1"/>
    <col min="16129" max="16129" width="1.425781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Septiembre 2022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31</v>
      </c>
      <c r="D7" s="44"/>
      <c r="E7" s="48"/>
    </row>
    <row r="8" spans="2:12" s="38" customFormat="1" ht="12.75" customHeight="1">
      <c r="B8" s="46"/>
      <c r="C8" s="204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0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4" t="s">
        <v>28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5703125" style="56" customWidth="1"/>
    <col min="3" max="3" width="23.5703125" style="56" customWidth="1"/>
    <col min="4" max="4" width="1.42578125" style="56" customWidth="1"/>
    <col min="5" max="5" width="105.5703125" style="56" customWidth="1"/>
    <col min="6" max="6" width="10.570312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5703125" style="55" customWidth="1"/>
    <col min="247" max="247" width="18.5703125" style="55" customWidth="1"/>
    <col min="248" max="248" width="1.42578125" style="55" customWidth="1"/>
    <col min="249" max="249" width="30.5703125" style="55" customWidth="1"/>
    <col min="250" max="254" width="10.5703125" style="55" customWidth="1"/>
    <col min="255" max="500" width="11.42578125" style="55"/>
    <col min="501" max="501" width="0.140625" style="55" customWidth="1"/>
    <col min="502" max="502" width="2.5703125" style="55" customWidth="1"/>
    <col min="503" max="503" width="18.5703125" style="55" customWidth="1"/>
    <col min="504" max="504" width="1.42578125" style="55" customWidth="1"/>
    <col min="505" max="505" width="30.5703125" style="55" customWidth="1"/>
    <col min="506" max="510" width="10.5703125" style="55" customWidth="1"/>
    <col min="511" max="756" width="11.42578125" style="55"/>
    <col min="757" max="757" width="0.140625" style="55" customWidth="1"/>
    <col min="758" max="758" width="2.5703125" style="55" customWidth="1"/>
    <col min="759" max="759" width="18.5703125" style="55" customWidth="1"/>
    <col min="760" max="760" width="1.42578125" style="55" customWidth="1"/>
    <col min="761" max="761" width="30.5703125" style="55" customWidth="1"/>
    <col min="762" max="766" width="10.5703125" style="55" customWidth="1"/>
    <col min="767" max="1012" width="11.42578125" style="55"/>
    <col min="1013" max="1013" width="0.140625" style="55" customWidth="1"/>
    <col min="1014" max="1014" width="2.5703125" style="55" customWidth="1"/>
    <col min="1015" max="1015" width="18.5703125" style="55" customWidth="1"/>
    <col min="1016" max="1016" width="1.42578125" style="55" customWidth="1"/>
    <col min="1017" max="1017" width="30.5703125" style="55" customWidth="1"/>
    <col min="1018" max="1022" width="10.5703125" style="55" customWidth="1"/>
    <col min="1023" max="1268" width="11.42578125" style="55"/>
    <col min="1269" max="1269" width="0.140625" style="55" customWidth="1"/>
    <col min="1270" max="1270" width="2.5703125" style="55" customWidth="1"/>
    <col min="1271" max="1271" width="18.5703125" style="55" customWidth="1"/>
    <col min="1272" max="1272" width="1.42578125" style="55" customWidth="1"/>
    <col min="1273" max="1273" width="30.5703125" style="55" customWidth="1"/>
    <col min="1274" max="1278" width="10.5703125" style="55" customWidth="1"/>
    <col min="1279" max="1524" width="11.42578125" style="55"/>
    <col min="1525" max="1525" width="0.140625" style="55" customWidth="1"/>
    <col min="1526" max="1526" width="2.5703125" style="55" customWidth="1"/>
    <col min="1527" max="1527" width="18.5703125" style="55" customWidth="1"/>
    <col min="1528" max="1528" width="1.42578125" style="55" customWidth="1"/>
    <col min="1529" max="1529" width="30.5703125" style="55" customWidth="1"/>
    <col min="1530" max="1534" width="10.5703125" style="55" customWidth="1"/>
    <col min="1535" max="1780" width="11.42578125" style="55"/>
    <col min="1781" max="1781" width="0.140625" style="55" customWidth="1"/>
    <col min="1782" max="1782" width="2.5703125" style="55" customWidth="1"/>
    <col min="1783" max="1783" width="18.5703125" style="55" customWidth="1"/>
    <col min="1784" max="1784" width="1.42578125" style="55" customWidth="1"/>
    <col min="1785" max="1785" width="30.5703125" style="55" customWidth="1"/>
    <col min="1786" max="1790" width="10.5703125" style="55" customWidth="1"/>
    <col min="1791" max="2036" width="11.42578125" style="55"/>
    <col min="2037" max="2037" width="0.140625" style="55" customWidth="1"/>
    <col min="2038" max="2038" width="2.5703125" style="55" customWidth="1"/>
    <col min="2039" max="2039" width="18.5703125" style="55" customWidth="1"/>
    <col min="2040" max="2040" width="1.42578125" style="55" customWidth="1"/>
    <col min="2041" max="2041" width="30.5703125" style="55" customWidth="1"/>
    <col min="2042" max="2046" width="10.5703125" style="55" customWidth="1"/>
    <col min="2047" max="2292" width="11.42578125" style="55"/>
    <col min="2293" max="2293" width="0.140625" style="55" customWidth="1"/>
    <col min="2294" max="2294" width="2.5703125" style="55" customWidth="1"/>
    <col min="2295" max="2295" width="18.5703125" style="55" customWidth="1"/>
    <col min="2296" max="2296" width="1.42578125" style="55" customWidth="1"/>
    <col min="2297" max="2297" width="30.5703125" style="55" customWidth="1"/>
    <col min="2298" max="2302" width="10.5703125" style="55" customWidth="1"/>
    <col min="2303" max="2548" width="11.42578125" style="55"/>
    <col min="2549" max="2549" width="0.140625" style="55" customWidth="1"/>
    <col min="2550" max="2550" width="2.5703125" style="55" customWidth="1"/>
    <col min="2551" max="2551" width="18.5703125" style="55" customWidth="1"/>
    <col min="2552" max="2552" width="1.42578125" style="55" customWidth="1"/>
    <col min="2553" max="2553" width="30.5703125" style="55" customWidth="1"/>
    <col min="2554" max="2558" width="10.5703125" style="55" customWidth="1"/>
    <col min="2559" max="2804" width="11.42578125" style="55"/>
    <col min="2805" max="2805" width="0.140625" style="55" customWidth="1"/>
    <col min="2806" max="2806" width="2.5703125" style="55" customWidth="1"/>
    <col min="2807" max="2807" width="18.5703125" style="55" customWidth="1"/>
    <col min="2808" max="2808" width="1.42578125" style="55" customWidth="1"/>
    <col min="2809" max="2809" width="30.5703125" style="55" customWidth="1"/>
    <col min="2810" max="2814" width="10.5703125" style="55" customWidth="1"/>
    <col min="2815" max="3060" width="11.42578125" style="55"/>
    <col min="3061" max="3061" width="0.140625" style="55" customWidth="1"/>
    <col min="3062" max="3062" width="2.5703125" style="55" customWidth="1"/>
    <col min="3063" max="3063" width="18.5703125" style="55" customWidth="1"/>
    <col min="3064" max="3064" width="1.42578125" style="55" customWidth="1"/>
    <col min="3065" max="3065" width="30.5703125" style="55" customWidth="1"/>
    <col min="3066" max="3070" width="10.5703125" style="55" customWidth="1"/>
    <col min="3071" max="3316" width="11.42578125" style="55"/>
    <col min="3317" max="3317" width="0.140625" style="55" customWidth="1"/>
    <col min="3318" max="3318" width="2.5703125" style="55" customWidth="1"/>
    <col min="3319" max="3319" width="18.5703125" style="55" customWidth="1"/>
    <col min="3320" max="3320" width="1.42578125" style="55" customWidth="1"/>
    <col min="3321" max="3321" width="30.5703125" style="55" customWidth="1"/>
    <col min="3322" max="3326" width="10.5703125" style="55" customWidth="1"/>
    <col min="3327" max="3572" width="11.42578125" style="55"/>
    <col min="3573" max="3573" width="0.140625" style="55" customWidth="1"/>
    <col min="3574" max="3574" width="2.5703125" style="55" customWidth="1"/>
    <col min="3575" max="3575" width="18.5703125" style="55" customWidth="1"/>
    <col min="3576" max="3576" width="1.42578125" style="55" customWidth="1"/>
    <col min="3577" max="3577" width="30.5703125" style="55" customWidth="1"/>
    <col min="3578" max="3582" width="10.5703125" style="55" customWidth="1"/>
    <col min="3583" max="3828" width="11.42578125" style="55"/>
    <col min="3829" max="3829" width="0.140625" style="55" customWidth="1"/>
    <col min="3830" max="3830" width="2.5703125" style="55" customWidth="1"/>
    <col min="3831" max="3831" width="18.5703125" style="55" customWidth="1"/>
    <col min="3832" max="3832" width="1.42578125" style="55" customWidth="1"/>
    <col min="3833" max="3833" width="30.5703125" style="55" customWidth="1"/>
    <col min="3834" max="3838" width="10.5703125" style="55" customWidth="1"/>
    <col min="3839" max="4084" width="11.42578125" style="55"/>
    <col min="4085" max="4085" width="0.140625" style="55" customWidth="1"/>
    <col min="4086" max="4086" width="2.5703125" style="55" customWidth="1"/>
    <col min="4087" max="4087" width="18.5703125" style="55" customWidth="1"/>
    <col min="4088" max="4088" width="1.42578125" style="55" customWidth="1"/>
    <col min="4089" max="4089" width="30.5703125" style="55" customWidth="1"/>
    <col min="4090" max="4094" width="10.5703125" style="55" customWidth="1"/>
    <col min="4095" max="4340" width="11.42578125" style="55"/>
    <col min="4341" max="4341" width="0.140625" style="55" customWidth="1"/>
    <col min="4342" max="4342" width="2.5703125" style="55" customWidth="1"/>
    <col min="4343" max="4343" width="18.5703125" style="55" customWidth="1"/>
    <col min="4344" max="4344" width="1.42578125" style="55" customWidth="1"/>
    <col min="4345" max="4345" width="30.5703125" style="55" customWidth="1"/>
    <col min="4346" max="4350" width="10.5703125" style="55" customWidth="1"/>
    <col min="4351" max="4596" width="11.42578125" style="55"/>
    <col min="4597" max="4597" width="0.140625" style="55" customWidth="1"/>
    <col min="4598" max="4598" width="2.5703125" style="55" customWidth="1"/>
    <col min="4599" max="4599" width="18.5703125" style="55" customWidth="1"/>
    <col min="4600" max="4600" width="1.42578125" style="55" customWidth="1"/>
    <col min="4601" max="4601" width="30.5703125" style="55" customWidth="1"/>
    <col min="4602" max="4606" width="10.5703125" style="55" customWidth="1"/>
    <col min="4607" max="4852" width="11.42578125" style="55"/>
    <col min="4853" max="4853" width="0.140625" style="55" customWidth="1"/>
    <col min="4854" max="4854" width="2.5703125" style="55" customWidth="1"/>
    <col min="4855" max="4855" width="18.5703125" style="55" customWidth="1"/>
    <col min="4856" max="4856" width="1.42578125" style="55" customWidth="1"/>
    <col min="4857" max="4857" width="30.5703125" style="55" customWidth="1"/>
    <col min="4858" max="4862" width="10.5703125" style="55" customWidth="1"/>
    <col min="4863" max="5108" width="11.42578125" style="55"/>
    <col min="5109" max="5109" width="0.140625" style="55" customWidth="1"/>
    <col min="5110" max="5110" width="2.5703125" style="55" customWidth="1"/>
    <col min="5111" max="5111" width="18.5703125" style="55" customWidth="1"/>
    <col min="5112" max="5112" width="1.42578125" style="55" customWidth="1"/>
    <col min="5113" max="5113" width="30.5703125" style="55" customWidth="1"/>
    <col min="5114" max="5118" width="10.5703125" style="55" customWidth="1"/>
    <col min="5119" max="5364" width="11.42578125" style="55"/>
    <col min="5365" max="5365" width="0.140625" style="55" customWidth="1"/>
    <col min="5366" max="5366" width="2.5703125" style="55" customWidth="1"/>
    <col min="5367" max="5367" width="18.5703125" style="55" customWidth="1"/>
    <col min="5368" max="5368" width="1.42578125" style="55" customWidth="1"/>
    <col min="5369" max="5369" width="30.5703125" style="55" customWidth="1"/>
    <col min="5370" max="5374" width="10.5703125" style="55" customWidth="1"/>
    <col min="5375" max="5620" width="11.42578125" style="55"/>
    <col min="5621" max="5621" width="0.140625" style="55" customWidth="1"/>
    <col min="5622" max="5622" width="2.5703125" style="55" customWidth="1"/>
    <col min="5623" max="5623" width="18.5703125" style="55" customWidth="1"/>
    <col min="5624" max="5624" width="1.42578125" style="55" customWidth="1"/>
    <col min="5625" max="5625" width="30.5703125" style="55" customWidth="1"/>
    <col min="5626" max="5630" width="10.5703125" style="55" customWidth="1"/>
    <col min="5631" max="5876" width="11.42578125" style="55"/>
    <col min="5877" max="5877" width="0.140625" style="55" customWidth="1"/>
    <col min="5878" max="5878" width="2.5703125" style="55" customWidth="1"/>
    <col min="5879" max="5879" width="18.5703125" style="55" customWidth="1"/>
    <col min="5880" max="5880" width="1.42578125" style="55" customWidth="1"/>
    <col min="5881" max="5881" width="30.5703125" style="55" customWidth="1"/>
    <col min="5882" max="5886" width="10.5703125" style="55" customWidth="1"/>
    <col min="5887" max="6132" width="11.42578125" style="55"/>
    <col min="6133" max="6133" width="0.140625" style="55" customWidth="1"/>
    <col min="6134" max="6134" width="2.5703125" style="55" customWidth="1"/>
    <col min="6135" max="6135" width="18.5703125" style="55" customWidth="1"/>
    <col min="6136" max="6136" width="1.42578125" style="55" customWidth="1"/>
    <col min="6137" max="6137" width="30.5703125" style="55" customWidth="1"/>
    <col min="6138" max="6142" width="10.5703125" style="55" customWidth="1"/>
    <col min="6143" max="6388" width="11.42578125" style="55"/>
    <col min="6389" max="6389" width="0.140625" style="55" customWidth="1"/>
    <col min="6390" max="6390" width="2.5703125" style="55" customWidth="1"/>
    <col min="6391" max="6391" width="18.5703125" style="55" customWidth="1"/>
    <col min="6392" max="6392" width="1.42578125" style="55" customWidth="1"/>
    <col min="6393" max="6393" width="30.5703125" style="55" customWidth="1"/>
    <col min="6394" max="6398" width="10.5703125" style="55" customWidth="1"/>
    <col min="6399" max="6644" width="11.42578125" style="55"/>
    <col min="6645" max="6645" width="0.140625" style="55" customWidth="1"/>
    <col min="6646" max="6646" width="2.5703125" style="55" customWidth="1"/>
    <col min="6647" max="6647" width="18.5703125" style="55" customWidth="1"/>
    <col min="6648" max="6648" width="1.42578125" style="55" customWidth="1"/>
    <col min="6649" max="6649" width="30.5703125" style="55" customWidth="1"/>
    <col min="6650" max="6654" width="10.5703125" style="55" customWidth="1"/>
    <col min="6655" max="6900" width="11.42578125" style="55"/>
    <col min="6901" max="6901" width="0.140625" style="55" customWidth="1"/>
    <col min="6902" max="6902" width="2.5703125" style="55" customWidth="1"/>
    <col min="6903" max="6903" width="18.5703125" style="55" customWidth="1"/>
    <col min="6904" max="6904" width="1.42578125" style="55" customWidth="1"/>
    <col min="6905" max="6905" width="30.5703125" style="55" customWidth="1"/>
    <col min="6906" max="6910" width="10.5703125" style="55" customWidth="1"/>
    <col min="6911" max="7156" width="11.42578125" style="55"/>
    <col min="7157" max="7157" width="0.140625" style="55" customWidth="1"/>
    <col min="7158" max="7158" width="2.5703125" style="55" customWidth="1"/>
    <col min="7159" max="7159" width="18.5703125" style="55" customWidth="1"/>
    <col min="7160" max="7160" width="1.42578125" style="55" customWidth="1"/>
    <col min="7161" max="7161" width="30.5703125" style="55" customWidth="1"/>
    <col min="7162" max="7166" width="10.5703125" style="55" customWidth="1"/>
    <col min="7167" max="7412" width="11.42578125" style="55"/>
    <col min="7413" max="7413" width="0.140625" style="55" customWidth="1"/>
    <col min="7414" max="7414" width="2.5703125" style="55" customWidth="1"/>
    <col min="7415" max="7415" width="18.5703125" style="55" customWidth="1"/>
    <col min="7416" max="7416" width="1.42578125" style="55" customWidth="1"/>
    <col min="7417" max="7417" width="30.5703125" style="55" customWidth="1"/>
    <col min="7418" max="7422" width="10.5703125" style="55" customWidth="1"/>
    <col min="7423" max="7668" width="11.42578125" style="55"/>
    <col min="7669" max="7669" width="0.140625" style="55" customWidth="1"/>
    <col min="7670" max="7670" width="2.5703125" style="55" customWidth="1"/>
    <col min="7671" max="7671" width="18.5703125" style="55" customWidth="1"/>
    <col min="7672" max="7672" width="1.42578125" style="55" customWidth="1"/>
    <col min="7673" max="7673" width="30.5703125" style="55" customWidth="1"/>
    <col min="7674" max="7678" width="10.5703125" style="55" customWidth="1"/>
    <col min="7679" max="7924" width="11.42578125" style="55"/>
    <col min="7925" max="7925" width="0.140625" style="55" customWidth="1"/>
    <col min="7926" max="7926" width="2.5703125" style="55" customWidth="1"/>
    <col min="7927" max="7927" width="18.5703125" style="55" customWidth="1"/>
    <col min="7928" max="7928" width="1.42578125" style="55" customWidth="1"/>
    <col min="7929" max="7929" width="30.5703125" style="55" customWidth="1"/>
    <col min="7930" max="7934" width="10.5703125" style="55" customWidth="1"/>
    <col min="7935" max="8180" width="11.42578125" style="55"/>
    <col min="8181" max="8181" width="0.140625" style="55" customWidth="1"/>
    <col min="8182" max="8182" width="2.5703125" style="55" customWidth="1"/>
    <col min="8183" max="8183" width="18.5703125" style="55" customWidth="1"/>
    <col min="8184" max="8184" width="1.42578125" style="55" customWidth="1"/>
    <col min="8185" max="8185" width="30.5703125" style="55" customWidth="1"/>
    <col min="8186" max="8190" width="10.5703125" style="55" customWidth="1"/>
    <col min="8191" max="8436" width="11.42578125" style="55"/>
    <col min="8437" max="8437" width="0.140625" style="55" customWidth="1"/>
    <col min="8438" max="8438" width="2.5703125" style="55" customWidth="1"/>
    <col min="8439" max="8439" width="18.5703125" style="55" customWidth="1"/>
    <col min="8440" max="8440" width="1.42578125" style="55" customWidth="1"/>
    <col min="8441" max="8441" width="30.5703125" style="55" customWidth="1"/>
    <col min="8442" max="8446" width="10.5703125" style="55" customWidth="1"/>
    <col min="8447" max="8692" width="11.42578125" style="55"/>
    <col min="8693" max="8693" width="0.140625" style="55" customWidth="1"/>
    <col min="8694" max="8694" width="2.5703125" style="55" customWidth="1"/>
    <col min="8695" max="8695" width="18.5703125" style="55" customWidth="1"/>
    <col min="8696" max="8696" width="1.42578125" style="55" customWidth="1"/>
    <col min="8697" max="8697" width="30.5703125" style="55" customWidth="1"/>
    <col min="8698" max="8702" width="10.5703125" style="55" customWidth="1"/>
    <col min="8703" max="8948" width="11.42578125" style="55"/>
    <col min="8949" max="8949" width="0.140625" style="55" customWidth="1"/>
    <col min="8950" max="8950" width="2.5703125" style="55" customWidth="1"/>
    <col min="8951" max="8951" width="18.5703125" style="55" customWidth="1"/>
    <col min="8952" max="8952" width="1.42578125" style="55" customWidth="1"/>
    <col min="8953" max="8953" width="30.5703125" style="55" customWidth="1"/>
    <col min="8954" max="8958" width="10.5703125" style="55" customWidth="1"/>
    <col min="8959" max="9204" width="11.42578125" style="55"/>
    <col min="9205" max="9205" width="0.140625" style="55" customWidth="1"/>
    <col min="9206" max="9206" width="2.5703125" style="55" customWidth="1"/>
    <col min="9207" max="9207" width="18.5703125" style="55" customWidth="1"/>
    <col min="9208" max="9208" width="1.42578125" style="55" customWidth="1"/>
    <col min="9209" max="9209" width="30.5703125" style="55" customWidth="1"/>
    <col min="9210" max="9214" width="10.5703125" style="55" customWidth="1"/>
    <col min="9215" max="9460" width="11.42578125" style="55"/>
    <col min="9461" max="9461" width="0.140625" style="55" customWidth="1"/>
    <col min="9462" max="9462" width="2.5703125" style="55" customWidth="1"/>
    <col min="9463" max="9463" width="18.5703125" style="55" customWidth="1"/>
    <col min="9464" max="9464" width="1.42578125" style="55" customWidth="1"/>
    <col min="9465" max="9465" width="30.5703125" style="55" customWidth="1"/>
    <col min="9466" max="9470" width="10.5703125" style="55" customWidth="1"/>
    <col min="9471" max="9716" width="11.42578125" style="55"/>
    <col min="9717" max="9717" width="0.140625" style="55" customWidth="1"/>
    <col min="9718" max="9718" width="2.5703125" style="55" customWidth="1"/>
    <col min="9719" max="9719" width="18.5703125" style="55" customWidth="1"/>
    <col min="9720" max="9720" width="1.42578125" style="55" customWidth="1"/>
    <col min="9721" max="9721" width="30.5703125" style="55" customWidth="1"/>
    <col min="9722" max="9726" width="10.5703125" style="55" customWidth="1"/>
    <col min="9727" max="9972" width="11.42578125" style="55"/>
    <col min="9973" max="9973" width="0.140625" style="55" customWidth="1"/>
    <col min="9974" max="9974" width="2.5703125" style="55" customWidth="1"/>
    <col min="9975" max="9975" width="18.5703125" style="55" customWidth="1"/>
    <col min="9976" max="9976" width="1.42578125" style="55" customWidth="1"/>
    <col min="9977" max="9977" width="30.5703125" style="55" customWidth="1"/>
    <col min="9978" max="9982" width="10.5703125" style="55" customWidth="1"/>
    <col min="9983" max="10228" width="11.42578125" style="55"/>
    <col min="10229" max="10229" width="0.140625" style="55" customWidth="1"/>
    <col min="10230" max="10230" width="2.5703125" style="55" customWidth="1"/>
    <col min="10231" max="10231" width="18.5703125" style="55" customWidth="1"/>
    <col min="10232" max="10232" width="1.42578125" style="55" customWidth="1"/>
    <col min="10233" max="10233" width="30.5703125" style="55" customWidth="1"/>
    <col min="10234" max="10238" width="10.5703125" style="55" customWidth="1"/>
    <col min="10239" max="10484" width="11.42578125" style="55"/>
    <col min="10485" max="10485" width="0.140625" style="55" customWidth="1"/>
    <col min="10486" max="10486" width="2.5703125" style="55" customWidth="1"/>
    <col min="10487" max="10487" width="18.5703125" style="55" customWidth="1"/>
    <col min="10488" max="10488" width="1.42578125" style="55" customWidth="1"/>
    <col min="10489" max="10489" width="30.5703125" style="55" customWidth="1"/>
    <col min="10490" max="10494" width="10.5703125" style="55" customWidth="1"/>
    <col min="10495" max="10740" width="11.42578125" style="55"/>
    <col min="10741" max="10741" width="0.140625" style="55" customWidth="1"/>
    <col min="10742" max="10742" width="2.5703125" style="55" customWidth="1"/>
    <col min="10743" max="10743" width="18.5703125" style="55" customWidth="1"/>
    <col min="10744" max="10744" width="1.42578125" style="55" customWidth="1"/>
    <col min="10745" max="10745" width="30.5703125" style="55" customWidth="1"/>
    <col min="10746" max="10750" width="10.5703125" style="55" customWidth="1"/>
    <col min="10751" max="10996" width="11.42578125" style="55"/>
    <col min="10997" max="10997" width="0.140625" style="55" customWidth="1"/>
    <col min="10998" max="10998" width="2.5703125" style="55" customWidth="1"/>
    <col min="10999" max="10999" width="18.5703125" style="55" customWidth="1"/>
    <col min="11000" max="11000" width="1.42578125" style="55" customWidth="1"/>
    <col min="11001" max="11001" width="30.5703125" style="55" customWidth="1"/>
    <col min="11002" max="11006" width="10.5703125" style="55" customWidth="1"/>
    <col min="11007" max="11252" width="11.42578125" style="55"/>
    <col min="11253" max="11253" width="0.140625" style="55" customWidth="1"/>
    <col min="11254" max="11254" width="2.5703125" style="55" customWidth="1"/>
    <col min="11255" max="11255" width="18.5703125" style="55" customWidth="1"/>
    <col min="11256" max="11256" width="1.42578125" style="55" customWidth="1"/>
    <col min="11257" max="11257" width="30.5703125" style="55" customWidth="1"/>
    <col min="11258" max="11262" width="10.5703125" style="55" customWidth="1"/>
    <col min="11263" max="11508" width="11.42578125" style="55"/>
    <col min="11509" max="11509" width="0.140625" style="55" customWidth="1"/>
    <col min="11510" max="11510" width="2.5703125" style="55" customWidth="1"/>
    <col min="11511" max="11511" width="18.5703125" style="55" customWidth="1"/>
    <col min="11512" max="11512" width="1.42578125" style="55" customWidth="1"/>
    <col min="11513" max="11513" width="30.5703125" style="55" customWidth="1"/>
    <col min="11514" max="11518" width="10.5703125" style="55" customWidth="1"/>
    <col min="11519" max="11764" width="11.42578125" style="55"/>
    <col min="11765" max="11765" width="0.140625" style="55" customWidth="1"/>
    <col min="11766" max="11766" width="2.5703125" style="55" customWidth="1"/>
    <col min="11767" max="11767" width="18.5703125" style="55" customWidth="1"/>
    <col min="11768" max="11768" width="1.42578125" style="55" customWidth="1"/>
    <col min="11769" max="11769" width="30.5703125" style="55" customWidth="1"/>
    <col min="11770" max="11774" width="10.5703125" style="55" customWidth="1"/>
    <col min="11775" max="12020" width="11.42578125" style="55"/>
    <col min="12021" max="12021" width="0.140625" style="55" customWidth="1"/>
    <col min="12022" max="12022" width="2.5703125" style="55" customWidth="1"/>
    <col min="12023" max="12023" width="18.5703125" style="55" customWidth="1"/>
    <col min="12024" max="12024" width="1.42578125" style="55" customWidth="1"/>
    <col min="12025" max="12025" width="30.5703125" style="55" customWidth="1"/>
    <col min="12026" max="12030" width="10.5703125" style="55" customWidth="1"/>
    <col min="12031" max="12276" width="11.42578125" style="55"/>
    <col min="12277" max="12277" width="0.140625" style="55" customWidth="1"/>
    <col min="12278" max="12278" width="2.5703125" style="55" customWidth="1"/>
    <col min="12279" max="12279" width="18.5703125" style="55" customWidth="1"/>
    <col min="12280" max="12280" width="1.42578125" style="55" customWidth="1"/>
    <col min="12281" max="12281" width="30.5703125" style="55" customWidth="1"/>
    <col min="12282" max="12286" width="10.5703125" style="55" customWidth="1"/>
    <col min="12287" max="12532" width="11.42578125" style="55"/>
    <col min="12533" max="12533" width="0.140625" style="55" customWidth="1"/>
    <col min="12534" max="12534" width="2.5703125" style="55" customWidth="1"/>
    <col min="12535" max="12535" width="18.5703125" style="55" customWidth="1"/>
    <col min="12536" max="12536" width="1.42578125" style="55" customWidth="1"/>
    <col min="12537" max="12537" width="30.5703125" style="55" customWidth="1"/>
    <col min="12538" max="12542" width="10.5703125" style="55" customWidth="1"/>
    <col min="12543" max="12788" width="11.42578125" style="55"/>
    <col min="12789" max="12789" width="0.140625" style="55" customWidth="1"/>
    <col min="12790" max="12790" width="2.5703125" style="55" customWidth="1"/>
    <col min="12791" max="12791" width="18.5703125" style="55" customWidth="1"/>
    <col min="12792" max="12792" width="1.42578125" style="55" customWidth="1"/>
    <col min="12793" max="12793" width="30.5703125" style="55" customWidth="1"/>
    <col min="12794" max="12798" width="10.5703125" style="55" customWidth="1"/>
    <col min="12799" max="13044" width="11.42578125" style="55"/>
    <col min="13045" max="13045" width="0.140625" style="55" customWidth="1"/>
    <col min="13046" max="13046" width="2.5703125" style="55" customWidth="1"/>
    <col min="13047" max="13047" width="18.5703125" style="55" customWidth="1"/>
    <col min="13048" max="13048" width="1.42578125" style="55" customWidth="1"/>
    <col min="13049" max="13049" width="30.5703125" style="55" customWidth="1"/>
    <col min="13050" max="13054" width="10.5703125" style="55" customWidth="1"/>
    <col min="13055" max="13300" width="11.42578125" style="55"/>
    <col min="13301" max="13301" width="0.140625" style="55" customWidth="1"/>
    <col min="13302" max="13302" width="2.5703125" style="55" customWidth="1"/>
    <col min="13303" max="13303" width="18.5703125" style="55" customWidth="1"/>
    <col min="13304" max="13304" width="1.42578125" style="55" customWidth="1"/>
    <col min="13305" max="13305" width="30.5703125" style="55" customWidth="1"/>
    <col min="13306" max="13310" width="10.5703125" style="55" customWidth="1"/>
    <col min="13311" max="13556" width="11.42578125" style="55"/>
    <col min="13557" max="13557" width="0.140625" style="55" customWidth="1"/>
    <col min="13558" max="13558" width="2.5703125" style="55" customWidth="1"/>
    <col min="13559" max="13559" width="18.5703125" style="55" customWidth="1"/>
    <col min="13560" max="13560" width="1.42578125" style="55" customWidth="1"/>
    <col min="13561" max="13561" width="30.5703125" style="55" customWidth="1"/>
    <col min="13562" max="13566" width="10.5703125" style="55" customWidth="1"/>
    <col min="13567" max="13812" width="11.42578125" style="55"/>
    <col min="13813" max="13813" width="0.140625" style="55" customWidth="1"/>
    <col min="13814" max="13814" width="2.5703125" style="55" customWidth="1"/>
    <col min="13815" max="13815" width="18.5703125" style="55" customWidth="1"/>
    <col min="13816" max="13816" width="1.42578125" style="55" customWidth="1"/>
    <col min="13817" max="13817" width="30.5703125" style="55" customWidth="1"/>
    <col min="13818" max="13822" width="10.5703125" style="55" customWidth="1"/>
    <col min="13823" max="14068" width="11.42578125" style="55"/>
    <col min="14069" max="14069" width="0.140625" style="55" customWidth="1"/>
    <col min="14070" max="14070" width="2.5703125" style="55" customWidth="1"/>
    <col min="14071" max="14071" width="18.5703125" style="55" customWidth="1"/>
    <col min="14072" max="14072" width="1.42578125" style="55" customWidth="1"/>
    <col min="14073" max="14073" width="30.5703125" style="55" customWidth="1"/>
    <col min="14074" max="14078" width="10.5703125" style="55" customWidth="1"/>
    <col min="14079" max="14324" width="11.42578125" style="55"/>
    <col min="14325" max="14325" width="0.140625" style="55" customWidth="1"/>
    <col min="14326" max="14326" width="2.5703125" style="55" customWidth="1"/>
    <col min="14327" max="14327" width="18.5703125" style="55" customWidth="1"/>
    <col min="14328" max="14328" width="1.42578125" style="55" customWidth="1"/>
    <col min="14329" max="14329" width="30.5703125" style="55" customWidth="1"/>
    <col min="14330" max="14334" width="10.5703125" style="55" customWidth="1"/>
    <col min="14335" max="14580" width="11.42578125" style="55"/>
    <col min="14581" max="14581" width="0.140625" style="55" customWidth="1"/>
    <col min="14582" max="14582" width="2.5703125" style="55" customWidth="1"/>
    <col min="14583" max="14583" width="18.5703125" style="55" customWidth="1"/>
    <col min="14584" max="14584" width="1.42578125" style="55" customWidth="1"/>
    <col min="14585" max="14585" width="30.5703125" style="55" customWidth="1"/>
    <col min="14586" max="14590" width="10.5703125" style="55" customWidth="1"/>
    <col min="14591" max="14836" width="11.42578125" style="55"/>
    <col min="14837" max="14837" width="0.140625" style="55" customWidth="1"/>
    <col min="14838" max="14838" width="2.5703125" style="55" customWidth="1"/>
    <col min="14839" max="14839" width="18.5703125" style="55" customWidth="1"/>
    <col min="14840" max="14840" width="1.42578125" style="55" customWidth="1"/>
    <col min="14841" max="14841" width="30.5703125" style="55" customWidth="1"/>
    <col min="14842" max="14846" width="10.5703125" style="55" customWidth="1"/>
    <col min="14847" max="15092" width="11.42578125" style="55"/>
    <col min="15093" max="15093" width="0.140625" style="55" customWidth="1"/>
    <col min="15094" max="15094" width="2.5703125" style="55" customWidth="1"/>
    <col min="15095" max="15095" width="18.5703125" style="55" customWidth="1"/>
    <col min="15096" max="15096" width="1.42578125" style="55" customWidth="1"/>
    <col min="15097" max="15097" width="30.5703125" style="55" customWidth="1"/>
    <col min="15098" max="15102" width="10.5703125" style="55" customWidth="1"/>
    <col min="15103" max="15348" width="11.42578125" style="55"/>
    <col min="15349" max="15349" width="0.140625" style="55" customWidth="1"/>
    <col min="15350" max="15350" width="2.5703125" style="55" customWidth="1"/>
    <col min="15351" max="15351" width="18.5703125" style="55" customWidth="1"/>
    <col min="15352" max="15352" width="1.42578125" style="55" customWidth="1"/>
    <col min="15353" max="15353" width="30.5703125" style="55" customWidth="1"/>
    <col min="15354" max="15358" width="10.5703125" style="55" customWidth="1"/>
    <col min="15359" max="15604" width="11.42578125" style="55"/>
    <col min="15605" max="15605" width="0.140625" style="55" customWidth="1"/>
    <col min="15606" max="15606" width="2.5703125" style="55" customWidth="1"/>
    <col min="15607" max="15607" width="18.5703125" style="55" customWidth="1"/>
    <col min="15608" max="15608" width="1.42578125" style="55" customWidth="1"/>
    <col min="15609" max="15609" width="30.5703125" style="55" customWidth="1"/>
    <col min="15610" max="15614" width="10.5703125" style="55" customWidth="1"/>
    <col min="15615" max="15860" width="11.42578125" style="55"/>
    <col min="15861" max="15861" width="0.140625" style="55" customWidth="1"/>
    <col min="15862" max="15862" width="2.5703125" style="55" customWidth="1"/>
    <col min="15863" max="15863" width="18.5703125" style="55" customWidth="1"/>
    <col min="15864" max="15864" width="1.42578125" style="55" customWidth="1"/>
    <col min="15865" max="15865" width="30.5703125" style="55" customWidth="1"/>
    <col min="15866" max="15870" width="10.5703125" style="55" customWidth="1"/>
    <col min="15871" max="16116" width="11.42578125" style="55"/>
    <col min="16117" max="16117" width="0.140625" style="55" customWidth="1"/>
    <col min="16118" max="16118" width="2.5703125" style="55" customWidth="1"/>
    <col min="16119" max="16119" width="18.5703125" style="55" customWidth="1"/>
    <col min="16120" max="16120" width="1.42578125" style="55" customWidth="1"/>
    <col min="16121" max="16121" width="30.5703125" style="55" customWidth="1"/>
    <col min="16122" max="16126" width="10.570312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Septiembre 2022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32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5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88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105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36" customWidth="1"/>
    <col min="2" max="2" width="2.5703125" style="36" customWidth="1"/>
    <col min="3" max="3" width="23.5703125" style="36" customWidth="1"/>
    <col min="4" max="4" width="1.425781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5703125" style="35" customWidth="1"/>
    <col min="256" max="256" width="18.5703125" style="35" customWidth="1"/>
    <col min="257" max="257" width="1.425781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5703125" style="35" customWidth="1"/>
    <col min="512" max="512" width="18.5703125" style="35" customWidth="1"/>
    <col min="513" max="513" width="1.425781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5703125" style="35" customWidth="1"/>
    <col min="768" max="768" width="18.5703125" style="35" customWidth="1"/>
    <col min="769" max="769" width="1.425781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5703125" style="35" customWidth="1"/>
    <col min="1024" max="1024" width="18.5703125" style="35" customWidth="1"/>
    <col min="1025" max="1025" width="1.425781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5703125" style="35" customWidth="1"/>
    <col min="1280" max="1280" width="18.5703125" style="35" customWidth="1"/>
    <col min="1281" max="1281" width="1.425781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5703125" style="35" customWidth="1"/>
    <col min="1536" max="1536" width="18.5703125" style="35" customWidth="1"/>
    <col min="1537" max="1537" width="1.425781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5703125" style="35" customWidth="1"/>
    <col min="1792" max="1792" width="18.5703125" style="35" customWidth="1"/>
    <col min="1793" max="1793" width="1.425781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5703125" style="35" customWidth="1"/>
    <col min="2048" max="2048" width="18.5703125" style="35" customWidth="1"/>
    <col min="2049" max="2049" width="1.425781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5703125" style="35" customWidth="1"/>
    <col min="2304" max="2304" width="18.5703125" style="35" customWidth="1"/>
    <col min="2305" max="2305" width="1.425781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5703125" style="35" customWidth="1"/>
    <col min="2560" max="2560" width="18.5703125" style="35" customWidth="1"/>
    <col min="2561" max="2561" width="1.425781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5703125" style="35" customWidth="1"/>
    <col min="2816" max="2816" width="18.5703125" style="35" customWidth="1"/>
    <col min="2817" max="2817" width="1.425781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5703125" style="35" customWidth="1"/>
    <col min="3072" max="3072" width="18.5703125" style="35" customWidth="1"/>
    <col min="3073" max="3073" width="1.425781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5703125" style="35" customWidth="1"/>
    <col min="3328" max="3328" width="18.5703125" style="35" customWidth="1"/>
    <col min="3329" max="3329" width="1.425781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5703125" style="35" customWidth="1"/>
    <col min="3584" max="3584" width="18.5703125" style="35" customWidth="1"/>
    <col min="3585" max="3585" width="1.425781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5703125" style="35" customWidth="1"/>
    <col min="3840" max="3840" width="18.5703125" style="35" customWidth="1"/>
    <col min="3841" max="3841" width="1.425781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5703125" style="35" customWidth="1"/>
    <col min="4096" max="4096" width="18.5703125" style="35" customWidth="1"/>
    <col min="4097" max="4097" width="1.425781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5703125" style="35" customWidth="1"/>
    <col min="4352" max="4352" width="18.5703125" style="35" customWidth="1"/>
    <col min="4353" max="4353" width="1.425781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5703125" style="35" customWidth="1"/>
    <col min="4608" max="4608" width="18.5703125" style="35" customWidth="1"/>
    <col min="4609" max="4609" width="1.425781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5703125" style="35" customWidth="1"/>
    <col min="4864" max="4864" width="18.5703125" style="35" customWidth="1"/>
    <col min="4865" max="4865" width="1.425781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5703125" style="35" customWidth="1"/>
    <col min="5120" max="5120" width="18.5703125" style="35" customWidth="1"/>
    <col min="5121" max="5121" width="1.425781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5703125" style="35" customWidth="1"/>
    <col min="5376" max="5376" width="18.5703125" style="35" customWidth="1"/>
    <col min="5377" max="5377" width="1.425781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5703125" style="35" customWidth="1"/>
    <col min="5632" max="5632" width="18.5703125" style="35" customWidth="1"/>
    <col min="5633" max="5633" width="1.425781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5703125" style="35" customWidth="1"/>
    <col min="5888" max="5888" width="18.5703125" style="35" customWidth="1"/>
    <col min="5889" max="5889" width="1.425781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5703125" style="35" customWidth="1"/>
    <col min="6144" max="6144" width="18.5703125" style="35" customWidth="1"/>
    <col min="6145" max="6145" width="1.425781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5703125" style="35" customWidth="1"/>
    <col min="6400" max="6400" width="18.5703125" style="35" customWidth="1"/>
    <col min="6401" max="6401" width="1.425781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5703125" style="35" customWidth="1"/>
    <col min="6656" max="6656" width="18.5703125" style="35" customWidth="1"/>
    <col min="6657" max="6657" width="1.425781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5703125" style="35" customWidth="1"/>
    <col min="6912" max="6912" width="18.5703125" style="35" customWidth="1"/>
    <col min="6913" max="6913" width="1.425781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5703125" style="35" customWidth="1"/>
    <col min="7168" max="7168" width="18.5703125" style="35" customWidth="1"/>
    <col min="7169" max="7169" width="1.425781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5703125" style="35" customWidth="1"/>
    <col min="7424" max="7424" width="18.5703125" style="35" customWidth="1"/>
    <col min="7425" max="7425" width="1.425781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5703125" style="35" customWidth="1"/>
    <col min="7680" max="7680" width="18.5703125" style="35" customWidth="1"/>
    <col min="7681" max="7681" width="1.425781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5703125" style="35" customWidth="1"/>
    <col min="7936" max="7936" width="18.5703125" style="35" customWidth="1"/>
    <col min="7937" max="7937" width="1.425781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5703125" style="35" customWidth="1"/>
    <col min="8192" max="8192" width="18.5703125" style="35" customWidth="1"/>
    <col min="8193" max="8193" width="1.425781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5703125" style="35" customWidth="1"/>
    <col min="8448" max="8448" width="18.5703125" style="35" customWidth="1"/>
    <col min="8449" max="8449" width="1.425781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5703125" style="35" customWidth="1"/>
    <col min="8704" max="8704" width="18.5703125" style="35" customWidth="1"/>
    <col min="8705" max="8705" width="1.425781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5703125" style="35" customWidth="1"/>
    <col min="8960" max="8960" width="18.5703125" style="35" customWidth="1"/>
    <col min="8961" max="8961" width="1.425781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5703125" style="35" customWidth="1"/>
    <col min="9216" max="9216" width="18.5703125" style="35" customWidth="1"/>
    <col min="9217" max="9217" width="1.425781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5703125" style="35" customWidth="1"/>
    <col min="9472" max="9472" width="18.5703125" style="35" customWidth="1"/>
    <col min="9473" max="9473" width="1.425781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5703125" style="35" customWidth="1"/>
    <col min="9728" max="9728" width="18.5703125" style="35" customWidth="1"/>
    <col min="9729" max="9729" width="1.425781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5703125" style="35" customWidth="1"/>
    <col min="9984" max="9984" width="18.5703125" style="35" customWidth="1"/>
    <col min="9985" max="9985" width="1.425781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5703125" style="35" customWidth="1"/>
    <col min="10240" max="10240" width="18.5703125" style="35" customWidth="1"/>
    <col min="10241" max="10241" width="1.425781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5703125" style="35" customWidth="1"/>
    <col min="10496" max="10496" width="18.5703125" style="35" customWidth="1"/>
    <col min="10497" max="10497" width="1.425781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5703125" style="35" customWidth="1"/>
    <col min="10752" max="10752" width="18.5703125" style="35" customWidth="1"/>
    <col min="10753" max="10753" width="1.425781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5703125" style="35" customWidth="1"/>
    <col min="11008" max="11008" width="18.5703125" style="35" customWidth="1"/>
    <col min="11009" max="11009" width="1.425781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5703125" style="35" customWidth="1"/>
    <col min="11264" max="11264" width="18.5703125" style="35" customWidth="1"/>
    <col min="11265" max="11265" width="1.425781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5703125" style="35" customWidth="1"/>
    <col min="11520" max="11520" width="18.5703125" style="35" customWidth="1"/>
    <col min="11521" max="11521" width="1.425781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5703125" style="35" customWidth="1"/>
    <col min="11776" max="11776" width="18.5703125" style="35" customWidth="1"/>
    <col min="11777" max="11777" width="1.425781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5703125" style="35" customWidth="1"/>
    <col min="12032" max="12032" width="18.5703125" style="35" customWidth="1"/>
    <col min="12033" max="12033" width="1.425781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5703125" style="35" customWidth="1"/>
    <col min="12288" max="12288" width="18.5703125" style="35" customWidth="1"/>
    <col min="12289" max="12289" width="1.425781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5703125" style="35" customWidth="1"/>
    <col min="12544" max="12544" width="18.5703125" style="35" customWidth="1"/>
    <col min="12545" max="12545" width="1.425781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5703125" style="35" customWidth="1"/>
    <col min="12800" max="12800" width="18.5703125" style="35" customWidth="1"/>
    <col min="12801" max="12801" width="1.425781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5703125" style="35" customWidth="1"/>
    <col min="13056" max="13056" width="18.5703125" style="35" customWidth="1"/>
    <col min="13057" max="13057" width="1.425781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5703125" style="35" customWidth="1"/>
    <col min="13312" max="13312" width="18.5703125" style="35" customWidth="1"/>
    <col min="13313" max="13313" width="1.425781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5703125" style="35" customWidth="1"/>
    <col min="13568" max="13568" width="18.5703125" style="35" customWidth="1"/>
    <col min="13569" max="13569" width="1.425781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5703125" style="35" customWidth="1"/>
    <col min="13824" max="13824" width="18.5703125" style="35" customWidth="1"/>
    <col min="13825" max="13825" width="1.425781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5703125" style="35" customWidth="1"/>
    <col min="14080" max="14080" width="18.5703125" style="35" customWidth="1"/>
    <col min="14081" max="14081" width="1.425781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5703125" style="35" customWidth="1"/>
    <col min="14336" max="14336" width="18.5703125" style="35" customWidth="1"/>
    <col min="14337" max="14337" width="1.425781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5703125" style="35" customWidth="1"/>
    <col min="14592" max="14592" width="18.5703125" style="35" customWidth="1"/>
    <col min="14593" max="14593" width="1.425781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5703125" style="35" customWidth="1"/>
    <col min="14848" max="14848" width="18.5703125" style="35" customWidth="1"/>
    <col min="14849" max="14849" width="1.425781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5703125" style="35" customWidth="1"/>
    <col min="15104" max="15104" width="18.5703125" style="35" customWidth="1"/>
    <col min="15105" max="15105" width="1.425781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5703125" style="35" customWidth="1"/>
    <col min="15360" max="15360" width="18.5703125" style="35" customWidth="1"/>
    <col min="15361" max="15361" width="1.425781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5703125" style="35" customWidth="1"/>
    <col min="15616" max="15616" width="18.5703125" style="35" customWidth="1"/>
    <col min="15617" max="15617" width="1.425781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5703125" style="35" customWidth="1"/>
    <col min="15872" max="15872" width="18.5703125" style="35" customWidth="1"/>
    <col min="15873" max="15873" width="1.425781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5703125" style="35" customWidth="1"/>
    <col min="16128" max="16128" width="18.5703125" style="35" customWidth="1"/>
    <col min="16129" max="16129" width="1.425781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Septiembre 2022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35</v>
      </c>
      <c r="D7" s="44"/>
      <c r="E7" s="48"/>
    </row>
    <row r="8" spans="2:12" s="38" customFormat="1" ht="12.75" customHeight="1">
      <c r="B8" s="46"/>
      <c r="C8" s="204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4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6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4" t="s">
        <v>49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5703125" style="56" customWidth="1"/>
    <col min="3" max="3" width="23.5703125" style="56" customWidth="1"/>
    <col min="4" max="4" width="1.42578125" style="56" customWidth="1"/>
    <col min="5" max="5" width="105.5703125" style="56" customWidth="1"/>
    <col min="6" max="6" width="10.570312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5703125" style="55" customWidth="1"/>
    <col min="247" max="247" width="18.5703125" style="55" customWidth="1"/>
    <col min="248" max="248" width="1.42578125" style="55" customWidth="1"/>
    <col min="249" max="249" width="30.5703125" style="55" customWidth="1"/>
    <col min="250" max="254" width="10.5703125" style="55" customWidth="1"/>
    <col min="255" max="500" width="11.42578125" style="55"/>
    <col min="501" max="501" width="0.140625" style="55" customWidth="1"/>
    <col min="502" max="502" width="2.5703125" style="55" customWidth="1"/>
    <col min="503" max="503" width="18.5703125" style="55" customWidth="1"/>
    <col min="504" max="504" width="1.42578125" style="55" customWidth="1"/>
    <col min="505" max="505" width="30.5703125" style="55" customWidth="1"/>
    <col min="506" max="510" width="10.5703125" style="55" customWidth="1"/>
    <col min="511" max="756" width="11.42578125" style="55"/>
    <col min="757" max="757" width="0.140625" style="55" customWidth="1"/>
    <col min="758" max="758" width="2.5703125" style="55" customWidth="1"/>
    <col min="759" max="759" width="18.5703125" style="55" customWidth="1"/>
    <col min="760" max="760" width="1.42578125" style="55" customWidth="1"/>
    <col min="761" max="761" width="30.5703125" style="55" customWidth="1"/>
    <col min="762" max="766" width="10.5703125" style="55" customWidth="1"/>
    <col min="767" max="1012" width="11.42578125" style="55"/>
    <col min="1013" max="1013" width="0.140625" style="55" customWidth="1"/>
    <col min="1014" max="1014" width="2.5703125" style="55" customWidth="1"/>
    <col min="1015" max="1015" width="18.5703125" style="55" customWidth="1"/>
    <col min="1016" max="1016" width="1.42578125" style="55" customWidth="1"/>
    <col min="1017" max="1017" width="30.5703125" style="55" customWidth="1"/>
    <col min="1018" max="1022" width="10.5703125" style="55" customWidth="1"/>
    <col min="1023" max="1268" width="11.42578125" style="55"/>
    <col min="1269" max="1269" width="0.140625" style="55" customWidth="1"/>
    <col min="1270" max="1270" width="2.5703125" style="55" customWidth="1"/>
    <col min="1271" max="1271" width="18.5703125" style="55" customWidth="1"/>
    <col min="1272" max="1272" width="1.42578125" style="55" customWidth="1"/>
    <col min="1273" max="1273" width="30.5703125" style="55" customWidth="1"/>
    <col min="1274" max="1278" width="10.5703125" style="55" customWidth="1"/>
    <col min="1279" max="1524" width="11.42578125" style="55"/>
    <col min="1525" max="1525" width="0.140625" style="55" customWidth="1"/>
    <col min="1526" max="1526" width="2.5703125" style="55" customWidth="1"/>
    <col min="1527" max="1527" width="18.5703125" style="55" customWidth="1"/>
    <col min="1528" max="1528" width="1.42578125" style="55" customWidth="1"/>
    <col min="1529" max="1529" width="30.5703125" style="55" customWidth="1"/>
    <col min="1530" max="1534" width="10.5703125" style="55" customWidth="1"/>
    <col min="1535" max="1780" width="11.42578125" style="55"/>
    <col min="1781" max="1781" width="0.140625" style="55" customWidth="1"/>
    <col min="1782" max="1782" width="2.5703125" style="55" customWidth="1"/>
    <col min="1783" max="1783" width="18.5703125" style="55" customWidth="1"/>
    <col min="1784" max="1784" width="1.42578125" style="55" customWidth="1"/>
    <col min="1785" max="1785" width="30.5703125" style="55" customWidth="1"/>
    <col min="1786" max="1790" width="10.5703125" style="55" customWidth="1"/>
    <col min="1791" max="2036" width="11.42578125" style="55"/>
    <col min="2037" max="2037" width="0.140625" style="55" customWidth="1"/>
    <col min="2038" max="2038" width="2.5703125" style="55" customWidth="1"/>
    <col min="2039" max="2039" width="18.5703125" style="55" customWidth="1"/>
    <col min="2040" max="2040" width="1.42578125" style="55" customWidth="1"/>
    <col min="2041" max="2041" width="30.5703125" style="55" customWidth="1"/>
    <col min="2042" max="2046" width="10.5703125" style="55" customWidth="1"/>
    <col min="2047" max="2292" width="11.42578125" style="55"/>
    <col min="2293" max="2293" width="0.140625" style="55" customWidth="1"/>
    <col min="2294" max="2294" width="2.5703125" style="55" customWidth="1"/>
    <col min="2295" max="2295" width="18.5703125" style="55" customWidth="1"/>
    <col min="2296" max="2296" width="1.42578125" style="55" customWidth="1"/>
    <col min="2297" max="2297" width="30.5703125" style="55" customWidth="1"/>
    <col min="2298" max="2302" width="10.5703125" style="55" customWidth="1"/>
    <col min="2303" max="2548" width="11.42578125" style="55"/>
    <col min="2549" max="2549" width="0.140625" style="55" customWidth="1"/>
    <col min="2550" max="2550" width="2.5703125" style="55" customWidth="1"/>
    <col min="2551" max="2551" width="18.5703125" style="55" customWidth="1"/>
    <col min="2552" max="2552" width="1.42578125" style="55" customWidth="1"/>
    <col min="2553" max="2553" width="30.5703125" style="55" customWidth="1"/>
    <col min="2554" max="2558" width="10.5703125" style="55" customWidth="1"/>
    <col min="2559" max="2804" width="11.42578125" style="55"/>
    <col min="2805" max="2805" width="0.140625" style="55" customWidth="1"/>
    <col min="2806" max="2806" width="2.5703125" style="55" customWidth="1"/>
    <col min="2807" max="2807" width="18.5703125" style="55" customWidth="1"/>
    <col min="2808" max="2808" width="1.42578125" style="55" customWidth="1"/>
    <col min="2809" max="2809" width="30.5703125" style="55" customWidth="1"/>
    <col min="2810" max="2814" width="10.5703125" style="55" customWidth="1"/>
    <col min="2815" max="3060" width="11.42578125" style="55"/>
    <col min="3061" max="3061" width="0.140625" style="55" customWidth="1"/>
    <col min="3062" max="3062" width="2.5703125" style="55" customWidth="1"/>
    <col min="3063" max="3063" width="18.5703125" style="55" customWidth="1"/>
    <col min="3064" max="3064" width="1.42578125" style="55" customWidth="1"/>
    <col min="3065" max="3065" width="30.5703125" style="55" customWidth="1"/>
    <col min="3066" max="3070" width="10.5703125" style="55" customWidth="1"/>
    <col min="3071" max="3316" width="11.42578125" style="55"/>
    <col min="3317" max="3317" width="0.140625" style="55" customWidth="1"/>
    <col min="3318" max="3318" width="2.5703125" style="55" customWidth="1"/>
    <col min="3319" max="3319" width="18.5703125" style="55" customWidth="1"/>
    <col min="3320" max="3320" width="1.42578125" style="55" customWidth="1"/>
    <col min="3321" max="3321" width="30.5703125" style="55" customWidth="1"/>
    <col min="3322" max="3326" width="10.5703125" style="55" customWidth="1"/>
    <col min="3327" max="3572" width="11.42578125" style="55"/>
    <col min="3573" max="3573" width="0.140625" style="55" customWidth="1"/>
    <col min="3574" max="3574" width="2.5703125" style="55" customWidth="1"/>
    <col min="3575" max="3575" width="18.5703125" style="55" customWidth="1"/>
    <col min="3576" max="3576" width="1.42578125" style="55" customWidth="1"/>
    <col min="3577" max="3577" width="30.5703125" style="55" customWidth="1"/>
    <col min="3578" max="3582" width="10.5703125" style="55" customWidth="1"/>
    <col min="3583" max="3828" width="11.42578125" style="55"/>
    <col min="3829" max="3829" width="0.140625" style="55" customWidth="1"/>
    <col min="3830" max="3830" width="2.5703125" style="55" customWidth="1"/>
    <col min="3831" max="3831" width="18.5703125" style="55" customWidth="1"/>
    <col min="3832" max="3832" width="1.42578125" style="55" customWidth="1"/>
    <col min="3833" max="3833" width="30.5703125" style="55" customWidth="1"/>
    <col min="3834" max="3838" width="10.5703125" style="55" customWidth="1"/>
    <col min="3839" max="4084" width="11.42578125" style="55"/>
    <col min="4085" max="4085" width="0.140625" style="55" customWidth="1"/>
    <col min="4086" max="4086" width="2.5703125" style="55" customWidth="1"/>
    <col min="4087" max="4087" width="18.5703125" style="55" customWidth="1"/>
    <col min="4088" max="4088" width="1.42578125" style="55" customWidth="1"/>
    <col min="4089" max="4089" width="30.5703125" style="55" customWidth="1"/>
    <col min="4090" max="4094" width="10.5703125" style="55" customWidth="1"/>
    <col min="4095" max="4340" width="11.42578125" style="55"/>
    <col min="4341" max="4341" width="0.140625" style="55" customWidth="1"/>
    <col min="4342" max="4342" width="2.5703125" style="55" customWidth="1"/>
    <col min="4343" max="4343" width="18.5703125" style="55" customWidth="1"/>
    <col min="4344" max="4344" width="1.42578125" style="55" customWidth="1"/>
    <col min="4345" max="4345" width="30.5703125" style="55" customWidth="1"/>
    <col min="4346" max="4350" width="10.5703125" style="55" customWidth="1"/>
    <col min="4351" max="4596" width="11.42578125" style="55"/>
    <col min="4597" max="4597" width="0.140625" style="55" customWidth="1"/>
    <col min="4598" max="4598" width="2.5703125" style="55" customWidth="1"/>
    <col min="4599" max="4599" width="18.5703125" style="55" customWidth="1"/>
    <col min="4600" max="4600" width="1.42578125" style="55" customWidth="1"/>
    <col min="4601" max="4601" width="30.5703125" style="55" customWidth="1"/>
    <col min="4602" max="4606" width="10.5703125" style="55" customWidth="1"/>
    <col min="4607" max="4852" width="11.42578125" style="55"/>
    <col min="4853" max="4853" width="0.140625" style="55" customWidth="1"/>
    <col min="4854" max="4854" width="2.5703125" style="55" customWidth="1"/>
    <col min="4855" max="4855" width="18.5703125" style="55" customWidth="1"/>
    <col min="4856" max="4856" width="1.42578125" style="55" customWidth="1"/>
    <col min="4857" max="4857" width="30.5703125" style="55" customWidth="1"/>
    <col min="4858" max="4862" width="10.5703125" style="55" customWidth="1"/>
    <col min="4863" max="5108" width="11.42578125" style="55"/>
    <col min="5109" max="5109" width="0.140625" style="55" customWidth="1"/>
    <col min="5110" max="5110" width="2.5703125" style="55" customWidth="1"/>
    <col min="5111" max="5111" width="18.5703125" style="55" customWidth="1"/>
    <col min="5112" max="5112" width="1.42578125" style="55" customWidth="1"/>
    <col min="5113" max="5113" width="30.5703125" style="55" customWidth="1"/>
    <col min="5114" max="5118" width="10.5703125" style="55" customWidth="1"/>
    <col min="5119" max="5364" width="11.42578125" style="55"/>
    <col min="5365" max="5365" width="0.140625" style="55" customWidth="1"/>
    <col min="5366" max="5366" width="2.5703125" style="55" customWidth="1"/>
    <col min="5367" max="5367" width="18.5703125" style="55" customWidth="1"/>
    <col min="5368" max="5368" width="1.42578125" style="55" customWidth="1"/>
    <col min="5369" max="5369" width="30.5703125" style="55" customWidth="1"/>
    <col min="5370" max="5374" width="10.5703125" style="55" customWidth="1"/>
    <col min="5375" max="5620" width="11.42578125" style="55"/>
    <col min="5621" max="5621" width="0.140625" style="55" customWidth="1"/>
    <col min="5622" max="5622" width="2.5703125" style="55" customWidth="1"/>
    <col min="5623" max="5623" width="18.5703125" style="55" customWidth="1"/>
    <col min="5624" max="5624" width="1.42578125" style="55" customWidth="1"/>
    <col min="5625" max="5625" width="30.5703125" style="55" customWidth="1"/>
    <col min="5626" max="5630" width="10.5703125" style="55" customWidth="1"/>
    <col min="5631" max="5876" width="11.42578125" style="55"/>
    <col min="5877" max="5877" width="0.140625" style="55" customWidth="1"/>
    <col min="5878" max="5878" width="2.5703125" style="55" customWidth="1"/>
    <col min="5879" max="5879" width="18.5703125" style="55" customWidth="1"/>
    <col min="5880" max="5880" width="1.42578125" style="55" customWidth="1"/>
    <col min="5881" max="5881" width="30.5703125" style="55" customWidth="1"/>
    <col min="5882" max="5886" width="10.5703125" style="55" customWidth="1"/>
    <col min="5887" max="6132" width="11.42578125" style="55"/>
    <col min="6133" max="6133" width="0.140625" style="55" customWidth="1"/>
    <col min="6134" max="6134" width="2.5703125" style="55" customWidth="1"/>
    <col min="6135" max="6135" width="18.5703125" style="55" customWidth="1"/>
    <col min="6136" max="6136" width="1.42578125" style="55" customWidth="1"/>
    <col min="6137" max="6137" width="30.5703125" style="55" customWidth="1"/>
    <col min="6138" max="6142" width="10.5703125" style="55" customWidth="1"/>
    <col min="6143" max="6388" width="11.42578125" style="55"/>
    <col min="6389" max="6389" width="0.140625" style="55" customWidth="1"/>
    <col min="6390" max="6390" width="2.5703125" style="55" customWidth="1"/>
    <col min="6391" max="6391" width="18.5703125" style="55" customWidth="1"/>
    <col min="6392" max="6392" width="1.42578125" style="55" customWidth="1"/>
    <col min="6393" max="6393" width="30.5703125" style="55" customWidth="1"/>
    <col min="6394" max="6398" width="10.5703125" style="55" customWidth="1"/>
    <col min="6399" max="6644" width="11.42578125" style="55"/>
    <col min="6645" max="6645" width="0.140625" style="55" customWidth="1"/>
    <col min="6646" max="6646" width="2.5703125" style="55" customWidth="1"/>
    <col min="6647" max="6647" width="18.5703125" style="55" customWidth="1"/>
    <col min="6648" max="6648" width="1.42578125" style="55" customWidth="1"/>
    <col min="6649" max="6649" width="30.5703125" style="55" customWidth="1"/>
    <col min="6650" max="6654" width="10.5703125" style="55" customWidth="1"/>
    <col min="6655" max="6900" width="11.42578125" style="55"/>
    <col min="6901" max="6901" width="0.140625" style="55" customWidth="1"/>
    <col min="6902" max="6902" width="2.5703125" style="55" customWidth="1"/>
    <col min="6903" max="6903" width="18.5703125" style="55" customWidth="1"/>
    <col min="6904" max="6904" width="1.42578125" style="55" customWidth="1"/>
    <col min="6905" max="6905" width="30.5703125" style="55" customWidth="1"/>
    <col min="6906" max="6910" width="10.5703125" style="55" customWidth="1"/>
    <col min="6911" max="7156" width="11.42578125" style="55"/>
    <col min="7157" max="7157" width="0.140625" style="55" customWidth="1"/>
    <col min="7158" max="7158" width="2.5703125" style="55" customWidth="1"/>
    <col min="7159" max="7159" width="18.5703125" style="55" customWidth="1"/>
    <col min="7160" max="7160" width="1.42578125" style="55" customWidth="1"/>
    <col min="7161" max="7161" width="30.5703125" style="55" customWidth="1"/>
    <col min="7162" max="7166" width="10.5703125" style="55" customWidth="1"/>
    <col min="7167" max="7412" width="11.42578125" style="55"/>
    <col min="7413" max="7413" width="0.140625" style="55" customWidth="1"/>
    <col min="7414" max="7414" width="2.5703125" style="55" customWidth="1"/>
    <col min="7415" max="7415" width="18.5703125" style="55" customWidth="1"/>
    <col min="7416" max="7416" width="1.42578125" style="55" customWidth="1"/>
    <col min="7417" max="7417" width="30.5703125" style="55" customWidth="1"/>
    <col min="7418" max="7422" width="10.5703125" style="55" customWidth="1"/>
    <col min="7423" max="7668" width="11.42578125" style="55"/>
    <col min="7669" max="7669" width="0.140625" style="55" customWidth="1"/>
    <col min="7670" max="7670" width="2.5703125" style="55" customWidth="1"/>
    <col min="7671" max="7671" width="18.5703125" style="55" customWidth="1"/>
    <col min="7672" max="7672" width="1.42578125" style="55" customWidth="1"/>
    <col min="7673" max="7673" width="30.5703125" style="55" customWidth="1"/>
    <col min="7674" max="7678" width="10.5703125" style="55" customWidth="1"/>
    <col min="7679" max="7924" width="11.42578125" style="55"/>
    <col min="7925" max="7925" width="0.140625" style="55" customWidth="1"/>
    <col min="7926" max="7926" width="2.5703125" style="55" customWidth="1"/>
    <col min="7927" max="7927" width="18.5703125" style="55" customWidth="1"/>
    <col min="7928" max="7928" width="1.42578125" style="55" customWidth="1"/>
    <col min="7929" max="7929" width="30.5703125" style="55" customWidth="1"/>
    <col min="7930" max="7934" width="10.5703125" style="55" customWidth="1"/>
    <col min="7935" max="8180" width="11.42578125" style="55"/>
    <col min="8181" max="8181" width="0.140625" style="55" customWidth="1"/>
    <col min="8182" max="8182" width="2.5703125" style="55" customWidth="1"/>
    <col min="8183" max="8183" width="18.5703125" style="55" customWidth="1"/>
    <col min="8184" max="8184" width="1.42578125" style="55" customWidth="1"/>
    <col min="8185" max="8185" width="30.5703125" style="55" customWidth="1"/>
    <col min="8186" max="8190" width="10.5703125" style="55" customWidth="1"/>
    <col min="8191" max="8436" width="11.42578125" style="55"/>
    <col min="8437" max="8437" width="0.140625" style="55" customWidth="1"/>
    <col min="8438" max="8438" width="2.5703125" style="55" customWidth="1"/>
    <col min="8439" max="8439" width="18.5703125" style="55" customWidth="1"/>
    <col min="8440" max="8440" width="1.42578125" style="55" customWidth="1"/>
    <col min="8441" max="8441" width="30.5703125" style="55" customWidth="1"/>
    <col min="8442" max="8446" width="10.5703125" style="55" customWidth="1"/>
    <col min="8447" max="8692" width="11.42578125" style="55"/>
    <col min="8693" max="8693" width="0.140625" style="55" customWidth="1"/>
    <col min="8694" max="8694" width="2.5703125" style="55" customWidth="1"/>
    <col min="8695" max="8695" width="18.5703125" style="55" customWidth="1"/>
    <col min="8696" max="8696" width="1.42578125" style="55" customWidth="1"/>
    <col min="8697" max="8697" width="30.5703125" style="55" customWidth="1"/>
    <col min="8698" max="8702" width="10.5703125" style="55" customWidth="1"/>
    <col min="8703" max="8948" width="11.42578125" style="55"/>
    <col min="8949" max="8949" width="0.140625" style="55" customWidth="1"/>
    <col min="8950" max="8950" width="2.5703125" style="55" customWidth="1"/>
    <col min="8951" max="8951" width="18.5703125" style="55" customWidth="1"/>
    <col min="8952" max="8952" width="1.42578125" style="55" customWidth="1"/>
    <col min="8953" max="8953" width="30.5703125" style="55" customWidth="1"/>
    <col min="8954" max="8958" width="10.5703125" style="55" customWidth="1"/>
    <col min="8959" max="9204" width="11.42578125" style="55"/>
    <col min="9205" max="9205" width="0.140625" style="55" customWidth="1"/>
    <col min="9206" max="9206" width="2.5703125" style="55" customWidth="1"/>
    <col min="9207" max="9207" width="18.5703125" style="55" customWidth="1"/>
    <col min="9208" max="9208" width="1.42578125" style="55" customWidth="1"/>
    <col min="9209" max="9209" width="30.5703125" style="55" customWidth="1"/>
    <col min="9210" max="9214" width="10.5703125" style="55" customWidth="1"/>
    <col min="9215" max="9460" width="11.42578125" style="55"/>
    <col min="9461" max="9461" width="0.140625" style="55" customWidth="1"/>
    <col min="9462" max="9462" width="2.5703125" style="55" customWidth="1"/>
    <col min="9463" max="9463" width="18.5703125" style="55" customWidth="1"/>
    <col min="9464" max="9464" width="1.42578125" style="55" customWidth="1"/>
    <col min="9465" max="9465" width="30.5703125" style="55" customWidth="1"/>
    <col min="9466" max="9470" width="10.5703125" style="55" customWidth="1"/>
    <col min="9471" max="9716" width="11.42578125" style="55"/>
    <col min="9717" max="9717" width="0.140625" style="55" customWidth="1"/>
    <col min="9718" max="9718" width="2.5703125" style="55" customWidth="1"/>
    <col min="9719" max="9719" width="18.5703125" style="55" customWidth="1"/>
    <col min="9720" max="9720" width="1.42578125" style="55" customWidth="1"/>
    <col min="9721" max="9721" width="30.5703125" style="55" customWidth="1"/>
    <col min="9722" max="9726" width="10.5703125" style="55" customWidth="1"/>
    <col min="9727" max="9972" width="11.42578125" style="55"/>
    <col min="9973" max="9973" width="0.140625" style="55" customWidth="1"/>
    <col min="9974" max="9974" width="2.5703125" style="55" customWidth="1"/>
    <col min="9975" max="9975" width="18.5703125" style="55" customWidth="1"/>
    <col min="9976" max="9976" width="1.42578125" style="55" customWidth="1"/>
    <col min="9977" max="9977" width="30.5703125" style="55" customWidth="1"/>
    <col min="9978" max="9982" width="10.5703125" style="55" customWidth="1"/>
    <col min="9983" max="10228" width="11.42578125" style="55"/>
    <col min="10229" max="10229" width="0.140625" style="55" customWidth="1"/>
    <col min="10230" max="10230" width="2.5703125" style="55" customWidth="1"/>
    <col min="10231" max="10231" width="18.5703125" style="55" customWidth="1"/>
    <col min="10232" max="10232" width="1.42578125" style="55" customWidth="1"/>
    <col min="10233" max="10233" width="30.5703125" style="55" customWidth="1"/>
    <col min="10234" max="10238" width="10.5703125" style="55" customWidth="1"/>
    <col min="10239" max="10484" width="11.42578125" style="55"/>
    <col min="10485" max="10485" width="0.140625" style="55" customWidth="1"/>
    <col min="10486" max="10486" width="2.5703125" style="55" customWidth="1"/>
    <col min="10487" max="10487" width="18.5703125" style="55" customWidth="1"/>
    <col min="10488" max="10488" width="1.42578125" style="55" customWidth="1"/>
    <col min="10489" max="10489" width="30.5703125" style="55" customWidth="1"/>
    <col min="10490" max="10494" width="10.5703125" style="55" customWidth="1"/>
    <col min="10495" max="10740" width="11.42578125" style="55"/>
    <col min="10741" max="10741" width="0.140625" style="55" customWidth="1"/>
    <col min="10742" max="10742" width="2.5703125" style="55" customWidth="1"/>
    <col min="10743" max="10743" width="18.5703125" style="55" customWidth="1"/>
    <col min="10744" max="10744" width="1.42578125" style="55" customWidth="1"/>
    <col min="10745" max="10745" width="30.5703125" style="55" customWidth="1"/>
    <col min="10746" max="10750" width="10.5703125" style="55" customWidth="1"/>
    <col min="10751" max="10996" width="11.42578125" style="55"/>
    <col min="10997" max="10997" width="0.140625" style="55" customWidth="1"/>
    <col min="10998" max="10998" width="2.5703125" style="55" customWidth="1"/>
    <col min="10999" max="10999" width="18.5703125" style="55" customWidth="1"/>
    <col min="11000" max="11000" width="1.42578125" style="55" customWidth="1"/>
    <col min="11001" max="11001" width="30.5703125" style="55" customWidth="1"/>
    <col min="11002" max="11006" width="10.5703125" style="55" customWidth="1"/>
    <col min="11007" max="11252" width="11.42578125" style="55"/>
    <col min="11253" max="11253" width="0.140625" style="55" customWidth="1"/>
    <col min="11254" max="11254" width="2.5703125" style="55" customWidth="1"/>
    <col min="11255" max="11255" width="18.5703125" style="55" customWidth="1"/>
    <col min="11256" max="11256" width="1.42578125" style="55" customWidth="1"/>
    <col min="11257" max="11257" width="30.5703125" style="55" customWidth="1"/>
    <col min="11258" max="11262" width="10.5703125" style="55" customWidth="1"/>
    <col min="11263" max="11508" width="11.42578125" style="55"/>
    <col min="11509" max="11509" width="0.140625" style="55" customWidth="1"/>
    <col min="11510" max="11510" width="2.5703125" style="55" customWidth="1"/>
    <col min="11511" max="11511" width="18.5703125" style="55" customWidth="1"/>
    <col min="11512" max="11512" width="1.42578125" style="55" customWidth="1"/>
    <col min="11513" max="11513" width="30.5703125" style="55" customWidth="1"/>
    <col min="11514" max="11518" width="10.5703125" style="55" customWidth="1"/>
    <col min="11519" max="11764" width="11.42578125" style="55"/>
    <col min="11765" max="11765" width="0.140625" style="55" customWidth="1"/>
    <col min="11766" max="11766" width="2.5703125" style="55" customWidth="1"/>
    <col min="11767" max="11767" width="18.5703125" style="55" customWidth="1"/>
    <col min="11768" max="11768" width="1.42578125" style="55" customWidth="1"/>
    <col min="11769" max="11769" width="30.5703125" style="55" customWidth="1"/>
    <col min="11770" max="11774" width="10.5703125" style="55" customWidth="1"/>
    <col min="11775" max="12020" width="11.42578125" style="55"/>
    <col min="12021" max="12021" width="0.140625" style="55" customWidth="1"/>
    <col min="12022" max="12022" width="2.5703125" style="55" customWidth="1"/>
    <col min="12023" max="12023" width="18.5703125" style="55" customWidth="1"/>
    <col min="12024" max="12024" width="1.42578125" style="55" customWidth="1"/>
    <col min="12025" max="12025" width="30.5703125" style="55" customWidth="1"/>
    <col min="12026" max="12030" width="10.5703125" style="55" customWidth="1"/>
    <col min="12031" max="12276" width="11.42578125" style="55"/>
    <col min="12277" max="12277" width="0.140625" style="55" customWidth="1"/>
    <col min="12278" max="12278" width="2.5703125" style="55" customWidth="1"/>
    <col min="12279" max="12279" width="18.5703125" style="55" customWidth="1"/>
    <col min="12280" max="12280" width="1.42578125" style="55" customWidth="1"/>
    <col min="12281" max="12281" width="30.5703125" style="55" customWidth="1"/>
    <col min="12282" max="12286" width="10.5703125" style="55" customWidth="1"/>
    <col min="12287" max="12532" width="11.42578125" style="55"/>
    <col min="12533" max="12533" width="0.140625" style="55" customWidth="1"/>
    <col min="12534" max="12534" width="2.5703125" style="55" customWidth="1"/>
    <col min="12535" max="12535" width="18.5703125" style="55" customWidth="1"/>
    <col min="12536" max="12536" width="1.42578125" style="55" customWidth="1"/>
    <col min="12537" max="12537" width="30.5703125" style="55" customWidth="1"/>
    <col min="12538" max="12542" width="10.5703125" style="55" customWidth="1"/>
    <col min="12543" max="12788" width="11.42578125" style="55"/>
    <col min="12789" max="12789" width="0.140625" style="55" customWidth="1"/>
    <col min="12790" max="12790" width="2.5703125" style="55" customWidth="1"/>
    <col min="12791" max="12791" width="18.5703125" style="55" customWidth="1"/>
    <col min="12792" max="12792" width="1.42578125" style="55" customWidth="1"/>
    <col min="12793" max="12793" width="30.5703125" style="55" customWidth="1"/>
    <col min="12794" max="12798" width="10.5703125" style="55" customWidth="1"/>
    <col min="12799" max="13044" width="11.42578125" style="55"/>
    <col min="13045" max="13045" width="0.140625" style="55" customWidth="1"/>
    <col min="13046" max="13046" width="2.5703125" style="55" customWidth="1"/>
    <col min="13047" max="13047" width="18.5703125" style="55" customWidth="1"/>
    <col min="13048" max="13048" width="1.42578125" style="55" customWidth="1"/>
    <col min="13049" max="13049" width="30.5703125" style="55" customWidth="1"/>
    <col min="13050" max="13054" width="10.5703125" style="55" customWidth="1"/>
    <col min="13055" max="13300" width="11.42578125" style="55"/>
    <col min="13301" max="13301" width="0.140625" style="55" customWidth="1"/>
    <col min="13302" max="13302" width="2.5703125" style="55" customWidth="1"/>
    <col min="13303" max="13303" width="18.5703125" style="55" customWidth="1"/>
    <col min="13304" max="13304" width="1.42578125" style="55" customWidth="1"/>
    <col min="13305" max="13305" width="30.5703125" style="55" customWidth="1"/>
    <col min="13306" max="13310" width="10.5703125" style="55" customWidth="1"/>
    <col min="13311" max="13556" width="11.42578125" style="55"/>
    <col min="13557" max="13557" width="0.140625" style="55" customWidth="1"/>
    <col min="13558" max="13558" width="2.5703125" style="55" customWidth="1"/>
    <col min="13559" max="13559" width="18.5703125" style="55" customWidth="1"/>
    <col min="13560" max="13560" width="1.42578125" style="55" customWidth="1"/>
    <col min="13561" max="13561" width="30.5703125" style="55" customWidth="1"/>
    <col min="13562" max="13566" width="10.5703125" style="55" customWidth="1"/>
    <col min="13567" max="13812" width="11.42578125" style="55"/>
    <col min="13813" max="13813" width="0.140625" style="55" customWidth="1"/>
    <col min="13814" max="13814" width="2.5703125" style="55" customWidth="1"/>
    <col min="13815" max="13815" width="18.5703125" style="55" customWidth="1"/>
    <col min="13816" max="13816" width="1.42578125" style="55" customWidth="1"/>
    <col min="13817" max="13817" width="30.5703125" style="55" customWidth="1"/>
    <col min="13818" max="13822" width="10.5703125" style="55" customWidth="1"/>
    <col min="13823" max="14068" width="11.42578125" style="55"/>
    <col min="14069" max="14069" width="0.140625" style="55" customWidth="1"/>
    <col min="14070" max="14070" width="2.5703125" style="55" customWidth="1"/>
    <col min="14071" max="14071" width="18.5703125" style="55" customWidth="1"/>
    <col min="14072" max="14072" width="1.42578125" style="55" customWidth="1"/>
    <col min="14073" max="14073" width="30.5703125" style="55" customWidth="1"/>
    <col min="14074" max="14078" width="10.5703125" style="55" customWidth="1"/>
    <col min="14079" max="14324" width="11.42578125" style="55"/>
    <col min="14325" max="14325" width="0.140625" style="55" customWidth="1"/>
    <col min="14326" max="14326" width="2.5703125" style="55" customWidth="1"/>
    <col min="14327" max="14327" width="18.5703125" style="55" customWidth="1"/>
    <col min="14328" max="14328" width="1.42578125" style="55" customWidth="1"/>
    <col min="14329" max="14329" width="30.5703125" style="55" customWidth="1"/>
    <col min="14330" max="14334" width="10.5703125" style="55" customWidth="1"/>
    <col min="14335" max="14580" width="11.42578125" style="55"/>
    <col min="14581" max="14581" width="0.140625" style="55" customWidth="1"/>
    <col min="14582" max="14582" width="2.5703125" style="55" customWidth="1"/>
    <col min="14583" max="14583" width="18.5703125" style="55" customWidth="1"/>
    <col min="14584" max="14584" width="1.42578125" style="55" customWidth="1"/>
    <col min="14585" max="14585" width="30.5703125" style="55" customWidth="1"/>
    <col min="14586" max="14590" width="10.5703125" style="55" customWidth="1"/>
    <col min="14591" max="14836" width="11.42578125" style="55"/>
    <col min="14837" max="14837" width="0.140625" style="55" customWidth="1"/>
    <col min="14838" max="14838" width="2.5703125" style="55" customWidth="1"/>
    <col min="14839" max="14839" width="18.5703125" style="55" customWidth="1"/>
    <col min="14840" max="14840" width="1.42578125" style="55" customWidth="1"/>
    <col min="14841" max="14841" width="30.5703125" style="55" customWidth="1"/>
    <col min="14842" max="14846" width="10.5703125" style="55" customWidth="1"/>
    <col min="14847" max="15092" width="11.42578125" style="55"/>
    <col min="15093" max="15093" width="0.140625" style="55" customWidth="1"/>
    <col min="15094" max="15094" width="2.5703125" style="55" customWidth="1"/>
    <col min="15095" max="15095" width="18.5703125" style="55" customWidth="1"/>
    <col min="15096" max="15096" width="1.42578125" style="55" customWidth="1"/>
    <col min="15097" max="15097" width="30.5703125" style="55" customWidth="1"/>
    <col min="15098" max="15102" width="10.5703125" style="55" customWidth="1"/>
    <col min="15103" max="15348" width="11.42578125" style="55"/>
    <col min="15349" max="15349" width="0.140625" style="55" customWidth="1"/>
    <col min="15350" max="15350" width="2.5703125" style="55" customWidth="1"/>
    <col min="15351" max="15351" width="18.5703125" style="55" customWidth="1"/>
    <col min="15352" max="15352" width="1.42578125" style="55" customWidth="1"/>
    <col min="15353" max="15353" width="30.5703125" style="55" customWidth="1"/>
    <col min="15354" max="15358" width="10.5703125" style="55" customWidth="1"/>
    <col min="15359" max="15604" width="11.42578125" style="55"/>
    <col min="15605" max="15605" width="0.140625" style="55" customWidth="1"/>
    <col min="15606" max="15606" width="2.5703125" style="55" customWidth="1"/>
    <col min="15607" max="15607" width="18.5703125" style="55" customWidth="1"/>
    <col min="15608" max="15608" width="1.42578125" style="55" customWidth="1"/>
    <col min="15609" max="15609" width="30.5703125" style="55" customWidth="1"/>
    <col min="15610" max="15614" width="10.5703125" style="55" customWidth="1"/>
    <col min="15615" max="15860" width="11.42578125" style="55"/>
    <col min="15861" max="15861" width="0.140625" style="55" customWidth="1"/>
    <col min="15862" max="15862" width="2.5703125" style="55" customWidth="1"/>
    <col min="15863" max="15863" width="18.5703125" style="55" customWidth="1"/>
    <col min="15864" max="15864" width="1.42578125" style="55" customWidth="1"/>
    <col min="15865" max="15865" width="30.5703125" style="55" customWidth="1"/>
    <col min="15866" max="15870" width="10.5703125" style="55" customWidth="1"/>
    <col min="15871" max="16116" width="11.42578125" style="55"/>
    <col min="16117" max="16117" width="0.140625" style="55" customWidth="1"/>
    <col min="16118" max="16118" width="2.5703125" style="55" customWidth="1"/>
    <col min="16119" max="16119" width="18.5703125" style="55" customWidth="1"/>
    <col min="16120" max="16120" width="1.42578125" style="55" customWidth="1"/>
    <col min="16121" max="16121" width="30.5703125" style="55" customWidth="1"/>
    <col min="16122" max="16126" width="10.570312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Septiembre 2022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36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5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89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105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2022-10-14T09:49:32Z</dcterms:modified>
</cp:coreProperties>
</file>