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OCT\INF_ELABORADA\"/>
    </mc:Choice>
  </mc:AlternateContent>
  <xr:revisionPtr revIDLastSave="0" documentId="13_ncr:1_{50D272C6-77C9-4D24-ABED-3C852F3060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Dat_01!$A$85:$Y$114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2" l="1"/>
  <c r="G11" i="22"/>
  <c r="I11" i="22"/>
  <c r="S25" i="18" l="1"/>
  <c r="R25" i="18"/>
  <c r="T25" i="18" s="1"/>
  <c r="C47" i="18" l="1"/>
  <c r="S26" i="18" l="1"/>
  <c r="R26" i="18"/>
  <c r="B47" i="18"/>
  <c r="G68" i="18" l="1"/>
  <c r="B26" i="18"/>
  <c r="I17" i="22"/>
  <c r="G17" i="22"/>
  <c r="H17" i="22"/>
  <c r="I13" i="22"/>
  <c r="M20" i="22"/>
  <c r="K20" i="22"/>
  <c r="M18" i="22"/>
  <c r="M12" i="22"/>
  <c r="I9" i="22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H11" i="22"/>
  <c r="F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46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<sst xmlns="http://schemas.openxmlformats.org/spreadsheetml/2006/main" count="432" uniqueCount="136">
  <si>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</si>
  <si>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</si>
  <si>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</si>
  <si>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</si>
  <si>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</si>
  <si>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</si>
  <si>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</si>
  <si>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</si>
  <si>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</si>
  <si>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</si>
  <si>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</si>
  <si>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</si>
  <si>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</si>
  <si>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</si>
  <si>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</si>
  <si>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</si>
  <si>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</si>
  <si>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</si>
  <si>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</si>
  <si>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</si>
  <si>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</si>
  <si>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</si>
  <si>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</si>
  <si>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</si>
  <si>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</si>
  <si>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</si>
  <si>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</si>
  <si>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</si>
  <si>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</si>
  <si>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</si>
  <si>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</si>
  <si>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</si>
  <si>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</si>
  <si>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</si>
  <si>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</si>
  <si>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</si>
  <si>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</si>
  <si>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</si>
  <si>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</si>
  <si>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</si>
  <si>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</si>
  <si>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</si>
  <si>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</si>
  <si>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</si>
  <si>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</si>
  <si>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</si>
  <si>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</si>
  <si>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</si>
  <si>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</si>
  <si>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</si>
  <si>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</si>
  <si>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</si>
  <si>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</si>
  <si>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</si>
  <si>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</si>
  <si>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</si>
  <si>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</si>
  <si>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</si>
  <si>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</si>
  <si>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</si>
  <si>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</si>
  <si>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</si>
  <si>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</si>
  <si>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</si>
  <si>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</si>
  <si>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</si>
  <si>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</si>
  <si>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</si>
  <si>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</si>
  <si>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</si>
  <si>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</si>
  <si>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</si>
  <si>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</si>
  <si>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</si>
  <si>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</si>
  <si>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</si>
  <si>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</si>
  <si>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</si>
  <si>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</si>
  <si>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</si>
  <si>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</si>
  <si>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</si>
  <si>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</si>
  <si>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</si>
  <si>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</si>
  <si>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</si>
  <si>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</si>
  <si>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</si>
  <si>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</si>
  <si>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</si>
  <si>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</si>
  <si>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</si>
  <si>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</si>
  <si>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</si>
  <si>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</si>
  <si>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</si>
  <si>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</si>
  <si>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</si>
  <si>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</si>
  <si>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</si>
  <si>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</si>
  <si>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</si>
  <si>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</si>
  <si>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</si>
  <si>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</si>
  <si>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</si>
  <si>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</si>
  <si>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</si>
  <si>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</si>
  <si>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</si>
  <si>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</si>
  <si>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</si>
  <si>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</si>
  <si>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</si>
  <si>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</si>
  <si>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</si>
  <si>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</si>
  <si>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</si>
  <si>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</si>
  <si>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</si>
  <si>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</si>
  <si>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</si>
  <si>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</si>
  <si>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</si>
  <si>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</si>
  <si>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</si>
  <si>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</si>
  <si>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</si>
  <si>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31/10/2023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</si>
  <si>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ut="11/13/2023 13:44:40" si="2.00000001f3416b525e7184e5813dfea0881079b39c947d5b35d525b645a5be2d42448a048b3d71d3bc19880ae6abc0c66296db6ab04bde8e9120d07bcee94c9ca955de165a526b79d502205e22a63dc10dcdf25a250b7df38ccb656c3a03cf8cd32c39e136a1716ab1d0f816e462fdbd897633d072f0ed782d16b0cb82c59f4f227efc886b72172b0b6e887424dde98aceccdad80d38bb973adedb491cc62a5f1cb3.p.3082.0.1.Europe/Madrid.upriv*_1*_pidn2*_1*_session*-lat*_1.00000001b5d9a400045043663041c1f32a7eff40bc6025e00d465430f54af430d0b0003068f1071e93d632d5cb1cc6dca1ff6a415246129a.000000013f43fd8e00f1bb9647c1940a324e54b0bc6025e0f45808446334a6666750bd0cdd82771c554fc78793465c99e527a9a92287fb0c.0.1.1.BDEbi.D066E1C611E6257C10D00080EF253B44.0-3082.1.1_-0.1.0_-3082.1.1_5.5.0.*0.000000013c3b644c0e75125a19af4840c191508cc911585acca715d3616ae38204ac85d83073cc36.0.23.11*.2*.0400*.31152J.e.00000001af9c2ee55e2b44a74014a96bd66fb744c911585a23519a6813d49e65d36e2707599139e5.0.10*.131*.122*.122.0.0" msgID="C754F5B011EE822A51430080EF95DFFF"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</si>
  <si>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ut="11/13/2023 13:49:16" si="2.00000001f3416b525e7184e5813dfea0881079b39c947d5b35d525b645a5be2d42448a048b3d71d3bc19880ae6abc0c66296db6ab04bde8e9120d07bcee94c9ca955de165a526b79d502205e22a63dc10dcdf25a250b7df38ccb656c3a03cf8cd32c39e136a1716ab1d0f816e462fdbd897633d072f0ed782d16b0cb82c59f4f227efc886b72172b0b6e887424dde98aceccdad80d38bb973adedb491cc62a5f1cb3.p.3082.0.1.Europe/Madrid.upriv*_1*_pidn2*_1*_session*-lat*_1.00000001b5d9a400045043663041c1f32a7eff40bc6025e00d465430f54af430d0b0003068f1071e93d632d5cb1cc6dca1ff6a415246129a.000000013f43fd8e00f1bb9647c1940a324e54b0bc6025e0f45808446334a6666750bd0cdd82771c554fc78793465c99e527a9a92287fb0c.0.1.1.BDEbi.D066E1C611E6257C10D00080EF253B44.0-3082.1.1_-0.1.0_-3082.1.1_5.5.0.*0.000000013c3b644c0e75125a19af4840c191508cc911585acca715d3616ae38204ac85d83073cc36.0.23.11*.2*.0400*.31152J.e.00000001af9c2ee55e2b44a74014a96bd66fb744c911585a23519a6813d49e65d36e2707599139e5.0.10*.131*.122*.122.0.0" msgID="D01135CE11EE822A51430080EF85BFFF"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nrr="1428" nrc="2688"&gt;&lt;pg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</si>
  <si>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Noviembre 2023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</si>
  <si>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ut="11/13/2023 15:46:22" si="2.00000001f3416b525e7184e5813dfea0881079b39c947d5b35d525b645a5be2d42448a048b3d71d3bc19880ae6abc0c66296db6ab04bde8e9120d07bcee94c9ca955de165a526b79d502205e22a63dc10dcdf25a250b7df38ccb656c3a03cf8cd32c39e136a1716ab1d0f816e462fdbd897633d072f0ed782d16b0cb82c59f4f227efc886b72172b0b6e887424dde98aceccdad80d38bb973adedb491cc62a5f1cb3.p.3082.0.1.Europe/Madrid.upriv*_1*_pidn2*_1*_session*-lat*_1.00000001b5d9a400045043663041c1f32a7eff40bc6025e00d465430f54af430d0b0003068f1071e93d632d5cb1cc6dca1ff6a415246129a.000000013f43fd8e00f1bb9647c1940a324e54b0bc6025e0f45808446334a6666750bd0cdd82771c554fc78793465c99e527a9a92287fb0c.0.1.1.BDEbi.D066E1C611E6257C10D00080EF253B44.0-3082.1.1_-0.1.0_-3082.1.1_5.5.0.*0.000000013c3b644c0e75125a19af4840c191508cc911585acca715d3616ae38204ac85d83073cc36.0.23.11*.2*.0400*.31152J.e.00000001af9c2ee55e2b44a74014a96bd66fb744c911585a23519a6813d49e65d36e2707599139e5.0.10*.131*.122*.122.0.0" msgID="B010BB6811EE823A51430080EF25FFFE"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cols="25" /&gt;&lt;esdo ews="" ece="" ptn="" /&gt;&lt;/excel&gt;&lt;pgs&gt;&lt;pg rows="27" cols="23" nrr="2061" nrc="1587"&gt;&lt;pg /&gt;&lt;bls&gt;&lt;bl sr="1" sc="1" rfetch="27" cfetch="23" posid="1" darows="0" dacols="1"&gt;&lt;excel&gt;&lt;epo ews="Dat_01" ece="A85" enr="MSTR.Serie_Balance_B.C._Mensual_Baleares_y_Canarias" ptn="" qtn="" rows="30" cols="25" /&gt;&lt;esdo ews="" ece="" ptn="" /&gt;&lt;/excel&gt;&lt;gridRng&gt;&lt;sect id="TITLE_AREA" rngprop="1:1:3:2" /&gt;&lt;sect id="ROWHEADERS_AREA" rngprop="4:1:27:2" /&gt;&lt;sect id="COLUMNHEADERS_AREA" rngprop="1:3:3:23" /&gt;&lt;sect id="DATA_AREA" rngprop="4:3:27:23"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</si>
  <si>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ut="11/13/2023 15:51:48" si="2.00000001b92848a30830b476793090c8559e2410511a156852013b1bf6aac1617e9ab666121d84bf17b2c5816be26386d2003a8187396d3bf6e7ac2183c6e0e79447d7e789e16e7b4625875634f7033e349eb001cbf9bacf85938d1ac3c985f175fe8af6716d575967d2091bc02835c677e0253c3441fb49f2c2838d398ff3f6be15c06952d16883639188dda2b3462ecfa749d53af8b781fbfd933af8c8f386f167.p.3082.0.1.Europe/Madrid.upriv*_1*_pidn2*_1*_session*-lat*_1.0000000151699fef33b614cceaa74289cfaf5fa6bc6025e0079cf6541ee48e9d465eeb9f8a4de85d00f48eb8d4cd30fc4bf10a1a973edc90.00000001c53b877928b076a7bdad3ad47eac3ee4bc6025e02892395b273b67d1f98c92507964f28c9506f0bbb5c6d75da7ff56f6888c0188.0.1.1.BDEbi.D066E1C611E6257C10D00080EF253B44.0-3082.1.1_-0.1.0_-3082.1.1_5.5.0.*0.0000000158a780a8a6d4a698b26f43aa01afc08bc911585a5944165bef899f642ad6126f87b9a857.0.23.11*.2*.0400*.31152J.e.00000001f829f0d0b956b86eb2a808c4777d1181c911585a8b02d8377ff4995288db4471502b2e7e.0.10*.131*.122*.122.0.0" msgID="83DBF38B11EE823CC1A20080EF25612E"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nrr="110" nrc="756"&gt;&lt;pg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</si>
  <si>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9e8310def5e642e384c14c256a0c5dfd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</si>
  <si>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ut="11/13/2023 15:53:13" si="2.00000001b92848a30830b476793090c8559e2410511a156852013b1bf6aac1617e9ab666121d84bf17b2c5816be26386d2003a8187396d3bf6e7ac2183c6e0e79447d7e789e16e7b4625875634f7033e349eb001cbf9bacf85938d1ac3c985f175fe8af6716d575967d2091bc02835c677e0253c3441fb49f2c2838d398ff3f6be15c06952d16883639188dda2b3462ecfa749d53af8b781fbfd933af8c8f386f167.p.3082.0.1.Europe/Madrid.upriv*_1*_pidn2*_1*_session*-lat*_1.0000000151699fef33b614cceaa74289cfaf5fa6bc6025e0079cf6541ee48e9d465eeb9f8a4de85d00f48eb8d4cd30fc4bf10a1a973edc90.00000001c53b877928b076a7bdad3ad47eac3ee4bc6025e02892395b273b67d1f98c92507964f28c9506f0bbb5c6d75da7ff56f6888c0188.0.1.1.BDEbi.D066E1C611E6257C10D00080EF253B44.0-3082.1.1_-0.1.0_-3082.1.1_5.5.0.*0.0000000158a780a8a6d4a698b26f43aa01afc08bc911585a5944165bef899f642ad6126f87b9a857.0.23.11*.2*.0400*.31152J.e.00000001f829f0d0b956b86eb2a808c4777d1181c911585a8b02d8377ff4995288db4471502b2e7e.0.10*.131*.122*.122.0.0" msgID="B9998EEC11EE823CC1A20080EF15412E"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nrr="66" nrc="804"&gt;&lt;pg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</si>
</sst>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174" fontId="45" fillId="0" borderId="0" xfId="34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6910569105691045"/>
                  <c:y val="-8.6966141732283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20162601626016249"/>
                  <c:y val="5.1111046780917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7222508162089493"/>
                  <c:y val="0.11120334645669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5609743294283338"/>
                  <c:y val="0.171568627450980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951219512195122"/>
                  <c:y val="6.0049999999999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099212598425196"/>
                  <c:y val="-7.2772440944881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1219512195121957"/>
                  <c:y val="-0.157824803149606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4614582933230902"/>
                  <c:y val="-0.13524471205805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3.4242874570537096</c:v>
                </c:pt>
                <c:pt idx="2">
                  <c:v>8.9287011730627146</c:v>
                </c:pt>
                <c:pt idx="3">
                  <c:v>49.834698863061668</c:v>
                </c:pt>
                <c:pt idx="4">
                  <c:v>0</c:v>
                </c:pt>
                <c:pt idx="5">
                  <c:v>0.34878344276116546</c:v>
                </c:pt>
                <c:pt idx="6">
                  <c:v>2.19029703561803</c:v>
                </c:pt>
                <c:pt idx="7">
                  <c:v>2.19029703561803</c:v>
                </c:pt>
                <c:pt idx="8">
                  <c:v>2.0892795621179801E-3</c:v>
                </c:pt>
                <c:pt idx="9">
                  <c:v>6.5641213167362586</c:v>
                </c:pt>
                <c:pt idx="10">
                  <c:v>7.9836292765566221E-3</c:v>
                </c:pt>
                <c:pt idx="11">
                  <c:v>26.508740767249765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10.961316824435894</c:v>
                </c:pt>
                <c:pt idx="1">
                  <c:v>6.3350230734923869</c:v>
                </c:pt>
                <c:pt idx="2">
                  <c:v>27.407836553968856</c:v>
                </c:pt>
                <c:pt idx="3">
                  <c:v>37.396631902273207</c:v>
                </c:pt>
                <c:pt idx="4">
                  <c:v>0</c:v>
                </c:pt>
                <c:pt idx="5">
                  <c:v>0.52366191446092369</c:v>
                </c:pt>
                <c:pt idx="6">
                  <c:v>1.6996403367906403</c:v>
                </c:pt>
                <c:pt idx="7">
                  <c:v>1.6996403367906403</c:v>
                </c:pt>
                <c:pt idx="8">
                  <c:v>0.16212478346258313</c:v>
                </c:pt>
                <c:pt idx="9">
                  <c:v>13.717326575999628</c:v>
                </c:pt>
                <c:pt idx="10">
                  <c:v>9.6797698325242348E-2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oct.-22</c:v>
                </c:pt>
                <c:pt idx="1">
                  <c:v>nov.-22</c:v>
                </c:pt>
                <c:pt idx="2">
                  <c:v>dic.-22</c:v>
                </c:pt>
                <c:pt idx="3">
                  <c:v>ene.-23</c:v>
                </c:pt>
                <c:pt idx="4">
                  <c:v>feb.-23</c:v>
                </c:pt>
                <c:pt idx="5">
                  <c:v>mar.-23</c:v>
                </c:pt>
                <c:pt idx="6">
                  <c:v>abr.-23</c:v>
                </c:pt>
                <c:pt idx="7">
                  <c:v>may.-23</c:v>
                </c:pt>
                <c:pt idx="8">
                  <c:v>jun.-23</c:v>
                </c:pt>
                <c:pt idx="9">
                  <c:v>jul.-23</c:v>
                </c:pt>
                <c:pt idx="10">
                  <c:v>ago.-23</c:v>
                </c:pt>
                <c:pt idx="11">
                  <c:v>sep.-23</c:v>
                </c:pt>
                <c:pt idx="12">
                  <c:v>oct.-23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-0.613232</c:v>
                </c:pt>
                <c:pt idx="1">
                  <c:v>-0.58811800000000003</c:v>
                </c:pt>
                <c:pt idx="2">
                  <c:v>-0.62679200000000002</c:v>
                </c:pt>
                <c:pt idx="3">
                  <c:v>-0.72771799999999998</c:v>
                </c:pt>
                <c:pt idx="4">
                  <c:v>-0.70697299999999996</c:v>
                </c:pt>
                <c:pt idx="5">
                  <c:v>-0.51834000000000002</c:v>
                </c:pt>
                <c:pt idx="6">
                  <c:v>-0.60865999999999998</c:v>
                </c:pt>
                <c:pt idx="7">
                  <c:v>-0.83296899999999996</c:v>
                </c:pt>
                <c:pt idx="8">
                  <c:v>3.1799559999999998</c:v>
                </c:pt>
                <c:pt idx="9">
                  <c:v>54.925434000000003</c:v>
                </c:pt>
                <c:pt idx="10">
                  <c:v>9.0232189999999992</c:v>
                </c:pt>
                <c:pt idx="11">
                  <c:v>-0.82337800000000005</c:v>
                </c:pt>
                <c:pt idx="12">
                  <c:v>-0.82724900000000001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oct.-22</c:v>
                </c:pt>
                <c:pt idx="1">
                  <c:v>nov.-22</c:v>
                </c:pt>
                <c:pt idx="2">
                  <c:v>dic.-22</c:v>
                </c:pt>
                <c:pt idx="3">
                  <c:v>ene.-23</c:v>
                </c:pt>
                <c:pt idx="4">
                  <c:v>feb.-23</c:v>
                </c:pt>
                <c:pt idx="5">
                  <c:v>mar.-23</c:v>
                </c:pt>
                <c:pt idx="6">
                  <c:v>abr.-23</c:v>
                </c:pt>
                <c:pt idx="7">
                  <c:v>may.-23</c:v>
                </c:pt>
                <c:pt idx="8">
                  <c:v>jun.-23</c:v>
                </c:pt>
                <c:pt idx="9">
                  <c:v>jul.-23</c:v>
                </c:pt>
                <c:pt idx="10">
                  <c:v>ago.-23</c:v>
                </c:pt>
                <c:pt idx="11">
                  <c:v>sep.-23</c:v>
                </c:pt>
                <c:pt idx="12">
                  <c:v>oct.-23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60.668753000000002</c:v>
                </c:pt>
                <c:pt idx="1">
                  <c:v>32.393524999999997</c:v>
                </c:pt>
                <c:pt idx="2">
                  <c:v>28.980339000000001</c:v>
                </c:pt>
                <c:pt idx="3">
                  <c:v>54.403029000000004</c:v>
                </c:pt>
                <c:pt idx="4">
                  <c:v>47.337153999999998</c:v>
                </c:pt>
                <c:pt idx="5">
                  <c:v>40.752212</c:v>
                </c:pt>
                <c:pt idx="6">
                  <c:v>36.577028999999996</c:v>
                </c:pt>
                <c:pt idx="7">
                  <c:v>47.925082000000003</c:v>
                </c:pt>
                <c:pt idx="8">
                  <c:v>77.204378999999989</c:v>
                </c:pt>
                <c:pt idx="9">
                  <c:v>124.68270699999999</c:v>
                </c:pt>
                <c:pt idx="10">
                  <c:v>118.33977300000001</c:v>
                </c:pt>
                <c:pt idx="11">
                  <c:v>82.062241</c:v>
                </c:pt>
                <c:pt idx="12">
                  <c:v>61.254111000000002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oct.-22</c:v>
                </c:pt>
                <c:pt idx="1">
                  <c:v>nov.-22</c:v>
                </c:pt>
                <c:pt idx="2">
                  <c:v>dic.-22</c:v>
                </c:pt>
                <c:pt idx="3">
                  <c:v>ene.-23</c:v>
                </c:pt>
                <c:pt idx="4">
                  <c:v>feb.-23</c:v>
                </c:pt>
                <c:pt idx="5">
                  <c:v>mar.-23</c:v>
                </c:pt>
                <c:pt idx="6">
                  <c:v>abr.-23</c:v>
                </c:pt>
                <c:pt idx="7">
                  <c:v>may.-23</c:v>
                </c:pt>
                <c:pt idx="8">
                  <c:v>jun.-23</c:v>
                </c:pt>
                <c:pt idx="9">
                  <c:v>jul.-23</c:v>
                </c:pt>
                <c:pt idx="10">
                  <c:v>ago.-23</c:v>
                </c:pt>
                <c:pt idx="11">
                  <c:v>sep.-23</c:v>
                </c:pt>
                <c:pt idx="12">
                  <c:v>oct.-23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297.32130999999998</c:v>
                </c:pt>
                <c:pt idx="1">
                  <c:v>234.47985499999999</c:v>
                </c:pt>
                <c:pt idx="2">
                  <c:v>251.18496099999999</c:v>
                </c:pt>
                <c:pt idx="3">
                  <c:v>236.33414099999999</c:v>
                </c:pt>
                <c:pt idx="4">
                  <c:v>250.50749099999999</c:v>
                </c:pt>
                <c:pt idx="5">
                  <c:v>233.28242</c:v>
                </c:pt>
                <c:pt idx="6">
                  <c:v>207.738203</c:v>
                </c:pt>
                <c:pt idx="7">
                  <c:v>231.47546199999999</c:v>
                </c:pt>
                <c:pt idx="8">
                  <c:v>269.55010299999998</c:v>
                </c:pt>
                <c:pt idx="9">
                  <c:v>316.35504600000002</c:v>
                </c:pt>
                <c:pt idx="10">
                  <c:v>324.37696499999998</c:v>
                </c:pt>
                <c:pt idx="11">
                  <c:v>296.32292799999999</c:v>
                </c:pt>
                <c:pt idx="12">
                  <c:v>247.112684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oct.-22</c:v>
                </c:pt>
                <c:pt idx="1">
                  <c:v>nov.-22</c:v>
                </c:pt>
                <c:pt idx="2">
                  <c:v>dic.-22</c:v>
                </c:pt>
                <c:pt idx="3">
                  <c:v>ene.-23</c:v>
                </c:pt>
                <c:pt idx="4">
                  <c:v>feb.-23</c:v>
                </c:pt>
                <c:pt idx="5">
                  <c:v>mar.-23</c:v>
                </c:pt>
                <c:pt idx="6">
                  <c:v>abr.-23</c:v>
                </c:pt>
                <c:pt idx="7">
                  <c:v>may.-23</c:v>
                </c:pt>
                <c:pt idx="8">
                  <c:v>jun.-23</c:v>
                </c:pt>
                <c:pt idx="9">
                  <c:v>jul.-23</c:v>
                </c:pt>
                <c:pt idx="10">
                  <c:v>ago.-23</c:v>
                </c:pt>
                <c:pt idx="11">
                  <c:v>sep.-23</c:v>
                </c:pt>
                <c:pt idx="12">
                  <c:v>oct.-23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2.8530000000000001E-3</c:v>
                </c:pt>
                <c:pt idx="1">
                  <c:v>2.5883E-2</c:v>
                </c:pt>
                <c:pt idx="2">
                  <c:v>0.100989</c:v>
                </c:pt>
                <c:pt idx="3">
                  <c:v>0.21573000000000001</c:v>
                </c:pt>
                <c:pt idx="4">
                  <c:v>0.18323999999999999</c:v>
                </c:pt>
                <c:pt idx="5">
                  <c:v>0.20035</c:v>
                </c:pt>
                <c:pt idx="6">
                  <c:v>0.12734500000000001</c:v>
                </c:pt>
                <c:pt idx="7">
                  <c:v>0.24965100000000001</c:v>
                </c:pt>
                <c:pt idx="8">
                  <c:v>5.6180000000000001E-2</c:v>
                </c:pt>
                <c:pt idx="9">
                  <c:v>0.118565</c:v>
                </c:pt>
                <c:pt idx="10">
                  <c:v>9.7920999999999994E-2</c:v>
                </c:pt>
                <c:pt idx="11">
                  <c:v>0</c:v>
                </c:pt>
                <c:pt idx="12">
                  <c:v>1.0359999999999999E-2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oct.-22</c:v>
                </c:pt>
                <c:pt idx="1">
                  <c:v>nov.-22</c:v>
                </c:pt>
                <c:pt idx="2">
                  <c:v>dic.-22</c:v>
                </c:pt>
                <c:pt idx="3">
                  <c:v>ene.-23</c:v>
                </c:pt>
                <c:pt idx="4">
                  <c:v>feb.-23</c:v>
                </c:pt>
                <c:pt idx="5">
                  <c:v>mar.-23</c:v>
                </c:pt>
                <c:pt idx="6">
                  <c:v>abr.-23</c:v>
                </c:pt>
                <c:pt idx="7">
                  <c:v>may.-23</c:v>
                </c:pt>
                <c:pt idx="8">
                  <c:v>jun.-23</c:v>
                </c:pt>
                <c:pt idx="9">
                  <c:v>jul.-23</c:v>
                </c:pt>
                <c:pt idx="10">
                  <c:v>ago.-23</c:v>
                </c:pt>
                <c:pt idx="11">
                  <c:v>sep.-23</c:v>
                </c:pt>
                <c:pt idx="12">
                  <c:v>oct.-23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23.675007999999998</c:v>
                </c:pt>
                <c:pt idx="1">
                  <c:v>17.328648000000001</c:v>
                </c:pt>
                <c:pt idx="2">
                  <c:v>15.536158</c:v>
                </c:pt>
                <c:pt idx="3">
                  <c:v>18.187577000000001</c:v>
                </c:pt>
                <c:pt idx="4">
                  <c:v>22.493245000000002</c:v>
                </c:pt>
                <c:pt idx="5">
                  <c:v>35.774521</c:v>
                </c:pt>
                <c:pt idx="6">
                  <c:v>36.519472</c:v>
                </c:pt>
                <c:pt idx="7">
                  <c:v>33.460431999999997</c:v>
                </c:pt>
                <c:pt idx="8">
                  <c:v>35.587198000000001</c:v>
                </c:pt>
                <c:pt idx="9">
                  <c:v>40.355545999999997</c:v>
                </c:pt>
                <c:pt idx="10">
                  <c:v>43.030126000000003</c:v>
                </c:pt>
                <c:pt idx="11">
                  <c:v>34.236007000000001</c:v>
                </c:pt>
                <c:pt idx="12">
                  <c:v>32.549160999999998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oct.-22</c:v>
                </c:pt>
                <c:pt idx="1">
                  <c:v>nov.-22</c:v>
                </c:pt>
                <c:pt idx="2">
                  <c:v>dic.-22</c:v>
                </c:pt>
                <c:pt idx="3">
                  <c:v>ene.-23</c:v>
                </c:pt>
                <c:pt idx="4">
                  <c:v>feb.-23</c:v>
                </c:pt>
                <c:pt idx="5">
                  <c:v>mar.-23</c:v>
                </c:pt>
                <c:pt idx="6">
                  <c:v>abr.-23</c:v>
                </c:pt>
                <c:pt idx="7">
                  <c:v>may.-23</c:v>
                </c:pt>
                <c:pt idx="8">
                  <c:v>jun.-23</c:v>
                </c:pt>
                <c:pt idx="9">
                  <c:v>jul.-23</c:v>
                </c:pt>
                <c:pt idx="10">
                  <c:v>ago.-23</c:v>
                </c:pt>
                <c:pt idx="11">
                  <c:v>sep.-23</c:v>
                </c:pt>
                <c:pt idx="12">
                  <c:v>oct.-23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9.6991999999999995E-2</c:v>
                </c:pt>
                <c:pt idx="1">
                  <c:v>8.4503999999999996E-2</c:v>
                </c:pt>
                <c:pt idx="2">
                  <c:v>7.7099000000000001E-2</c:v>
                </c:pt>
                <c:pt idx="3">
                  <c:v>9.3608999999999998E-2</c:v>
                </c:pt>
                <c:pt idx="4">
                  <c:v>0.13599800000000001</c:v>
                </c:pt>
                <c:pt idx="5">
                  <c:v>0.11230800000000001</c:v>
                </c:pt>
                <c:pt idx="6">
                  <c:v>7.399E-2</c:v>
                </c:pt>
                <c:pt idx="7">
                  <c:v>9.0162999999999993E-2</c:v>
                </c:pt>
                <c:pt idx="8">
                  <c:v>8.4139000000000005E-2</c:v>
                </c:pt>
                <c:pt idx="9">
                  <c:v>3.7238E-2</c:v>
                </c:pt>
                <c:pt idx="10">
                  <c:v>2.6629E-2</c:v>
                </c:pt>
                <c:pt idx="11">
                  <c:v>3.1858999999999998E-2</c:v>
                </c:pt>
                <c:pt idx="12">
                  <c:v>3.9587999999999998E-2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oct.-22</c:v>
                </c:pt>
                <c:pt idx="1">
                  <c:v>nov.-22</c:v>
                </c:pt>
                <c:pt idx="2">
                  <c:v>dic.-22</c:v>
                </c:pt>
                <c:pt idx="3">
                  <c:v>ene.-23</c:v>
                </c:pt>
                <c:pt idx="4">
                  <c:v>feb.-23</c:v>
                </c:pt>
                <c:pt idx="5">
                  <c:v>mar.-23</c:v>
                </c:pt>
                <c:pt idx="6">
                  <c:v>abr.-23</c:v>
                </c:pt>
                <c:pt idx="7">
                  <c:v>may.-23</c:v>
                </c:pt>
                <c:pt idx="8">
                  <c:v>jun.-23</c:v>
                </c:pt>
                <c:pt idx="9">
                  <c:v>jul.-23</c:v>
                </c:pt>
                <c:pt idx="10">
                  <c:v>ago.-23</c:v>
                </c:pt>
                <c:pt idx="11">
                  <c:v>sep.-23</c:v>
                </c:pt>
                <c:pt idx="12">
                  <c:v>oct.-23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1.826864</c:v>
                </c:pt>
                <c:pt idx="1">
                  <c:v>2.552667</c:v>
                </c:pt>
                <c:pt idx="2">
                  <c:v>2.9406370000000002</c:v>
                </c:pt>
                <c:pt idx="3">
                  <c:v>3.048152</c:v>
                </c:pt>
                <c:pt idx="4">
                  <c:v>3.0015830000000001</c:v>
                </c:pt>
                <c:pt idx="5">
                  <c:v>3.577315</c:v>
                </c:pt>
                <c:pt idx="6">
                  <c:v>3.6202459999999999</c:v>
                </c:pt>
                <c:pt idx="7">
                  <c:v>3.5176020000000001</c:v>
                </c:pt>
                <c:pt idx="8">
                  <c:v>3.7894670000000001</c:v>
                </c:pt>
                <c:pt idx="9">
                  <c:v>3.2446030000000001</c:v>
                </c:pt>
                <c:pt idx="10">
                  <c:v>3.7400570000000002</c:v>
                </c:pt>
                <c:pt idx="11">
                  <c:v>3.104663</c:v>
                </c:pt>
                <c:pt idx="12">
                  <c:v>1.7294940000000001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oct.-22</c:v>
                </c:pt>
                <c:pt idx="1">
                  <c:v>nov.-22</c:v>
                </c:pt>
                <c:pt idx="2">
                  <c:v>dic.-22</c:v>
                </c:pt>
                <c:pt idx="3">
                  <c:v>ene.-23</c:v>
                </c:pt>
                <c:pt idx="4">
                  <c:v>feb.-23</c:v>
                </c:pt>
                <c:pt idx="5">
                  <c:v>mar.-23</c:v>
                </c:pt>
                <c:pt idx="6">
                  <c:v>abr.-23</c:v>
                </c:pt>
                <c:pt idx="7">
                  <c:v>may.-23</c:v>
                </c:pt>
                <c:pt idx="8">
                  <c:v>jun.-23</c:v>
                </c:pt>
                <c:pt idx="9">
                  <c:v>jul.-23</c:v>
                </c:pt>
                <c:pt idx="10">
                  <c:v>ago.-23</c:v>
                </c:pt>
                <c:pt idx="11">
                  <c:v>sep.-23</c:v>
                </c:pt>
                <c:pt idx="12">
                  <c:v>oct.-23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11.230755</c:v>
                </c:pt>
                <c:pt idx="1">
                  <c:v>10.188828000000001</c:v>
                </c:pt>
                <c:pt idx="2">
                  <c:v>10.4136255</c:v>
                </c:pt>
                <c:pt idx="3">
                  <c:v>7.3618245</c:v>
                </c:pt>
                <c:pt idx="4">
                  <c:v>9.8298860000000001</c:v>
                </c:pt>
                <c:pt idx="5">
                  <c:v>9.6378819999999994</c:v>
                </c:pt>
                <c:pt idx="6">
                  <c:v>10.65733</c:v>
                </c:pt>
                <c:pt idx="7">
                  <c:v>12.228600500000001</c:v>
                </c:pt>
                <c:pt idx="8">
                  <c:v>15.5976535</c:v>
                </c:pt>
                <c:pt idx="9">
                  <c:v>12.5411815</c:v>
                </c:pt>
                <c:pt idx="10">
                  <c:v>14.683114</c:v>
                </c:pt>
                <c:pt idx="11">
                  <c:v>9.6099359999999994</c:v>
                </c:pt>
                <c:pt idx="12">
                  <c:v>10.860910000000001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11.230755</c:v>
                </c:pt>
                <c:pt idx="1">
                  <c:v>10.188828000000001</c:v>
                </c:pt>
                <c:pt idx="2">
                  <c:v>10.4136255</c:v>
                </c:pt>
                <c:pt idx="3">
                  <c:v>7.3618245</c:v>
                </c:pt>
                <c:pt idx="4">
                  <c:v>9.8298860000000001</c:v>
                </c:pt>
                <c:pt idx="5">
                  <c:v>9.6378819999999994</c:v>
                </c:pt>
                <c:pt idx="6">
                  <c:v>10.65733</c:v>
                </c:pt>
                <c:pt idx="7">
                  <c:v>12.228600500000001</c:v>
                </c:pt>
                <c:pt idx="8">
                  <c:v>15.5976535</c:v>
                </c:pt>
                <c:pt idx="9">
                  <c:v>12.5411815</c:v>
                </c:pt>
                <c:pt idx="10">
                  <c:v>14.683114</c:v>
                </c:pt>
                <c:pt idx="11">
                  <c:v>9.6099359999999994</c:v>
                </c:pt>
                <c:pt idx="12">
                  <c:v>10.860910000000001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oct.-22</c:v>
                </c:pt>
                <c:pt idx="1">
                  <c:v>nov.-22</c:v>
                </c:pt>
                <c:pt idx="2">
                  <c:v>dic.-22</c:v>
                </c:pt>
                <c:pt idx="3">
                  <c:v>ene.-23</c:v>
                </c:pt>
                <c:pt idx="4">
                  <c:v>feb.-23</c:v>
                </c:pt>
                <c:pt idx="5">
                  <c:v>mar.-23</c:v>
                </c:pt>
                <c:pt idx="6">
                  <c:v>abr.-23</c:v>
                </c:pt>
                <c:pt idx="7">
                  <c:v>may.-23</c:v>
                </c:pt>
                <c:pt idx="8">
                  <c:v>jun.-23</c:v>
                </c:pt>
                <c:pt idx="9">
                  <c:v>jul.-23</c:v>
                </c:pt>
                <c:pt idx="10">
                  <c:v>ago.-23</c:v>
                </c:pt>
                <c:pt idx="11">
                  <c:v>sep.-23</c:v>
                </c:pt>
                <c:pt idx="12">
                  <c:v>oct.-23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61.365385000000003</c:v>
                </c:pt>
                <c:pt idx="1">
                  <c:v>55.991686000000001</c:v>
                </c:pt>
                <c:pt idx="2">
                  <c:v>79.778822000000005</c:v>
                </c:pt>
                <c:pt idx="3">
                  <c:v>123.950131</c:v>
                </c:pt>
                <c:pt idx="4">
                  <c:v>89.734262000000001</c:v>
                </c:pt>
                <c:pt idx="5">
                  <c:v>82.194308000000007</c:v>
                </c:pt>
                <c:pt idx="6">
                  <c:v>98.033413999999993</c:v>
                </c:pt>
                <c:pt idx="7">
                  <c:v>118.762416</c:v>
                </c:pt>
                <c:pt idx="8">
                  <c:v>124.350134</c:v>
                </c:pt>
                <c:pt idx="9">
                  <c:v>168.54782399999999</c:v>
                </c:pt>
                <c:pt idx="10">
                  <c:v>175.00929099999999</c:v>
                </c:pt>
                <c:pt idx="11">
                  <c:v>130.854702</c:v>
                </c:pt>
                <c:pt idx="12">
                  <c:v>131.44748999999999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910569105691056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14.798962098203788</c:v>
                </c:pt>
                <c:pt idx="1">
                  <c:v>15.803788681485569</c:v>
                </c:pt>
                <c:pt idx="2">
                  <c:v>14.647221448357554</c:v>
                </c:pt>
                <c:pt idx="3">
                  <c:v>26.26327167538668</c:v>
                </c:pt>
                <c:pt idx="4">
                  <c:v>1.1592985648252498</c:v>
                </c:pt>
                <c:pt idx="5">
                  <c:v>4.6129157553256007E-2</c:v>
                </c:pt>
                <c:pt idx="6">
                  <c:v>0.34354083125188029</c:v>
                </c:pt>
                <c:pt idx="7">
                  <c:v>19.775751931860665</c:v>
                </c:pt>
                <c:pt idx="8">
                  <c:v>7.0195207927397698</c:v>
                </c:pt>
                <c:pt idx="9">
                  <c:v>0.14251481833558566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7886178861788621"/>
                  <c:y val="-5.27866141732283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2357723577235773"/>
                  <c:y val="-0.137300000000000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3.7398502016516226E-2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7560988413033737"/>
                  <c:y val="-0.142156669754515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22.323049542471686</c:v>
                </c:pt>
                <c:pt idx="1">
                  <c:v>3.8195831111797798</c:v>
                </c:pt>
                <c:pt idx="2">
                  <c:v>14.886102115358232</c:v>
                </c:pt>
                <c:pt idx="3">
                  <c:v>47.934745632301649</c:v>
                </c:pt>
                <c:pt idx="4">
                  <c:v>0</c:v>
                </c:pt>
                <c:pt idx="5">
                  <c:v>3.7680547893513147E-2</c:v>
                </c:pt>
                <c:pt idx="6">
                  <c:v>5.5132375091424782E-2</c:v>
                </c:pt>
                <c:pt idx="7">
                  <c:v>7.1842961412467057</c:v>
                </c:pt>
                <c:pt idx="8">
                  <c:v>3.6941950196344844</c:v>
                </c:pt>
                <c:pt idx="9">
                  <c:v>6.5215514822521387E-2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oct.-22</c:v>
                </c:pt>
                <c:pt idx="1">
                  <c:v>nov.-22</c:v>
                </c:pt>
                <c:pt idx="2">
                  <c:v>dic.-22</c:v>
                </c:pt>
                <c:pt idx="3">
                  <c:v>ene.-23</c:v>
                </c:pt>
                <c:pt idx="4">
                  <c:v>feb.-23</c:v>
                </c:pt>
                <c:pt idx="5">
                  <c:v>mar.-23</c:v>
                </c:pt>
                <c:pt idx="6">
                  <c:v>abr.-23</c:v>
                </c:pt>
                <c:pt idx="7">
                  <c:v>may.-23</c:v>
                </c:pt>
                <c:pt idx="8">
                  <c:v>jun.-23</c:v>
                </c:pt>
                <c:pt idx="9">
                  <c:v>jul.-23</c:v>
                </c:pt>
                <c:pt idx="10">
                  <c:v>ago.-23</c:v>
                </c:pt>
                <c:pt idx="11">
                  <c:v>sep.-23</c:v>
                </c:pt>
                <c:pt idx="12">
                  <c:v>oct.-23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0.29400900000000002</c:v>
                </c:pt>
                <c:pt idx="1">
                  <c:v>0.27748800000000001</c:v>
                </c:pt>
                <c:pt idx="2">
                  <c:v>0.28856799999999999</c:v>
                </c:pt>
                <c:pt idx="3">
                  <c:v>0.27497500000000002</c:v>
                </c:pt>
                <c:pt idx="4">
                  <c:v>0.25442500000000001</c:v>
                </c:pt>
                <c:pt idx="5">
                  <c:v>0.28212599999999999</c:v>
                </c:pt>
                <c:pt idx="6">
                  <c:v>0.27610800000000002</c:v>
                </c:pt>
                <c:pt idx="7">
                  <c:v>0.29790899999999998</c:v>
                </c:pt>
                <c:pt idx="8">
                  <c:v>0.28383700000000001</c:v>
                </c:pt>
                <c:pt idx="9">
                  <c:v>0.30198999999999998</c:v>
                </c:pt>
                <c:pt idx="10">
                  <c:v>0.28963</c:v>
                </c:pt>
                <c:pt idx="11">
                  <c:v>0.28927700000000001</c:v>
                </c:pt>
                <c:pt idx="12">
                  <c:v>0.30293500000000001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oct.-22</c:v>
                </c:pt>
                <c:pt idx="1">
                  <c:v>nov.-22</c:v>
                </c:pt>
                <c:pt idx="2">
                  <c:v>dic.-22</c:v>
                </c:pt>
                <c:pt idx="3">
                  <c:v>ene.-23</c:v>
                </c:pt>
                <c:pt idx="4">
                  <c:v>feb.-23</c:v>
                </c:pt>
                <c:pt idx="5">
                  <c:v>mar.-23</c:v>
                </c:pt>
                <c:pt idx="6">
                  <c:v>abr.-23</c:v>
                </c:pt>
                <c:pt idx="7">
                  <c:v>may.-23</c:v>
                </c:pt>
                <c:pt idx="8">
                  <c:v>jun.-23</c:v>
                </c:pt>
                <c:pt idx="9">
                  <c:v>jul.-23</c:v>
                </c:pt>
                <c:pt idx="10">
                  <c:v>ago.-23</c:v>
                </c:pt>
                <c:pt idx="11">
                  <c:v>sep.-23</c:v>
                </c:pt>
                <c:pt idx="12">
                  <c:v>oct.-23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308.95133199999998</c:v>
                </c:pt>
                <c:pt idx="1">
                  <c:v>271.88252899999998</c:v>
                </c:pt>
                <c:pt idx="2">
                  <c:v>312.87680900000004</c:v>
                </c:pt>
                <c:pt idx="3">
                  <c:v>282.44358199999999</c:v>
                </c:pt>
                <c:pt idx="4">
                  <c:v>296.20417700000002</c:v>
                </c:pt>
                <c:pt idx="5">
                  <c:v>261.84115199999997</c:v>
                </c:pt>
                <c:pt idx="6">
                  <c:v>260.1001</c:v>
                </c:pt>
                <c:pt idx="7">
                  <c:v>261.00792300000001</c:v>
                </c:pt>
                <c:pt idx="8">
                  <c:v>265.32891099999995</c:v>
                </c:pt>
                <c:pt idx="9">
                  <c:v>263.81693800000005</c:v>
                </c:pt>
                <c:pt idx="10">
                  <c:v>280.24951799999997</c:v>
                </c:pt>
                <c:pt idx="11">
                  <c:v>278.46901400000002</c:v>
                </c:pt>
                <c:pt idx="12">
                  <c:v>329.85294699999997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oct.-22</c:v>
                </c:pt>
                <c:pt idx="1">
                  <c:v>nov.-22</c:v>
                </c:pt>
                <c:pt idx="2">
                  <c:v>dic.-22</c:v>
                </c:pt>
                <c:pt idx="3">
                  <c:v>ene.-23</c:v>
                </c:pt>
                <c:pt idx="4">
                  <c:v>feb.-23</c:v>
                </c:pt>
                <c:pt idx="5">
                  <c:v>mar.-23</c:v>
                </c:pt>
                <c:pt idx="6">
                  <c:v>abr.-23</c:v>
                </c:pt>
                <c:pt idx="7">
                  <c:v>may.-23</c:v>
                </c:pt>
                <c:pt idx="8">
                  <c:v>jun.-23</c:v>
                </c:pt>
                <c:pt idx="9">
                  <c:v>jul.-23</c:v>
                </c:pt>
                <c:pt idx="10">
                  <c:v>ago.-23</c:v>
                </c:pt>
                <c:pt idx="11">
                  <c:v>sep.-23</c:v>
                </c:pt>
                <c:pt idx="12">
                  <c:v>oct.-23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305.38632699999999</c:v>
                </c:pt>
                <c:pt idx="1">
                  <c:v>309.74341800000002</c:v>
                </c:pt>
                <c:pt idx="2">
                  <c:v>347.66188299999999</c:v>
                </c:pt>
                <c:pt idx="3">
                  <c:v>279.418815</c:v>
                </c:pt>
                <c:pt idx="4">
                  <c:v>289.33312999999998</c:v>
                </c:pt>
                <c:pt idx="5">
                  <c:v>284.83144399999998</c:v>
                </c:pt>
                <c:pt idx="6">
                  <c:v>279.54366599999997</c:v>
                </c:pt>
                <c:pt idx="7">
                  <c:v>275.34098399999999</c:v>
                </c:pt>
                <c:pt idx="8">
                  <c:v>351.45923099999999</c:v>
                </c:pt>
                <c:pt idx="9">
                  <c:v>250.52108799999999</c:v>
                </c:pt>
                <c:pt idx="10">
                  <c:v>306.93109600000003</c:v>
                </c:pt>
                <c:pt idx="11">
                  <c:v>329.65078499999998</c:v>
                </c:pt>
                <c:pt idx="12">
                  <c:v>385.37423100000001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oct.-22</c:v>
                </c:pt>
                <c:pt idx="1">
                  <c:v>nov.-22</c:v>
                </c:pt>
                <c:pt idx="2">
                  <c:v>dic.-22</c:v>
                </c:pt>
                <c:pt idx="3">
                  <c:v>ene.-23</c:v>
                </c:pt>
                <c:pt idx="4">
                  <c:v>feb.-23</c:v>
                </c:pt>
                <c:pt idx="5">
                  <c:v>mar.-23</c:v>
                </c:pt>
                <c:pt idx="6">
                  <c:v>abr.-23</c:v>
                </c:pt>
                <c:pt idx="7">
                  <c:v>may.-23</c:v>
                </c:pt>
                <c:pt idx="8">
                  <c:v>jun.-23</c:v>
                </c:pt>
                <c:pt idx="9">
                  <c:v>jul.-23</c:v>
                </c:pt>
                <c:pt idx="10">
                  <c:v>ago.-23</c:v>
                </c:pt>
                <c:pt idx="11">
                  <c:v>sep.-23</c:v>
                </c:pt>
                <c:pt idx="12">
                  <c:v>oct.-23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1.3500719999999999</c:v>
                </c:pt>
                <c:pt idx="1">
                  <c:v>1.1694089999999999</c:v>
                </c:pt>
                <c:pt idx="2">
                  <c:v>0.36710399999999999</c:v>
                </c:pt>
                <c:pt idx="3">
                  <c:v>1.6495040000000001</c:v>
                </c:pt>
                <c:pt idx="4">
                  <c:v>0.82934099999999999</c:v>
                </c:pt>
                <c:pt idx="5">
                  <c:v>1.5724450000000001</c:v>
                </c:pt>
                <c:pt idx="6">
                  <c:v>1.573337</c:v>
                </c:pt>
                <c:pt idx="7">
                  <c:v>2.0671949999999999</c:v>
                </c:pt>
                <c:pt idx="8">
                  <c:v>0.80873799999999996</c:v>
                </c:pt>
                <c:pt idx="9">
                  <c:v>2.7590569999999999</c:v>
                </c:pt>
                <c:pt idx="10">
                  <c:v>2.6998280000000001</c:v>
                </c:pt>
                <c:pt idx="11">
                  <c:v>1.3149919999999999</c:v>
                </c:pt>
                <c:pt idx="12">
                  <c:v>0.44324000000000002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oct.-22</c:v>
                </c:pt>
                <c:pt idx="1">
                  <c:v>nov.-22</c:v>
                </c:pt>
                <c:pt idx="2">
                  <c:v>dic.-22</c:v>
                </c:pt>
                <c:pt idx="3">
                  <c:v>ene.-23</c:v>
                </c:pt>
                <c:pt idx="4">
                  <c:v>feb.-23</c:v>
                </c:pt>
                <c:pt idx="5">
                  <c:v>mar.-23</c:v>
                </c:pt>
                <c:pt idx="6">
                  <c:v>abr.-23</c:v>
                </c:pt>
                <c:pt idx="7">
                  <c:v>may.-23</c:v>
                </c:pt>
                <c:pt idx="8">
                  <c:v>jun.-23</c:v>
                </c:pt>
                <c:pt idx="9">
                  <c:v>jul.-23</c:v>
                </c:pt>
                <c:pt idx="10">
                  <c:v>ago.-23</c:v>
                </c:pt>
                <c:pt idx="11">
                  <c:v>sep.-23</c:v>
                </c:pt>
                <c:pt idx="12">
                  <c:v>oct.-23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85.870188999999996</c:v>
                </c:pt>
                <c:pt idx="1">
                  <c:v>102.221262</c:v>
                </c:pt>
                <c:pt idx="2">
                  <c:v>37.913117999999997</c:v>
                </c:pt>
                <c:pt idx="3">
                  <c:v>132.72816599999999</c:v>
                </c:pt>
                <c:pt idx="4">
                  <c:v>42.678730999999999</c:v>
                </c:pt>
                <c:pt idx="5">
                  <c:v>130.23741999999999</c:v>
                </c:pt>
                <c:pt idx="6">
                  <c:v>103.68509299999999</c:v>
                </c:pt>
                <c:pt idx="7">
                  <c:v>130.95020099999999</c:v>
                </c:pt>
                <c:pt idx="8">
                  <c:v>63.396431</c:v>
                </c:pt>
                <c:pt idx="9">
                  <c:v>208.493673</c:v>
                </c:pt>
                <c:pt idx="10">
                  <c:v>178.40515199999999</c:v>
                </c:pt>
                <c:pt idx="11">
                  <c:v>103.147462</c:v>
                </c:pt>
                <c:pt idx="12">
                  <c:v>57.758575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oct.-22</c:v>
                </c:pt>
                <c:pt idx="1">
                  <c:v>nov.-22</c:v>
                </c:pt>
                <c:pt idx="2">
                  <c:v>dic.-22</c:v>
                </c:pt>
                <c:pt idx="3">
                  <c:v>ene.-23</c:v>
                </c:pt>
                <c:pt idx="4">
                  <c:v>feb.-23</c:v>
                </c:pt>
                <c:pt idx="5">
                  <c:v>mar.-23</c:v>
                </c:pt>
                <c:pt idx="6">
                  <c:v>abr.-23</c:v>
                </c:pt>
                <c:pt idx="7">
                  <c:v>may.-23</c:v>
                </c:pt>
                <c:pt idx="8">
                  <c:v>jun.-23</c:v>
                </c:pt>
                <c:pt idx="9">
                  <c:v>jul.-23</c:v>
                </c:pt>
                <c:pt idx="10">
                  <c:v>ago.-23</c:v>
                </c:pt>
                <c:pt idx="11">
                  <c:v>sep.-23</c:v>
                </c:pt>
                <c:pt idx="12">
                  <c:v>oct.-23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26.789277999999999</c:v>
                </c:pt>
                <c:pt idx="1">
                  <c:v>23.253195999999999</c:v>
                </c:pt>
                <c:pt idx="2">
                  <c:v>19.060797999999998</c:v>
                </c:pt>
                <c:pt idx="3">
                  <c:v>22.120656</c:v>
                </c:pt>
                <c:pt idx="4">
                  <c:v>20.300953</c:v>
                </c:pt>
                <c:pt idx="5">
                  <c:v>32.428702000000001</c:v>
                </c:pt>
                <c:pt idx="6">
                  <c:v>29.890439000000001</c:v>
                </c:pt>
                <c:pt idx="7">
                  <c:v>30.462913</c:v>
                </c:pt>
                <c:pt idx="8">
                  <c:v>30.366741999999999</c:v>
                </c:pt>
                <c:pt idx="9">
                  <c:v>34.304943999999999</c:v>
                </c:pt>
                <c:pt idx="10">
                  <c:v>32.757333000000003</c:v>
                </c:pt>
                <c:pt idx="11">
                  <c:v>31.191044999999999</c:v>
                </c:pt>
                <c:pt idx="12">
                  <c:v>29.6997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oct.-22</c:v>
                </c:pt>
                <c:pt idx="1">
                  <c:v>nov.-22</c:v>
                </c:pt>
                <c:pt idx="2">
                  <c:v>dic.-22</c:v>
                </c:pt>
                <c:pt idx="3">
                  <c:v>ene.-23</c:v>
                </c:pt>
                <c:pt idx="4">
                  <c:v>feb.-23</c:v>
                </c:pt>
                <c:pt idx="5">
                  <c:v>mar.-23</c:v>
                </c:pt>
                <c:pt idx="6">
                  <c:v>abr.-23</c:v>
                </c:pt>
                <c:pt idx="7">
                  <c:v>may.-23</c:v>
                </c:pt>
                <c:pt idx="8">
                  <c:v>jun.-23</c:v>
                </c:pt>
                <c:pt idx="9">
                  <c:v>jul.-23</c:v>
                </c:pt>
                <c:pt idx="10">
                  <c:v>ago.-23</c:v>
                </c:pt>
                <c:pt idx="11">
                  <c:v>sep.-23</c:v>
                </c:pt>
                <c:pt idx="12">
                  <c:v>oct.-23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0.73132799999999998</c:v>
                </c:pt>
                <c:pt idx="1">
                  <c:v>0.76498500000000003</c:v>
                </c:pt>
                <c:pt idx="2">
                  <c:v>0.78453200000000001</c:v>
                </c:pt>
                <c:pt idx="3">
                  <c:v>0.78413299999999997</c:v>
                </c:pt>
                <c:pt idx="4">
                  <c:v>0.71108700000000002</c:v>
                </c:pt>
                <c:pt idx="5">
                  <c:v>0.73842799999999997</c:v>
                </c:pt>
                <c:pt idx="6">
                  <c:v>0.63095199999999996</c:v>
                </c:pt>
                <c:pt idx="7">
                  <c:v>0.65055600000000002</c:v>
                </c:pt>
                <c:pt idx="8">
                  <c:v>0.66513100000000003</c:v>
                </c:pt>
                <c:pt idx="9">
                  <c:v>0.64607300000000001</c:v>
                </c:pt>
                <c:pt idx="10">
                  <c:v>0.37482700000000002</c:v>
                </c:pt>
                <c:pt idx="11">
                  <c:v>0.37211699999999998</c:v>
                </c:pt>
                <c:pt idx="12">
                  <c:v>0.52430399999999999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Octubre 2023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="80" zoomScaleNormal="80" workbookViewId="0">
      <selection activeCell="A19" sqref="A19"/>
    </sheetView>
  </sheetViews>
  <sheetFormatPr baseColWidth="10" defaultColWidth="11.42578125" defaultRowHeight="12"/>
  <cols>
    <col min="1" max="1" width="9.7109375" style="102" bestFit="1" customWidth="1"/>
    <col min="2" max="2" width="13.28515625" style="102" bestFit="1" customWidth="1"/>
    <col min="3" max="3" width="24.5703125" style="102" bestFit="1" customWidth="1"/>
    <col min="4" max="4" width="20.28515625" style="102" bestFit="1" customWidth="1"/>
    <col min="5" max="5" width="20.85546875" style="102" bestFit="1" customWidth="1"/>
    <col min="6" max="6" width="33.28515625" style="102" bestFit="1" customWidth="1"/>
    <col min="7" max="7" width="24.5703125" style="102" bestFit="1" customWidth="1"/>
    <col min="8" max="8" width="20.28515625" style="102" bestFit="1" customWidth="1"/>
    <col min="9" max="9" width="20.85546875" style="102" bestFit="1" customWidth="1"/>
    <col min="10" max="10" width="28.7109375" style="102" bestFit="1" customWidth="1"/>
    <col min="11" max="11" width="29" style="102" bestFit="1" customWidth="1"/>
    <col min="12" max="12" width="24.7109375" style="102" bestFit="1" customWidth="1"/>
    <col min="13" max="13" width="25.28515625" style="102" bestFit="1" customWidth="1"/>
    <col min="14" max="14" width="33.28515625" style="102" bestFit="1" customWidth="1"/>
    <col min="15" max="33" width="21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127</v>
      </c>
      <c r="B2" s="133" t="s">
        <v>128</v>
      </c>
    </row>
    <row r="4" spans="1:33" ht="15">
      <c r="A4" s="134" t="s">
        <v>67</v>
      </c>
      <c r="B4" s="199" t="s">
        <v>127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5" spans="1:33" ht="15">
      <c r="A5" s="134" t="s">
        <v>68</v>
      </c>
      <c r="B5" s="201" t="s">
        <v>15</v>
      </c>
      <c r="C5" s="202"/>
      <c r="D5" s="202"/>
      <c r="E5" s="202"/>
      <c r="F5" s="202"/>
      <c r="G5" s="202"/>
      <c r="H5" s="202"/>
      <c r="I5" s="203"/>
      <c r="J5" s="201" t="s">
        <v>14</v>
      </c>
      <c r="K5" s="202"/>
      <c r="L5" s="202"/>
      <c r="M5" s="202"/>
      <c r="N5" s="202"/>
      <c r="O5" s="202"/>
      <c r="P5" s="202"/>
      <c r="Q5" s="203"/>
      <c r="R5" s="201" t="s">
        <v>57</v>
      </c>
      <c r="S5" s="202"/>
      <c r="T5" s="202"/>
      <c r="U5" s="202"/>
      <c r="V5" s="202"/>
      <c r="W5" s="202"/>
      <c r="X5" s="202"/>
      <c r="Y5" s="203"/>
      <c r="Z5" s="201" t="s">
        <v>58</v>
      </c>
      <c r="AA5" s="202"/>
      <c r="AB5" s="202"/>
      <c r="AC5" s="202"/>
      <c r="AD5" s="202"/>
      <c r="AE5" s="202"/>
      <c r="AF5" s="202"/>
      <c r="AG5" s="202"/>
    </row>
    <row r="6" spans="1:33">
      <c r="A6" s="134" t="s">
        <v>69</v>
      </c>
      <c r="B6" s="184" t="s">
        <v>59</v>
      </c>
      <c r="C6" s="184" t="s">
        <v>60</v>
      </c>
      <c r="D6" s="184" t="s">
        <v>61</v>
      </c>
      <c r="E6" s="184" t="s">
        <v>62</v>
      </c>
      <c r="F6" s="184" t="s">
        <v>63</v>
      </c>
      <c r="G6" s="184" t="s">
        <v>64</v>
      </c>
      <c r="H6" s="184" t="s">
        <v>65</v>
      </c>
      <c r="I6" s="184" t="s">
        <v>66</v>
      </c>
      <c r="J6" s="184" t="s">
        <v>59</v>
      </c>
      <c r="K6" s="184" t="s">
        <v>60</v>
      </c>
      <c r="L6" s="184" t="s">
        <v>61</v>
      </c>
      <c r="M6" s="184" t="s">
        <v>62</v>
      </c>
      <c r="N6" s="184" t="s">
        <v>63</v>
      </c>
      <c r="O6" s="184" t="s">
        <v>64</v>
      </c>
      <c r="P6" s="184" t="s">
        <v>65</v>
      </c>
      <c r="Q6" s="184" t="s">
        <v>66</v>
      </c>
      <c r="R6" s="184" t="s">
        <v>59</v>
      </c>
      <c r="S6" s="184" t="s">
        <v>60</v>
      </c>
      <c r="T6" s="184" t="s">
        <v>61</v>
      </c>
      <c r="U6" s="184" t="s">
        <v>62</v>
      </c>
      <c r="V6" s="184" t="s">
        <v>63</v>
      </c>
      <c r="W6" s="184" t="s">
        <v>64</v>
      </c>
      <c r="X6" s="184" t="s">
        <v>65</v>
      </c>
      <c r="Y6" s="184" t="s">
        <v>66</v>
      </c>
      <c r="Z6" s="184" t="s">
        <v>59</v>
      </c>
      <c r="AA6" s="184" t="s">
        <v>60</v>
      </c>
      <c r="AB6" s="184" t="s">
        <v>61</v>
      </c>
      <c r="AC6" s="184" t="s">
        <v>62</v>
      </c>
      <c r="AD6" s="184" t="s">
        <v>63</v>
      </c>
      <c r="AE6" s="184" t="s">
        <v>64</v>
      </c>
      <c r="AF6" s="184" t="s">
        <v>65</v>
      </c>
      <c r="AG6" s="184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71">
        <v>0</v>
      </c>
      <c r="C8" s="171">
        <v>0</v>
      </c>
      <c r="D8" s="172">
        <v>0</v>
      </c>
      <c r="E8" s="171">
        <v>0</v>
      </c>
      <c r="F8" s="171">
        <v>0</v>
      </c>
      <c r="G8" s="172">
        <v>0</v>
      </c>
      <c r="H8" s="171">
        <v>0</v>
      </c>
      <c r="I8" s="172">
        <v>0</v>
      </c>
      <c r="J8" s="171">
        <v>0</v>
      </c>
      <c r="K8" s="171">
        <v>0</v>
      </c>
      <c r="L8" s="172">
        <v>0</v>
      </c>
      <c r="M8" s="171">
        <v>0</v>
      </c>
      <c r="N8" s="171">
        <v>0</v>
      </c>
      <c r="O8" s="172">
        <v>0</v>
      </c>
      <c r="P8" s="171">
        <v>0</v>
      </c>
      <c r="Q8" s="172">
        <v>0</v>
      </c>
      <c r="R8" s="171">
        <v>0</v>
      </c>
      <c r="S8" s="171">
        <v>0</v>
      </c>
      <c r="T8" s="172">
        <v>0</v>
      </c>
      <c r="U8" s="171">
        <v>0</v>
      </c>
      <c r="V8" s="171">
        <v>0</v>
      </c>
      <c r="W8" s="172">
        <v>0</v>
      </c>
      <c r="X8" s="171">
        <v>0</v>
      </c>
      <c r="Y8" s="172">
        <v>0</v>
      </c>
      <c r="Z8" s="171">
        <v>302.935</v>
      </c>
      <c r="AA8" s="171">
        <v>294.00900000000001</v>
      </c>
      <c r="AB8" s="172">
        <v>3.03596148E-2</v>
      </c>
      <c r="AC8" s="171">
        <v>2853.212</v>
      </c>
      <c r="AD8" s="171">
        <v>2865.4389999999999</v>
      </c>
      <c r="AE8" s="172">
        <v>-4.2670599999999996E-3</v>
      </c>
      <c r="AF8" s="171">
        <v>3419.268</v>
      </c>
      <c r="AG8" s="172">
        <v>5.14169955E-2</v>
      </c>
    </row>
    <row r="9" spans="1:33">
      <c r="A9" s="133" t="s">
        <v>11</v>
      </c>
      <c r="B9" s="171">
        <v>0</v>
      </c>
      <c r="C9" s="171">
        <v>0</v>
      </c>
      <c r="D9" s="172">
        <v>0</v>
      </c>
      <c r="E9" s="171">
        <v>0</v>
      </c>
      <c r="F9" s="171">
        <v>0</v>
      </c>
      <c r="G9" s="172">
        <v>0</v>
      </c>
      <c r="H9" s="171">
        <v>0</v>
      </c>
      <c r="I9" s="172">
        <v>0</v>
      </c>
      <c r="J9" s="171">
        <v>0</v>
      </c>
      <c r="K9" s="171">
        <v>0</v>
      </c>
      <c r="L9" s="172">
        <v>0</v>
      </c>
      <c r="M9" s="171">
        <v>0</v>
      </c>
      <c r="N9" s="171">
        <v>0</v>
      </c>
      <c r="O9" s="172">
        <v>0</v>
      </c>
      <c r="P9" s="171">
        <v>0</v>
      </c>
      <c r="Q9" s="172">
        <v>0</v>
      </c>
      <c r="R9" s="171">
        <v>-827.24900000000002</v>
      </c>
      <c r="S9" s="171">
        <v>-613.23199999999997</v>
      </c>
      <c r="T9" s="172">
        <v>0.34899842149999999</v>
      </c>
      <c r="U9" s="171">
        <v>62083.322</v>
      </c>
      <c r="V9" s="171">
        <v>79867.115000000005</v>
      </c>
      <c r="W9" s="172">
        <v>-0.22266727680000001</v>
      </c>
      <c r="X9" s="171">
        <v>60868.411999999997</v>
      </c>
      <c r="Y9" s="172">
        <v>-0.2262896526</v>
      </c>
      <c r="Z9" s="171">
        <v>0</v>
      </c>
      <c r="AA9" s="171">
        <v>0</v>
      </c>
      <c r="AB9" s="172">
        <v>0</v>
      </c>
      <c r="AC9" s="171">
        <v>0</v>
      </c>
      <c r="AD9" s="171">
        <v>0</v>
      </c>
      <c r="AE9" s="172">
        <v>0</v>
      </c>
      <c r="AF9" s="171">
        <v>0</v>
      </c>
      <c r="AG9" s="172">
        <v>0</v>
      </c>
    </row>
    <row r="10" spans="1:33">
      <c r="A10" s="133" t="s">
        <v>78</v>
      </c>
      <c r="B10" s="171">
        <v>15701.598</v>
      </c>
      <c r="C10" s="171">
        <v>16124.66</v>
      </c>
      <c r="D10" s="172">
        <v>-2.6236956299999999E-2</v>
      </c>
      <c r="E10" s="171">
        <v>155946.736</v>
      </c>
      <c r="F10" s="171">
        <v>164362.27499999999</v>
      </c>
      <c r="G10" s="172">
        <v>-5.1201159099999997E-2</v>
      </c>
      <c r="H10" s="171">
        <v>186505.226</v>
      </c>
      <c r="I10" s="172">
        <v>-5.43969313E-2</v>
      </c>
      <c r="J10" s="171">
        <v>16257.333000000001</v>
      </c>
      <c r="K10" s="171">
        <v>14435.431</v>
      </c>
      <c r="L10" s="172">
        <v>0.1262104332</v>
      </c>
      <c r="M10" s="171">
        <v>161720.93400000001</v>
      </c>
      <c r="N10" s="171">
        <v>156428.74799999999</v>
      </c>
      <c r="O10" s="172">
        <v>3.3831287799999998E-2</v>
      </c>
      <c r="P10" s="171">
        <v>189865.44399999999</v>
      </c>
      <c r="Q10" s="172">
        <v>1.55583561E-2</v>
      </c>
      <c r="R10" s="171">
        <v>16979.832999999999</v>
      </c>
      <c r="S10" s="171">
        <v>17166.285</v>
      </c>
      <c r="T10" s="172">
        <v>-1.0861523E-2</v>
      </c>
      <c r="U10" s="171">
        <v>239147.93700000001</v>
      </c>
      <c r="V10" s="171">
        <v>389923.413</v>
      </c>
      <c r="W10" s="172">
        <v>-0.38667971960000003</v>
      </c>
      <c r="X10" s="171">
        <v>250640.329</v>
      </c>
      <c r="Y10" s="172">
        <v>-0.42813437250000003</v>
      </c>
      <c r="Z10" s="171">
        <v>179467.481</v>
      </c>
      <c r="AA10" s="171">
        <v>153687.28</v>
      </c>
      <c r="AB10" s="172">
        <v>0.16774453289999999</v>
      </c>
      <c r="AC10" s="171">
        <v>1543903.933</v>
      </c>
      <c r="AD10" s="171">
        <v>1432970.902</v>
      </c>
      <c r="AE10" s="172">
        <v>7.7414712900000002E-2</v>
      </c>
      <c r="AF10" s="171">
        <v>1866173.0589999999</v>
      </c>
      <c r="AG10" s="172">
        <v>7.2470969199999999E-2</v>
      </c>
    </row>
    <row r="11" spans="1:33">
      <c r="A11" s="133" t="s">
        <v>9</v>
      </c>
      <c r="B11" s="171">
        <v>1.954</v>
      </c>
      <c r="C11" s="171">
        <v>3.206</v>
      </c>
      <c r="D11" s="172">
        <v>-0.39051777920000003</v>
      </c>
      <c r="E11" s="171">
        <v>230.84100000000001</v>
      </c>
      <c r="F11" s="171">
        <v>144.346</v>
      </c>
      <c r="G11" s="172">
        <v>0.59921992989999995</v>
      </c>
      <c r="H11" s="171">
        <v>565.02599999999995</v>
      </c>
      <c r="I11" s="172">
        <v>2.6035510883000001</v>
      </c>
      <c r="J11" s="171">
        <v>2.1389999999999998</v>
      </c>
      <c r="K11" s="171">
        <v>1.56</v>
      </c>
      <c r="L11" s="172">
        <v>0.37115384620000003</v>
      </c>
      <c r="M11" s="171">
        <v>41.148000000000003</v>
      </c>
      <c r="N11" s="171">
        <v>97.775999999999996</v>
      </c>
      <c r="O11" s="172">
        <v>-0.57916053020000002</v>
      </c>
      <c r="P11" s="171">
        <v>43.264000000000003</v>
      </c>
      <c r="Q11" s="172">
        <v>-0.5605797455</v>
      </c>
      <c r="R11" s="171">
        <v>44274.277999999998</v>
      </c>
      <c r="S11" s="171">
        <v>42597.77</v>
      </c>
      <c r="T11" s="172">
        <v>3.9356708099999999E-2</v>
      </c>
      <c r="U11" s="171">
        <v>451389.78</v>
      </c>
      <c r="V11" s="171">
        <v>346026.505</v>
      </c>
      <c r="W11" s="172">
        <v>0.30449481029999997</v>
      </c>
      <c r="X11" s="171">
        <v>501271.25199999998</v>
      </c>
      <c r="Y11" s="172">
        <v>0.34372338860000001</v>
      </c>
      <c r="Z11" s="171">
        <v>30707.764999999999</v>
      </c>
      <c r="AA11" s="171">
        <v>36672.798000000003</v>
      </c>
      <c r="AB11" s="172">
        <v>-0.16265551919999999</v>
      </c>
      <c r="AC11" s="171">
        <v>205192.698</v>
      </c>
      <c r="AD11" s="171">
        <v>214942.22399999999</v>
      </c>
      <c r="AE11" s="172">
        <v>-4.5358821600000002E-2</v>
      </c>
      <c r="AF11" s="171">
        <v>251241.348</v>
      </c>
      <c r="AG11" s="172">
        <v>1.7027315599999999E-2</v>
      </c>
    </row>
    <row r="12" spans="1:33">
      <c r="A12" s="133" t="s">
        <v>8</v>
      </c>
      <c r="B12" s="171">
        <v>0</v>
      </c>
      <c r="C12" s="171">
        <v>0</v>
      </c>
      <c r="D12" s="172">
        <v>0</v>
      </c>
      <c r="E12" s="171">
        <v>0</v>
      </c>
      <c r="F12" s="171">
        <v>0</v>
      </c>
      <c r="G12" s="172">
        <v>0</v>
      </c>
      <c r="H12" s="171">
        <v>0</v>
      </c>
      <c r="I12" s="172">
        <v>0</v>
      </c>
      <c r="J12" s="171">
        <v>0</v>
      </c>
      <c r="K12" s="171">
        <v>0</v>
      </c>
      <c r="L12" s="172">
        <v>0</v>
      </c>
      <c r="M12" s="171">
        <v>0</v>
      </c>
      <c r="N12" s="171">
        <v>0</v>
      </c>
      <c r="O12" s="172">
        <v>0</v>
      </c>
      <c r="P12" s="171">
        <v>0</v>
      </c>
      <c r="Q12" s="172">
        <v>0</v>
      </c>
      <c r="R12" s="171">
        <v>0</v>
      </c>
      <c r="S12" s="171">
        <v>0</v>
      </c>
      <c r="T12" s="172">
        <v>0</v>
      </c>
      <c r="U12" s="171">
        <v>0</v>
      </c>
      <c r="V12" s="171">
        <v>0</v>
      </c>
      <c r="W12" s="172">
        <v>0</v>
      </c>
      <c r="X12" s="171">
        <v>0</v>
      </c>
      <c r="Y12" s="172">
        <v>0</v>
      </c>
      <c r="Z12" s="171">
        <v>119677.701</v>
      </c>
      <c r="AA12" s="171">
        <v>118598.82</v>
      </c>
      <c r="AB12" s="172">
        <v>9.0968948999999993E-3</v>
      </c>
      <c r="AC12" s="171">
        <v>1030283.6189999999</v>
      </c>
      <c r="AD12" s="171">
        <v>990765.24</v>
      </c>
      <c r="AE12" s="172">
        <v>3.9886723300000003E-2</v>
      </c>
      <c r="AF12" s="171">
        <v>1246751.443</v>
      </c>
      <c r="AG12" s="172">
        <v>2.2941564899999999E-2</v>
      </c>
    </row>
    <row r="13" spans="1:33">
      <c r="A13" s="133" t="s">
        <v>25</v>
      </c>
      <c r="B13" s="171">
        <v>0</v>
      </c>
      <c r="C13" s="171">
        <v>0</v>
      </c>
      <c r="D13" s="172">
        <v>0</v>
      </c>
      <c r="E13" s="171">
        <v>0</v>
      </c>
      <c r="F13" s="171">
        <v>0</v>
      </c>
      <c r="G13" s="172">
        <v>0</v>
      </c>
      <c r="H13" s="171">
        <v>0</v>
      </c>
      <c r="I13" s="172">
        <v>0</v>
      </c>
      <c r="J13" s="171">
        <v>0</v>
      </c>
      <c r="K13" s="171">
        <v>0</v>
      </c>
      <c r="L13" s="172">
        <v>0</v>
      </c>
      <c r="M13" s="171">
        <v>0</v>
      </c>
      <c r="N13" s="171">
        <v>0</v>
      </c>
      <c r="O13" s="172">
        <v>0</v>
      </c>
      <c r="P13" s="171">
        <v>0</v>
      </c>
      <c r="Q13" s="172">
        <v>0</v>
      </c>
      <c r="R13" s="171">
        <v>247112.68400000001</v>
      </c>
      <c r="S13" s="171">
        <v>297321.31</v>
      </c>
      <c r="T13" s="172">
        <v>-0.1688699206</v>
      </c>
      <c r="U13" s="171">
        <v>2613055.443</v>
      </c>
      <c r="V13" s="171">
        <v>3500015.534</v>
      </c>
      <c r="W13" s="172">
        <v>-0.25341604410000002</v>
      </c>
      <c r="X13" s="171">
        <v>3098720.2590000001</v>
      </c>
      <c r="Y13" s="172">
        <v>-0.25116309260000003</v>
      </c>
      <c r="Z13" s="171">
        <v>385374.23100000003</v>
      </c>
      <c r="AA13" s="171">
        <v>305386.32699999999</v>
      </c>
      <c r="AB13" s="172">
        <v>0.26192365839999998</v>
      </c>
      <c r="AC13" s="171">
        <v>3032404.47</v>
      </c>
      <c r="AD13" s="171">
        <v>2932605.2259999998</v>
      </c>
      <c r="AE13" s="172">
        <v>3.4030916600000002E-2</v>
      </c>
      <c r="AF13" s="171">
        <v>3689809.7710000002</v>
      </c>
      <c r="AG13" s="172">
        <v>3.4164842799999998E-2</v>
      </c>
    </row>
    <row r="14" spans="1:33">
      <c r="A14" s="133" t="s">
        <v>24</v>
      </c>
      <c r="B14" s="171">
        <v>0</v>
      </c>
      <c r="C14" s="171">
        <v>0</v>
      </c>
      <c r="D14" s="172">
        <v>0</v>
      </c>
      <c r="E14" s="171">
        <v>0</v>
      </c>
      <c r="F14" s="171">
        <v>0</v>
      </c>
      <c r="G14" s="172">
        <v>0</v>
      </c>
      <c r="H14" s="171">
        <v>0</v>
      </c>
      <c r="I14" s="172">
        <v>0</v>
      </c>
      <c r="J14" s="171">
        <v>0</v>
      </c>
      <c r="K14" s="171">
        <v>0</v>
      </c>
      <c r="L14" s="172">
        <v>0</v>
      </c>
      <c r="M14" s="171">
        <v>0</v>
      </c>
      <c r="N14" s="171">
        <v>0</v>
      </c>
      <c r="O14" s="172">
        <v>0</v>
      </c>
      <c r="P14" s="171">
        <v>0</v>
      </c>
      <c r="Q14" s="172">
        <v>0</v>
      </c>
      <c r="R14" s="171">
        <v>0</v>
      </c>
      <c r="S14" s="171">
        <v>904.69799999999998</v>
      </c>
      <c r="T14" s="172">
        <v>-1</v>
      </c>
      <c r="U14" s="171">
        <v>0</v>
      </c>
      <c r="V14" s="171">
        <v>12117.501</v>
      </c>
      <c r="W14" s="172">
        <v>-1</v>
      </c>
      <c r="X14" s="171">
        <v>0</v>
      </c>
      <c r="Y14" s="172">
        <v>-1</v>
      </c>
      <c r="Z14" s="171">
        <v>0</v>
      </c>
      <c r="AA14" s="171">
        <v>-7.5659999999999998</v>
      </c>
      <c r="AB14" s="172">
        <v>-1</v>
      </c>
      <c r="AC14" s="171">
        <v>-65.988</v>
      </c>
      <c r="AD14" s="171">
        <v>-39.409999999999997</v>
      </c>
      <c r="AE14" s="172">
        <v>0.67439736110000004</v>
      </c>
      <c r="AF14" s="171">
        <v>-92.25</v>
      </c>
      <c r="AG14" s="172">
        <v>1.3407764526999999</v>
      </c>
    </row>
    <row r="15" spans="1:33">
      <c r="A15" s="133" t="s">
        <v>6</v>
      </c>
      <c r="B15" s="171">
        <v>0</v>
      </c>
      <c r="C15" s="171">
        <v>0</v>
      </c>
      <c r="D15" s="172">
        <v>0</v>
      </c>
      <c r="E15" s="171">
        <v>0</v>
      </c>
      <c r="F15" s="171">
        <v>0</v>
      </c>
      <c r="G15" s="172">
        <v>0</v>
      </c>
      <c r="H15" s="171">
        <v>0</v>
      </c>
      <c r="I15" s="172">
        <v>0</v>
      </c>
      <c r="J15" s="171">
        <v>0</v>
      </c>
      <c r="K15" s="171">
        <v>0</v>
      </c>
      <c r="L15" s="172">
        <v>0</v>
      </c>
      <c r="M15" s="171">
        <v>0</v>
      </c>
      <c r="N15" s="171">
        <v>0</v>
      </c>
      <c r="O15" s="172">
        <v>0</v>
      </c>
      <c r="P15" s="171">
        <v>0</v>
      </c>
      <c r="Q15" s="172">
        <v>0</v>
      </c>
      <c r="R15" s="171">
        <v>0</v>
      </c>
      <c r="S15" s="171">
        <v>0</v>
      </c>
      <c r="T15" s="172">
        <v>0</v>
      </c>
      <c r="U15" s="171">
        <v>0</v>
      </c>
      <c r="V15" s="171">
        <v>0</v>
      </c>
      <c r="W15" s="172">
        <v>0</v>
      </c>
      <c r="X15" s="171">
        <v>0</v>
      </c>
      <c r="Y15" s="172">
        <v>0</v>
      </c>
      <c r="Z15" s="171">
        <v>443.24</v>
      </c>
      <c r="AA15" s="171">
        <v>1350.0719999999999</v>
      </c>
      <c r="AB15" s="172">
        <v>-0.67169158390000006</v>
      </c>
      <c r="AC15" s="171">
        <v>15717.677</v>
      </c>
      <c r="AD15" s="171">
        <v>21344.330999999998</v>
      </c>
      <c r="AE15" s="172">
        <v>-0.2636135094</v>
      </c>
      <c r="AF15" s="171">
        <v>17254.189999999999</v>
      </c>
      <c r="AG15" s="172">
        <v>-0.27234298680000002</v>
      </c>
    </row>
    <row r="16" spans="1:33">
      <c r="A16" s="133" t="s">
        <v>5</v>
      </c>
      <c r="B16" s="171">
        <v>0</v>
      </c>
      <c r="C16" s="171">
        <v>0</v>
      </c>
      <c r="D16" s="172">
        <v>0</v>
      </c>
      <c r="E16" s="171">
        <v>0</v>
      </c>
      <c r="F16" s="171">
        <v>0</v>
      </c>
      <c r="G16" s="172">
        <v>0</v>
      </c>
      <c r="H16" s="171">
        <v>0</v>
      </c>
      <c r="I16" s="172">
        <v>0</v>
      </c>
      <c r="J16" s="171">
        <v>0</v>
      </c>
      <c r="K16" s="171">
        <v>0</v>
      </c>
      <c r="L16" s="172">
        <v>0</v>
      </c>
      <c r="M16" s="171">
        <v>0</v>
      </c>
      <c r="N16" s="171">
        <v>0</v>
      </c>
      <c r="O16" s="172">
        <v>0</v>
      </c>
      <c r="P16" s="171">
        <v>0</v>
      </c>
      <c r="Q16" s="172">
        <v>0</v>
      </c>
      <c r="R16" s="171">
        <v>10.36</v>
      </c>
      <c r="S16" s="171">
        <v>2.8530000000000002</v>
      </c>
      <c r="T16" s="172">
        <v>2.6312653347000001</v>
      </c>
      <c r="U16" s="171">
        <v>1259.3420000000001</v>
      </c>
      <c r="V16" s="171">
        <v>1322.498</v>
      </c>
      <c r="W16" s="172">
        <v>-4.77550817E-2</v>
      </c>
      <c r="X16" s="171">
        <v>1386.2139999999999</v>
      </c>
      <c r="Y16" s="172">
        <v>-6.6592957300000005E-2</v>
      </c>
      <c r="Z16" s="171">
        <v>57758.574999999997</v>
      </c>
      <c r="AA16" s="171">
        <v>85870.188999999998</v>
      </c>
      <c r="AB16" s="172">
        <v>-0.32737337979999998</v>
      </c>
      <c r="AC16" s="171">
        <v>1151480.9040000001</v>
      </c>
      <c r="AD16" s="171">
        <v>1233091.892</v>
      </c>
      <c r="AE16" s="172">
        <v>-6.6184027800000003E-2</v>
      </c>
      <c r="AF16" s="171">
        <v>1291615.284</v>
      </c>
      <c r="AG16" s="172">
        <v>-8.8872996999999995E-2</v>
      </c>
    </row>
    <row r="17" spans="1:33">
      <c r="A17" s="133" t="s">
        <v>4</v>
      </c>
      <c r="B17" s="171">
        <v>0</v>
      </c>
      <c r="C17" s="171">
        <v>0</v>
      </c>
      <c r="D17" s="172">
        <v>0</v>
      </c>
      <c r="E17" s="171">
        <v>0</v>
      </c>
      <c r="F17" s="171">
        <v>0</v>
      </c>
      <c r="G17" s="172">
        <v>0</v>
      </c>
      <c r="H17" s="171">
        <v>0</v>
      </c>
      <c r="I17" s="172">
        <v>0</v>
      </c>
      <c r="J17" s="171">
        <v>5.625</v>
      </c>
      <c r="K17" s="171">
        <v>5.1559999999999997</v>
      </c>
      <c r="L17" s="172">
        <v>9.0961985999999995E-2</v>
      </c>
      <c r="M17" s="171">
        <v>67.994</v>
      </c>
      <c r="N17" s="171">
        <v>64.468999999999994</v>
      </c>
      <c r="O17" s="172">
        <v>5.4677441899999998E-2</v>
      </c>
      <c r="P17" s="171">
        <v>75.742999999999995</v>
      </c>
      <c r="Q17" s="172">
        <v>7.9975475500000004E-2</v>
      </c>
      <c r="R17" s="171">
        <v>32549.161</v>
      </c>
      <c r="S17" s="171">
        <v>23675.008000000002</v>
      </c>
      <c r="T17" s="172">
        <v>0.37483210140000001</v>
      </c>
      <c r="U17" s="171">
        <v>332193.28499999997</v>
      </c>
      <c r="V17" s="171">
        <v>236610.14</v>
      </c>
      <c r="W17" s="172">
        <v>0.40396892960000003</v>
      </c>
      <c r="X17" s="171">
        <v>365058.09100000001</v>
      </c>
      <c r="Y17" s="172">
        <v>0.42277738510000001</v>
      </c>
      <c r="Z17" s="171">
        <v>29699.7</v>
      </c>
      <c r="AA17" s="171">
        <v>26789.277999999998</v>
      </c>
      <c r="AB17" s="172">
        <v>0.1086413004</v>
      </c>
      <c r="AC17" s="171">
        <v>293523.42700000003</v>
      </c>
      <c r="AD17" s="171">
        <v>272195.01299999998</v>
      </c>
      <c r="AE17" s="172">
        <v>7.83571079E-2</v>
      </c>
      <c r="AF17" s="171">
        <v>335837.42099999997</v>
      </c>
      <c r="AG17" s="172">
        <v>0.1037194174</v>
      </c>
    </row>
    <row r="18" spans="1:33">
      <c r="A18" s="133" t="s">
        <v>22</v>
      </c>
      <c r="B18" s="171">
        <v>0</v>
      </c>
      <c r="C18" s="171">
        <v>0</v>
      </c>
      <c r="D18" s="172">
        <v>0</v>
      </c>
      <c r="E18" s="171">
        <v>0</v>
      </c>
      <c r="F18" s="171">
        <v>0</v>
      </c>
      <c r="G18" s="172">
        <v>0</v>
      </c>
      <c r="H18" s="171">
        <v>0</v>
      </c>
      <c r="I18" s="172">
        <v>0</v>
      </c>
      <c r="J18" s="171">
        <v>0</v>
      </c>
      <c r="K18" s="171">
        <v>0</v>
      </c>
      <c r="L18" s="172">
        <v>0</v>
      </c>
      <c r="M18" s="171">
        <v>0</v>
      </c>
      <c r="N18" s="171">
        <v>0</v>
      </c>
      <c r="O18" s="172">
        <v>0</v>
      </c>
      <c r="P18" s="171">
        <v>0</v>
      </c>
      <c r="Q18" s="172">
        <v>0</v>
      </c>
      <c r="R18" s="171">
        <v>39.588000000000001</v>
      </c>
      <c r="S18" s="171">
        <v>96.992000000000004</v>
      </c>
      <c r="T18" s="172">
        <v>-0.59184262620000005</v>
      </c>
      <c r="U18" s="171">
        <v>725.52099999999996</v>
      </c>
      <c r="V18" s="171">
        <v>1620.9949999999999</v>
      </c>
      <c r="W18" s="172">
        <v>-0.55242243189999996</v>
      </c>
      <c r="X18" s="171">
        <v>887.12400000000002</v>
      </c>
      <c r="Y18" s="172">
        <v>-0.57584986709999997</v>
      </c>
      <c r="Z18" s="171">
        <v>524.30399999999997</v>
      </c>
      <c r="AA18" s="171">
        <v>731.32799999999997</v>
      </c>
      <c r="AB18" s="172">
        <v>-0.28307954839999999</v>
      </c>
      <c r="AC18" s="171">
        <v>6097.6080000000002</v>
      </c>
      <c r="AD18" s="171">
        <v>7371.8429999999998</v>
      </c>
      <c r="AE18" s="172">
        <v>-0.17285161930000001</v>
      </c>
      <c r="AF18" s="171">
        <v>7647.125</v>
      </c>
      <c r="AG18" s="172">
        <v>-0.14573670150000001</v>
      </c>
    </row>
    <row r="19" spans="1:33">
      <c r="A19" s="133" t="s">
        <v>23</v>
      </c>
      <c r="B19" s="171">
        <v>0</v>
      </c>
      <c r="C19" s="171">
        <v>0</v>
      </c>
      <c r="D19" s="172">
        <v>0</v>
      </c>
      <c r="E19" s="171">
        <v>0</v>
      </c>
      <c r="F19" s="171">
        <v>0</v>
      </c>
      <c r="G19" s="172">
        <v>0</v>
      </c>
      <c r="H19" s="171">
        <v>0</v>
      </c>
      <c r="I19" s="172">
        <v>0</v>
      </c>
      <c r="J19" s="171">
        <v>0</v>
      </c>
      <c r="K19" s="171">
        <v>0</v>
      </c>
      <c r="L19" s="172">
        <v>0</v>
      </c>
      <c r="M19" s="171">
        <v>0</v>
      </c>
      <c r="N19" s="171">
        <v>0</v>
      </c>
      <c r="O19" s="172">
        <v>0</v>
      </c>
      <c r="P19" s="171">
        <v>0</v>
      </c>
      <c r="Q19" s="172">
        <v>0</v>
      </c>
      <c r="R19" s="171">
        <v>1729.4939999999999</v>
      </c>
      <c r="S19" s="171">
        <v>1826.864</v>
      </c>
      <c r="T19" s="172">
        <v>-5.3298986700000002E-2</v>
      </c>
      <c r="U19" s="171">
        <v>32373.182000000001</v>
      </c>
      <c r="V19" s="171">
        <v>20871.243999999999</v>
      </c>
      <c r="W19" s="172">
        <v>0.55109019859999997</v>
      </c>
      <c r="X19" s="171">
        <v>37866.485999999997</v>
      </c>
      <c r="Y19" s="172">
        <v>0.4675612891</v>
      </c>
      <c r="Z19" s="171">
        <v>0</v>
      </c>
      <c r="AA19" s="171">
        <v>0</v>
      </c>
      <c r="AB19" s="172">
        <v>0</v>
      </c>
      <c r="AC19" s="171">
        <v>0</v>
      </c>
      <c r="AD19" s="171">
        <v>0</v>
      </c>
      <c r="AE19" s="172">
        <v>0</v>
      </c>
      <c r="AF19" s="171">
        <v>0</v>
      </c>
      <c r="AG19" s="172">
        <v>0</v>
      </c>
    </row>
    <row r="20" spans="1:33">
      <c r="A20" s="133" t="s">
        <v>54</v>
      </c>
      <c r="B20" s="171">
        <v>0</v>
      </c>
      <c r="C20" s="171">
        <v>0</v>
      </c>
      <c r="D20" s="172">
        <v>0</v>
      </c>
      <c r="E20" s="171">
        <v>0</v>
      </c>
      <c r="F20" s="171">
        <v>0</v>
      </c>
      <c r="G20" s="172">
        <v>0</v>
      </c>
      <c r="H20" s="171">
        <v>0</v>
      </c>
      <c r="I20" s="172">
        <v>0</v>
      </c>
      <c r="J20" s="171">
        <v>280.00349999999997</v>
      </c>
      <c r="K20" s="171">
        <v>468.255</v>
      </c>
      <c r="L20" s="172">
        <v>-0.40202774130000002</v>
      </c>
      <c r="M20" s="171">
        <v>4458.9865</v>
      </c>
      <c r="N20" s="171">
        <v>4970.1819999999998</v>
      </c>
      <c r="O20" s="172">
        <v>-0.102852471</v>
      </c>
      <c r="P20" s="171">
        <v>5336.1319999999996</v>
      </c>
      <c r="Q20" s="172">
        <v>-0.1086977655</v>
      </c>
      <c r="R20" s="171">
        <v>10860.91</v>
      </c>
      <c r="S20" s="171">
        <v>11230.754999999999</v>
      </c>
      <c r="T20" s="172">
        <v>-3.29314458E-2</v>
      </c>
      <c r="U20" s="171">
        <v>113008.318</v>
      </c>
      <c r="V20" s="171">
        <v>112458.8285</v>
      </c>
      <c r="W20" s="172">
        <v>4.8861392999999999E-3</v>
      </c>
      <c r="X20" s="171">
        <v>133610.7715</v>
      </c>
      <c r="Y20" s="172">
        <v>-1.17056214E-2</v>
      </c>
      <c r="Z20" s="171">
        <v>0</v>
      </c>
      <c r="AA20" s="171">
        <v>0</v>
      </c>
      <c r="AB20" s="172">
        <v>0</v>
      </c>
      <c r="AC20" s="171">
        <v>0</v>
      </c>
      <c r="AD20" s="171">
        <v>0</v>
      </c>
      <c r="AE20" s="172">
        <v>0</v>
      </c>
      <c r="AF20" s="171">
        <v>0</v>
      </c>
      <c r="AG20" s="172">
        <v>0</v>
      </c>
    </row>
    <row r="21" spans="1:33">
      <c r="A21" s="133" t="s">
        <v>55</v>
      </c>
      <c r="B21" s="171">
        <v>0</v>
      </c>
      <c r="C21" s="171">
        <v>0</v>
      </c>
      <c r="D21" s="172">
        <v>0</v>
      </c>
      <c r="E21" s="171">
        <v>0</v>
      </c>
      <c r="F21" s="171">
        <v>0</v>
      </c>
      <c r="G21" s="172">
        <v>0</v>
      </c>
      <c r="H21" s="171">
        <v>0</v>
      </c>
      <c r="I21" s="172">
        <v>0</v>
      </c>
      <c r="J21" s="171">
        <v>280.00349999999997</v>
      </c>
      <c r="K21" s="171">
        <v>468.255</v>
      </c>
      <c r="L21" s="172">
        <v>-0.40202774130000002</v>
      </c>
      <c r="M21" s="171">
        <v>4458.9865</v>
      </c>
      <c r="N21" s="171">
        <v>4970.1819999999998</v>
      </c>
      <c r="O21" s="172">
        <v>-0.102852471</v>
      </c>
      <c r="P21" s="171">
        <v>5336.1319999999996</v>
      </c>
      <c r="Q21" s="172">
        <v>-0.1086977655</v>
      </c>
      <c r="R21" s="171">
        <v>10860.91</v>
      </c>
      <c r="S21" s="171">
        <v>11230.754999999999</v>
      </c>
      <c r="T21" s="172">
        <v>-3.29314458E-2</v>
      </c>
      <c r="U21" s="171">
        <v>113008.318</v>
      </c>
      <c r="V21" s="171">
        <v>112458.8285</v>
      </c>
      <c r="W21" s="172">
        <v>4.8861392999999999E-3</v>
      </c>
      <c r="X21" s="171">
        <v>133610.7715</v>
      </c>
      <c r="Y21" s="172">
        <v>-1.17056214E-2</v>
      </c>
      <c r="Z21" s="171">
        <v>0</v>
      </c>
      <c r="AA21" s="171">
        <v>0</v>
      </c>
      <c r="AB21" s="172">
        <v>0</v>
      </c>
      <c r="AC21" s="171">
        <v>0</v>
      </c>
      <c r="AD21" s="171">
        <v>0</v>
      </c>
      <c r="AE21" s="172">
        <v>0</v>
      </c>
      <c r="AF21" s="171">
        <v>0</v>
      </c>
      <c r="AG21" s="172">
        <v>0</v>
      </c>
    </row>
    <row r="22" spans="1:33">
      <c r="A22" s="137" t="s">
        <v>2</v>
      </c>
      <c r="B22" s="173">
        <v>15703.552</v>
      </c>
      <c r="C22" s="173">
        <v>16127.866</v>
      </c>
      <c r="D22" s="174">
        <v>-2.63093704E-2</v>
      </c>
      <c r="E22" s="173">
        <v>156177.57699999999</v>
      </c>
      <c r="F22" s="173">
        <v>164506.62100000001</v>
      </c>
      <c r="G22" s="174">
        <v>-5.0630448500000001E-2</v>
      </c>
      <c r="H22" s="173">
        <v>187070.25200000001</v>
      </c>
      <c r="I22" s="174">
        <v>-5.2285597099999997E-2</v>
      </c>
      <c r="J22" s="173">
        <v>16825.103999999999</v>
      </c>
      <c r="K22" s="173">
        <v>15378.656999999999</v>
      </c>
      <c r="L22" s="174">
        <v>9.4055482199999998E-2</v>
      </c>
      <c r="M22" s="173">
        <v>170748.049</v>
      </c>
      <c r="N22" s="173">
        <v>166531.35699999999</v>
      </c>
      <c r="O22" s="174">
        <v>2.5320708800000001E-2</v>
      </c>
      <c r="P22" s="173">
        <v>200656.715</v>
      </c>
      <c r="Q22" s="174">
        <v>7.8233960999999994E-3</v>
      </c>
      <c r="R22" s="173">
        <v>363589.96899999998</v>
      </c>
      <c r="S22" s="173">
        <v>405440.05800000002</v>
      </c>
      <c r="T22" s="174">
        <v>-0.10322139650000001</v>
      </c>
      <c r="U22" s="173">
        <v>3958244.4479999999</v>
      </c>
      <c r="V22" s="173">
        <v>4813292.602</v>
      </c>
      <c r="W22" s="174">
        <v>-0.17764308649999999</v>
      </c>
      <c r="X22" s="173">
        <v>4583919.71</v>
      </c>
      <c r="Y22" s="174">
        <v>-0.1809326342</v>
      </c>
      <c r="Z22" s="173">
        <v>803955.93200000003</v>
      </c>
      <c r="AA22" s="173">
        <v>729372.53500000003</v>
      </c>
      <c r="AB22" s="174">
        <v>0.102256931</v>
      </c>
      <c r="AC22" s="173">
        <v>7281391.5599999996</v>
      </c>
      <c r="AD22" s="173">
        <v>7108112.7000000002</v>
      </c>
      <c r="AE22" s="174">
        <v>2.43776185E-2</v>
      </c>
      <c r="AF22" s="173">
        <v>8709656.659</v>
      </c>
      <c r="AG22" s="174">
        <v>2.0874713199999999E-2</v>
      </c>
    </row>
    <row r="23" spans="1:33">
      <c r="A23" s="133" t="s">
        <v>21</v>
      </c>
      <c r="B23" s="171">
        <v>0</v>
      </c>
      <c r="C23" s="171">
        <v>0</v>
      </c>
      <c r="D23" s="172">
        <v>0</v>
      </c>
      <c r="E23" s="171">
        <v>0</v>
      </c>
      <c r="F23" s="171">
        <v>0</v>
      </c>
      <c r="G23" s="172">
        <v>0</v>
      </c>
      <c r="H23" s="171">
        <v>0</v>
      </c>
      <c r="I23" s="172">
        <v>0</v>
      </c>
      <c r="J23" s="171">
        <v>0</v>
      </c>
      <c r="K23" s="171">
        <v>0</v>
      </c>
      <c r="L23" s="172">
        <v>0</v>
      </c>
      <c r="M23" s="171">
        <v>0</v>
      </c>
      <c r="N23" s="171">
        <v>0</v>
      </c>
      <c r="O23" s="172">
        <v>0</v>
      </c>
      <c r="P23" s="171">
        <v>0</v>
      </c>
      <c r="Q23" s="172">
        <v>0</v>
      </c>
      <c r="R23" s="171">
        <v>131447.49</v>
      </c>
      <c r="S23" s="171">
        <v>61365.385000000002</v>
      </c>
      <c r="T23" s="172">
        <v>1.1420462040999999</v>
      </c>
      <c r="U23" s="171">
        <v>1242883.9720000001</v>
      </c>
      <c r="V23" s="171">
        <v>466963.196</v>
      </c>
      <c r="W23" s="172">
        <v>1.6616315431999999</v>
      </c>
      <c r="X23" s="171">
        <v>1378654.48</v>
      </c>
      <c r="Y23" s="172">
        <v>1.6127222831000001</v>
      </c>
      <c r="Z23" s="171">
        <v>0</v>
      </c>
      <c r="AA23" s="171">
        <v>0</v>
      </c>
      <c r="AB23" s="172">
        <v>0</v>
      </c>
      <c r="AC23" s="171">
        <v>0</v>
      </c>
      <c r="AD23" s="171">
        <v>0</v>
      </c>
      <c r="AE23" s="172">
        <v>0</v>
      </c>
      <c r="AF23" s="171">
        <v>0</v>
      </c>
      <c r="AG23" s="172">
        <v>0</v>
      </c>
    </row>
    <row r="24" spans="1:33">
      <c r="A24" s="137" t="s">
        <v>79</v>
      </c>
      <c r="B24" s="173">
        <v>15703.552</v>
      </c>
      <c r="C24" s="173">
        <v>16127.866</v>
      </c>
      <c r="D24" s="174">
        <v>-2.63093704E-2</v>
      </c>
      <c r="E24" s="173">
        <v>156177.57699999999</v>
      </c>
      <c r="F24" s="173">
        <v>164506.62100000001</v>
      </c>
      <c r="G24" s="174">
        <v>-5.0630448500000001E-2</v>
      </c>
      <c r="H24" s="173">
        <v>187070.25200000001</v>
      </c>
      <c r="I24" s="174">
        <v>-5.2285597099999997E-2</v>
      </c>
      <c r="J24" s="173">
        <v>16825.103999999999</v>
      </c>
      <c r="K24" s="173">
        <v>15378.656999999999</v>
      </c>
      <c r="L24" s="174">
        <v>9.4055482199999998E-2</v>
      </c>
      <c r="M24" s="173">
        <v>170748.049</v>
      </c>
      <c r="N24" s="173">
        <v>166531.35699999999</v>
      </c>
      <c r="O24" s="174">
        <v>2.5320708800000001E-2</v>
      </c>
      <c r="P24" s="173">
        <v>200656.715</v>
      </c>
      <c r="Q24" s="174">
        <v>7.8233960999999994E-3</v>
      </c>
      <c r="R24" s="173">
        <v>495037.45899999997</v>
      </c>
      <c r="S24" s="173">
        <v>466805.44300000003</v>
      </c>
      <c r="T24" s="174">
        <v>6.0479192000000001E-2</v>
      </c>
      <c r="U24" s="173">
        <v>5201128.42</v>
      </c>
      <c r="V24" s="173">
        <v>5280255.7980000004</v>
      </c>
      <c r="W24" s="174">
        <v>-1.49855198E-2</v>
      </c>
      <c r="X24" s="173">
        <v>5962574.1900000004</v>
      </c>
      <c r="Y24" s="174">
        <v>-2.6388308400000001E-2</v>
      </c>
      <c r="Z24" s="173">
        <v>803955.93200000003</v>
      </c>
      <c r="AA24" s="173">
        <v>729372.53500000003</v>
      </c>
      <c r="AB24" s="174">
        <v>0.102256931</v>
      </c>
      <c r="AC24" s="173">
        <v>7281391.5599999996</v>
      </c>
      <c r="AD24" s="173">
        <v>7108112.7000000002</v>
      </c>
      <c r="AE24" s="174">
        <v>2.43776185E-2</v>
      </c>
      <c r="AF24" s="173">
        <v>8709656.659</v>
      </c>
      <c r="AG24" s="174">
        <v>2.0874713199999999E-2</v>
      </c>
    </row>
    <row r="25" spans="1:33">
      <c r="R25" s="162">
        <f>SUM(R10,R14)</f>
        <v>16979.832999999999</v>
      </c>
      <c r="S25" s="162">
        <f>SUM(S10,S14)</f>
        <v>18070.983</v>
      </c>
      <c r="T25" s="163">
        <f>((R25/S25)-1)*100</f>
        <v>-6.0381330666959387</v>
      </c>
    </row>
    <row r="26" spans="1:33">
      <c r="A26" s="102" t="s">
        <v>103</v>
      </c>
      <c r="B26" s="162">
        <f>SUM(B24,J24,R24,Z24)</f>
        <v>1331522.047</v>
      </c>
      <c r="C26" s="162">
        <f>SUM(C24,K24,S24,AA24)</f>
        <v>1227684.5010000002</v>
      </c>
      <c r="D26" s="163">
        <f>((B26/C26)-1)*100</f>
        <v>8.4579992592086928</v>
      </c>
      <c r="R26" s="181">
        <f>R23/R24</f>
        <v>0.26553039090320635</v>
      </c>
      <c r="S26" s="181">
        <f>S23/S24</f>
        <v>0.13145816082525841</v>
      </c>
      <c r="Z26" s="163"/>
    </row>
    <row r="29" spans="1:33" ht="15">
      <c r="A29" s="134" t="s">
        <v>67</v>
      </c>
      <c r="B29" s="199" t="str">
        <f>A2</f>
        <v>Octubre 2023</v>
      </c>
      <c r="C29" s="200"/>
    </row>
    <row r="30" spans="1:33" ht="15">
      <c r="A30" s="134" t="s">
        <v>69</v>
      </c>
      <c r="B30" s="213" t="s">
        <v>72</v>
      </c>
      <c r="C30" s="214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8"/>
      <c r="C33" s="178">
        <v>1.52</v>
      </c>
    </row>
    <row r="34" spans="1:4">
      <c r="A34" s="133" t="s">
        <v>11</v>
      </c>
      <c r="B34" s="178">
        <v>241.2</v>
      </c>
      <c r="C34" s="178"/>
    </row>
    <row r="35" spans="1:4">
      <c r="A35" s="133" t="s">
        <v>78</v>
      </c>
      <c r="B35" s="178">
        <v>139.4</v>
      </c>
      <c r="C35" s="178">
        <v>487.64</v>
      </c>
    </row>
    <row r="36" spans="1:4">
      <c r="A36" s="133" t="s">
        <v>9</v>
      </c>
      <c r="B36" s="178">
        <v>603.1</v>
      </c>
      <c r="C36" s="178">
        <v>520.75</v>
      </c>
    </row>
    <row r="37" spans="1:4">
      <c r="A37" s="133" t="s">
        <v>8</v>
      </c>
      <c r="B37" s="178"/>
      <c r="C37" s="178">
        <v>482.64</v>
      </c>
    </row>
    <row r="38" spans="1:4">
      <c r="A38" s="133" t="s">
        <v>25</v>
      </c>
      <c r="B38" s="178">
        <v>822.9</v>
      </c>
      <c r="C38" s="178">
        <v>865.4</v>
      </c>
    </row>
    <row r="39" spans="1:4">
      <c r="A39" s="133" t="s">
        <v>24</v>
      </c>
      <c r="B39" s="178"/>
      <c r="C39" s="178"/>
    </row>
    <row r="40" spans="1:4">
      <c r="A40" s="133" t="s">
        <v>6</v>
      </c>
      <c r="B40" s="178"/>
      <c r="C40" s="178">
        <v>11.32</v>
      </c>
    </row>
    <row r="41" spans="1:4">
      <c r="A41" s="133" t="s">
        <v>5</v>
      </c>
      <c r="B41" s="178">
        <v>3.5674999999999999</v>
      </c>
      <c r="C41" s="178">
        <v>651.63</v>
      </c>
      <c r="D41" s="167"/>
    </row>
    <row r="42" spans="1:4">
      <c r="A42" s="133" t="s">
        <v>4</v>
      </c>
      <c r="B42" s="178">
        <v>301.84504500000003</v>
      </c>
      <c r="C42" s="178">
        <v>231.29994500000001</v>
      </c>
      <c r="D42" s="167"/>
    </row>
    <row r="43" spans="1:4">
      <c r="A43" s="133" t="s">
        <v>22</v>
      </c>
      <c r="B43" s="178">
        <v>2.13</v>
      </c>
      <c r="C43" s="178">
        <v>4.6959999999999997</v>
      </c>
    </row>
    <row r="44" spans="1:4">
      <c r="A44" s="133" t="s">
        <v>23</v>
      </c>
      <c r="B44" s="178">
        <v>11.523</v>
      </c>
      <c r="C44" s="178">
        <v>38.200000000000003</v>
      </c>
    </row>
    <row r="45" spans="1:4">
      <c r="A45" s="133" t="s">
        <v>54</v>
      </c>
      <c r="B45" s="178">
        <v>37.4</v>
      </c>
      <c r="C45" s="178"/>
    </row>
    <row r="46" spans="1:4">
      <c r="A46" s="133" t="s">
        <v>55</v>
      </c>
      <c r="B46" s="178">
        <v>37.4</v>
      </c>
      <c r="C46" s="178"/>
    </row>
    <row r="47" spans="1:4">
      <c r="A47" s="137" t="s">
        <v>2</v>
      </c>
      <c r="B47" s="179">
        <f>SUM(B33:B46)</f>
        <v>2200.4655450000005</v>
      </c>
      <c r="C47" s="179">
        <f>SUM(C33:C46)</f>
        <v>3295.095945</v>
      </c>
    </row>
    <row r="48" spans="1:4" ht="15">
      <c r="A48"/>
      <c r="B48" s="170"/>
      <c r="C48" s="180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10.961316824435894</v>
      </c>
      <c r="D52" s="165"/>
      <c r="F52" s="105" t="s">
        <v>10</v>
      </c>
      <c r="G52" s="106">
        <f>C35</f>
        <v>487.64</v>
      </c>
      <c r="H52" s="107">
        <f>G52/$G$62*100</f>
        <v>14.798962098203788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6.3350230734923869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15.803788681485569</v>
      </c>
    </row>
    <row r="54" spans="1:8">
      <c r="A54" s="105" t="s">
        <v>9</v>
      </c>
      <c r="B54" s="106">
        <f t="shared" si="1"/>
        <v>603.1</v>
      </c>
      <c r="C54" s="107">
        <f t="shared" si="0"/>
        <v>27.407836553968856</v>
      </c>
      <c r="D54" s="165"/>
      <c r="F54" s="105" t="s">
        <v>8</v>
      </c>
      <c r="G54" s="106">
        <f>C37</f>
        <v>482.64</v>
      </c>
      <c r="H54" s="107">
        <f t="shared" si="2"/>
        <v>14.647221448357554</v>
      </c>
    </row>
    <row r="55" spans="1:8">
      <c r="A55" s="105" t="s">
        <v>25</v>
      </c>
      <c r="B55" s="106">
        <f>B38</f>
        <v>822.9</v>
      </c>
      <c r="C55" s="107">
        <f t="shared" si="0"/>
        <v>37.396631902273207</v>
      </c>
      <c r="D55" s="165"/>
      <c r="F55" s="105" t="s">
        <v>25</v>
      </c>
      <c r="G55" s="106">
        <f>C38</f>
        <v>865.4</v>
      </c>
      <c r="H55" s="107">
        <f t="shared" si="2"/>
        <v>26.26327167538668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1.1592985648252498</v>
      </c>
    </row>
    <row r="57" spans="1:8">
      <c r="A57" s="105" t="s">
        <v>23</v>
      </c>
      <c r="B57" s="106">
        <f>B44</f>
        <v>11.523</v>
      </c>
      <c r="C57" s="107">
        <f t="shared" si="0"/>
        <v>0.52366191446092369</v>
      </c>
      <c r="D57" s="165"/>
      <c r="F57" s="105" t="s">
        <v>12</v>
      </c>
      <c r="G57" s="107">
        <f>C33</f>
        <v>1.52</v>
      </c>
      <c r="H57" s="107">
        <f t="shared" si="2"/>
        <v>4.6129157553256007E-2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1.6996403367906403</v>
      </c>
      <c r="D58" s="165"/>
      <c r="F58" s="105" t="s">
        <v>6</v>
      </c>
      <c r="G58" s="106">
        <f>C40</f>
        <v>11.32</v>
      </c>
      <c r="H58" s="107">
        <f t="shared" si="2"/>
        <v>0.34354083125188029</v>
      </c>
    </row>
    <row r="59" spans="1:8">
      <c r="A59" s="105" t="s">
        <v>54</v>
      </c>
      <c r="B59" s="106">
        <f>B45</f>
        <v>37.4</v>
      </c>
      <c r="C59" s="107">
        <f t="shared" si="3"/>
        <v>1.6996403367906403</v>
      </c>
      <c r="D59" s="165"/>
      <c r="F59" s="105" t="s">
        <v>5</v>
      </c>
      <c r="G59" s="106">
        <f>C41</f>
        <v>651.63</v>
      </c>
      <c r="H59" s="107">
        <f t="shared" si="2"/>
        <v>19.775751931860665</v>
      </c>
    </row>
    <row r="60" spans="1:8">
      <c r="A60" s="105" t="s">
        <v>5</v>
      </c>
      <c r="B60" s="106">
        <f>B41</f>
        <v>3.5674999999999999</v>
      </c>
      <c r="C60" s="107">
        <f t="shared" si="3"/>
        <v>0.16212478346258313</v>
      </c>
      <c r="D60" s="165"/>
      <c r="F60" s="105" t="s">
        <v>4</v>
      </c>
      <c r="G60" s="106">
        <f>C42</f>
        <v>231.29994500000001</v>
      </c>
      <c r="H60" s="107">
        <f t="shared" si="2"/>
        <v>7.0195207927397698</v>
      </c>
    </row>
    <row r="61" spans="1:8">
      <c r="A61" s="105" t="s">
        <v>4</v>
      </c>
      <c r="B61" s="106">
        <f>B42</f>
        <v>301.84504500000003</v>
      </c>
      <c r="C61" s="107">
        <f t="shared" si="3"/>
        <v>13.717326575999628</v>
      </c>
      <c r="D61" s="165"/>
      <c r="F61" s="105" t="s">
        <v>22</v>
      </c>
      <c r="G61" s="106">
        <f>C43</f>
        <v>4.6959999999999997</v>
      </c>
      <c r="H61" s="107">
        <f t="shared" si="2"/>
        <v>0.14251481833558566</v>
      </c>
    </row>
    <row r="62" spans="1:8">
      <c r="A62" s="105" t="s">
        <v>22</v>
      </c>
      <c r="B62" s="106">
        <f>B43</f>
        <v>2.13</v>
      </c>
      <c r="C62" s="107">
        <f t="shared" si="3"/>
        <v>9.6797698325242348E-2</v>
      </c>
      <c r="D62" s="165"/>
      <c r="F62" s="108" t="s">
        <v>20</v>
      </c>
      <c r="G62" s="109">
        <f>SUM(G52:G61)</f>
        <v>3295.095945</v>
      </c>
      <c r="H62" s="110">
        <f>SUM(H52:H61)</f>
        <v>100</v>
      </c>
    </row>
    <row r="63" spans="1:8">
      <c r="A63" s="108" t="s">
        <v>20</v>
      </c>
      <c r="B63" s="109">
        <f>SUM(B52:B62)</f>
        <v>2200.465545</v>
      </c>
      <c r="C63" s="110">
        <f>SUM(C52:C62)</f>
        <v>100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68">
        <f>(C68/SUM($C$68:$C$78))*100</f>
        <v>0</v>
      </c>
      <c r="F68" s="105" t="s">
        <v>10</v>
      </c>
      <c r="G68" s="107">
        <f>SUM(Z10,Z14)/Z$24*100</f>
        <v>22.323049542471686</v>
      </c>
    </row>
    <row r="69" spans="1:7">
      <c r="A69" s="105" t="s">
        <v>10</v>
      </c>
      <c r="B69" s="107">
        <f t="shared" ref="B69:B78" si="4">C69/$C$80*100</f>
        <v>3.4242874570537096</v>
      </c>
      <c r="C69" s="106">
        <f>R10</f>
        <v>16979.832999999999</v>
      </c>
      <c r="D69" s="168">
        <f t="shared" ref="D69:D78" si="5">(C69/SUM($C$68:$C$78))*100</f>
        <v>4.659448610356276</v>
      </c>
      <c r="F69" s="105" t="s">
        <v>9</v>
      </c>
      <c r="G69" s="107">
        <f>Z11/Z$24*100</f>
        <v>3.8195831111797798</v>
      </c>
    </row>
    <row r="70" spans="1:7">
      <c r="A70" s="105" t="s">
        <v>9</v>
      </c>
      <c r="B70" s="107">
        <f t="shared" si="4"/>
        <v>8.9287011730627146</v>
      </c>
      <c r="C70" s="106">
        <f>R11</f>
        <v>44274.277999999998</v>
      </c>
      <c r="D70" s="168">
        <f t="shared" si="5"/>
        <v>12.14933757603078</v>
      </c>
      <c r="F70" s="105" t="s">
        <v>8</v>
      </c>
      <c r="G70" s="107">
        <f>Z12/Z$24*100</f>
        <v>14.886102115358232</v>
      </c>
    </row>
    <row r="71" spans="1:7">
      <c r="A71" s="105" t="s">
        <v>25</v>
      </c>
      <c r="B71" s="107">
        <f t="shared" si="4"/>
        <v>49.834698863061668</v>
      </c>
      <c r="C71" s="106">
        <f>R13</f>
        <v>247112.68400000001</v>
      </c>
      <c r="D71" s="168">
        <f>(C71/SUM($C$68:$C$78))*100</f>
        <v>67.810375524023698</v>
      </c>
      <c r="F71" s="105" t="s">
        <v>25</v>
      </c>
      <c r="G71" s="107">
        <f>Z13/Z$24*100</f>
        <v>47.934745632301649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69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0.34878344276116546</v>
      </c>
      <c r="C73" s="106">
        <f>R19</f>
        <v>1729.4939999999999</v>
      </c>
      <c r="D73" s="168">
        <f t="shared" si="5"/>
        <v>0.47459173567369706</v>
      </c>
      <c r="F73" s="105" t="s">
        <v>12</v>
      </c>
      <c r="G73" s="107">
        <f>Z8/Z$24*100</f>
        <v>3.7680547893513147E-2</v>
      </c>
    </row>
    <row r="74" spans="1:7">
      <c r="A74" s="105" t="s">
        <v>55</v>
      </c>
      <c r="B74" s="107">
        <f t="shared" si="4"/>
        <v>2.19029703561803</v>
      </c>
      <c r="C74" s="106">
        <f>R21</f>
        <v>10860.91</v>
      </c>
      <c r="D74" s="168">
        <f t="shared" si="5"/>
        <v>2.9803503960671809</v>
      </c>
      <c r="F74" s="105" t="s">
        <v>6</v>
      </c>
      <c r="G74" s="107">
        <f>Z15/Z$24*100</f>
        <v>5.5132375091424782E-2</v>
      </c>
    </row>
    <row r="75" spans="1:7">
      <c r="A75" s="105" t="s">
        <v>54</v>
      </c>
      <c r="B75" s="107">
        <f t="shared" si="4"/>
        <v>2.19029703561803</v>
      </c>
      <c r="C75" s="106">
        <f>R20</f>
        <v>10860.91</v>
      </c>
      <c r="D75" s="168">
        <f t="shared" si="5"/>
        <v>2.9803503960671809</v>
      </c>
      <c r="F75" s="105" t="s">
        <v>5</v>
      </c>
      <c r="G75" s="107">
        <f>Z16/Z$24*100</f>
        <v>7.1842961412467057</v>
      </c>
    </row>
    <row r="76" spans="1:7">
      <c r="A76" s="105" t="s">
        <v>5</v>
      </c>
      <c r="B76" s="107">
        <f t="shared" si="4"/>
        <v>2.0892795621179801E-3</v>
      </c>
      <c r="C76" s="106">
        <f>R16</f>
        <v>10.36</v>
      </c>
      <c r="D76" s="168">
        <f t="shared" si="5"/>
        <v>2.842895310177139E-3</v>
      </c>
      <c r="F76" s="105" t="s">
        <v>4</v>
      </c>
      <c r="G76" s="107">
        <f>Z17/Z$24*100</f>
        <v>3.6941950196344844</v>
      </c>
    </row>
    <row r="77" spans="1:7">
      <c r="A77" s="105" t="s">
        <v>4</v>
      </c>
      <c r="B77" s="107">
        <f t="shared" si="4"/>
        <v>6.5641213167362586</v>
      </c>
      <c r="C77" s="106">
        <f>R17</f>
        <v>32549.161</v>
      </c>
      <c r="D77" s="168">
        <f t="shared" si="5"/>
        <v>8.9318394939286332</v>
      </c>
      <c r="F77" s="105" t="s">
        <v>22</v>
      </c>
      <c r="G77" s="107">
        <f>Z18/Z$24*100</f>
        <v>6.5215514822521387E-2</v>
      </c>
    </row>
    <row r="78" spans="1:7">
      <c r="A78" s="105" t="s">
        <v>22</v>
      </c>
      <c r="B78" s="107">
        <f t="shared" si="4"/>
        <v>7.9836292765566221E-3</v>
      </c>
      <c r="C78" s="106">
        <f>R18</f>
        <v>39.588000000000001</v>
      </c>
      <c r="D78" s="168">
        <f t="shared" si="5"/>
        <v>1.0863372542402759E-2</v>
      </c>
      <c r="F78" s="108" t="s">
        <v>20</v>
      </c>
      <c r="G78" s="110">
        <f>SUM(G68:G77)</f>
        <v>100</v>
      </c>
    </row>
    <row r="79" spans="1:7">
      <c r="A79" s="105" t="s">
        <v>21</v>
      </c>
      <c r="B79" s="107">
        <f>C79/$C$80*100</f>
        <v>26.508740767249765</v>
      </c>
      <c r="C79" s="106">
        <f>R23</f>
        <v>131447.49</v>
      </c>
      <c r="D79" s="165"/>
    </row>
    <row r="80" spans="1:7">
      <c r="A80" s="108" t="s">
        <v>20</v>
      </c>
      <c r="B80" s="110">
        <f>SUM(B68:B79)</f>
        <v>100</v>
      </c>
      <c r="C80" s="109">
        <f>SUM(C68:C79)</f>
        <v>495864.70799999993</v>
      </c>
      <c r="D80" s="165"/>
    </row>
    <row r="85" spans="1:26" ht="15">
      <c r="A85" s="134"/>
      <c r="B85" s="134" t="s">
        <v>69</v>
      </c>
      <c r="C85" s="216" t="s">
        <v>13</v>
      </c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/>
    </row>
    <row r="86" spans="1:26" ht="15">
      <c r="A86" s="134"/>
      <c r="B86" s="132" t="s">
        <v>67</v>
      </c>
      <c r="C86" s="182" t="s">
        <v>106</v>
      </c>
      <c r="D86" s="182" t="s">
        <v>107</v>
      </c>
      <c r="E86" s="182" t="s">
        <v>108</v>
      </c>
      <c r="F86" s="182" t="s">
        <v>109</v>
      </c>
      <c r="G86" s="182" t="s">
        <v>110</v>
      </c>
      <c r="H86" s="182" t="s">
        <v>111</v>
      </c>
      <c r="I86" s="182" t="s">
        <v>112</v>
      </c>
      <c r="J86" s="182" t="s">
        <v>113</v>
      </c>
      <c r="K86" s="182" t="s">
        <v>114</v>
      </c>
      <c r="L86" s="182" t="s">
        <v>115</v>
      </c>
      <c r="M86" s="182" t="s">
        <v>116</v>
      </c>
      <c r="N86" s="182" t="s">
        <v>117</v>
      </c>
      <c r="O86" s="182" t="s">
        <v>118</v>
      </c>
      <c r="P86" s="182" t="s">
        <v>119</v>
      </c>
      <c r="Q86" s="182" t="s">
        <v>120</v>
      </c>
      <c r="R86" s="182" t="s">
        <v>121</v>
      </c>
      <c r="S86" s="182" t="s">
        <v>122</v>
      </c>
      <c r="T86" s="182" t="s">
        <v>123</v>
      </c>
      <c r="U86" s="182" t="s">
        <v>124</v>
      </c>
      <c r="V86" s="182" t="s">
        <v>125</v>
      </c>
      <c r="W86" s="182" t="s">
        <v>126</v>
      </c>
      <c r="X86" s="182" t="s">
        <v>127</v>
      </c>
      <c r="Y86" s="182" t="s">
        <v>131</v>
      </c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/>
    </row>
    <row r="88" spans="1:26" ht="15">
      <c r="A88" s="210" t="s">
        <v>57</v>
      </c>
      <c r="B88" s="133" t="s">
        <v>11</v>
      </c>
      <c r="C88" s="175">
        <v>-0.627467</v>
      </c>
      <c r="D88" s="175">
        <v>-0.58012699999999995</v>
      </c>
      <c r="E88" s="175">
        <v>-0.66887300000000005</v>
      </c>
      <c r="F88" s="175">
        <v>-0.60548299999999999</v>
      </c>
      <c r="G88" s="175">
        <v>-1.0302370000000001</v>
      </c>
      <c r="H88" s="175">
        <v>29.141857000000002</v>
      </c>
      <c r="I88" s="175">
        <v>50.189168000000002</v>
      </c>
      <c r="J88" s="175">
        <v>5.2653150000000002</v>
      </c>
      <c r="K88" s="175">
        <v>-0.60380599999999995</v>
      </c>
      <c r="L88" s="175">
        <v>-0.613232</v>
      </c>
      <c r="M88" s="175">
        <v>-0.58811800000000003</v>
      </c>
      <c r="N88" s="175">
        <v>-0.62679200000000002</v>
      </c>
      <c r="O88" s="175">
        <v>-0.72771799999999998</v>
      </c>
      <c r="P88" s="175">
        <v>-0.70697299999999996</v>
      </c>
      <c r="Q88" s="175">
        <v>-0.51834000000000002</v>
      </c>
      <c r="R88" s="175">
        <v>-0.60865999999999998</v>
      </c>
      <c r="S88" s="175">
        <v>-0.83296899999999996</v>
      </c>
      <c r="T88" s="175">
        <v>3.1799559999999998</v>
      </c>
      <c r="U88" s="175">
        <v>54.925434000000003</v>
      </c>
      <c r="V88" s="175">
        <v>9.0232189999999992</v>
      </c>
      <c r="W88" s="175">
        <v>-0.82337800000000005</v>
      </c>
      <c r="X88" s="175">
        <v>-0.82724900000000001</v>
      </c>
      <c r="Y88" s="175">
        <v>0</v>
      </c>
      <c r="Z88"/>
    </row>
    <row r="89" spans="1:26" ht="15">
      <c r="A89" s="211"/>
      <c r="B89" s="133" t="s">
        <v>78</v>
      </c>
      <c r="C89" s="175">
        <v>31.928664000000001</v>
      </c>
      <c r="D89" s="175">
        <v>27.287796</v>
      </c>
      <c r="E89" s="175">
        <v>26.627289999999999</v>
      </c>
      <c r="F89" s="175">
        <v>38.583128000000002</v>
      </c>
      <c r="G89" s="175">
        <v>43.134307</v>
      </c>
      <c r="H89" s="175">
        <v>52.984195999999997</v>
      </c>
      <c r="I89" s="175">
        <v>59.042844000000002</v>
      </c>
      <c r="J89" s="175">
        <v>60.455578000000003</v>
      </c>
      <c r="K89" s="175">
        <v>32.713324999999998</v>
      </c>
      <c r="L89" s="175">
        <v>17.166284999999998</v>
      </c>
      <c r="M89" s="175">
        <v>9.2819520000000004</v>
      </c>
      <c r="N89" s="175">
        <v>2.2104400000000002</v>
      </c>
      <c r="O89" s="175">
        <v>5.0179289999999996</v>
      </c>
      <c r="P89" s="175">
        <v>15.008727</v>
      </c>
      <c r="Q89" s="175">
        <v>6.2192920000000003</v>
      </c>
      <c r="R89" s="175">
        <v>7.134449</v>
      </c>
      <c r="S89" s="175">
        <v>12.70701</v>
      </c>
      <c r="T89" s="175">
        <v>20.755147999999998</v>
      </c>
      <c r="U89" s="175">
        <v>57.618448999999998</v>
      </c>
      <c r="V89" s="175">
        <v>64.924531000000002</v>
      </c>
      <c r="W89" s="175">
        <v>32.782569000000002</v>
      </c>
      <c r="X89" s="175">
        <v>16.979832999999999</v>
      </c>
      <c r="Y89" s="175">
        <v>3.1340240000000001</v>
      </c>
      <c r="Z89"/>
    </row>
    <row r="90" spans="1:26" ht="15">
      <c r="A90" s="211"/>
      <c r="B90" s="133" t="s">
        <v>9</v>
      </c>
      <c r="C90" s="175">
        <v>14.287952000000001</v>
      </c>
      <c r="D90" s="175">
        <v>12.016398000000001</v>
      </c>
      <c r="E90" s="175">
        <v>16.590530000000001</v>
      </c>
      <c r="F90" s="175">
        <v>16.923745</v>
      </c>
      <c r="G90" s="175">
        <v>26.908512000000002</v>
      </c>
      <c r="H90" s="175">
        <v>32.914068</v>
      </c>
      <c r="I90" s="175">
        <v>59.770274999999998</v>
      </c>
      <c r="J90" s="175">
        <v>67.572283999999996</v>
      </c>
      <c r="K90" s="175">
        <v>56.444971000000002</v>
      </c>
      <c r="L90" s="175">
        <v>42.597769999999997</v>
      </c>
      <c r="M90" s="175">
        <v>23.111573</v>
      </c>
      <c r="N90" s="175">
        <v>26.769898999999999</v>
      </c>
      <c r="O90" s="175">
        <v>49.385100000000001</v>
      </c>
      <c r="P90" s="175">
        <v>32.328426999999998</v>
      </c>
      <c r="Q90" s="175">
        <v>34.532919999999997</v>
      </c>
      <c r="R90" s="175">
        <v>29.44258</v>
      </c>
      <c r="S90" s="175">
        <v>35.218071999999999</v>
      </c>
      <c r="T90" s="175">
        <v>56.449230999999997</v>
      </c>
      <c r="U90" s="175">
        <v>67.064257999999995</v>
      </c>
      <c r="V90" s="175">
        <v>53.415241999999999</v>
      </c>
      <c r="W90" s="175">
        <v>49.279671999999998</v>
      </c>
      <c r="X90" s="175">
        <v>44.274278000000002</v>
      </c>
      <c r="Y90" s="175">
        <v>8.3092799999999993</v>
      </c>
      <c r="Z90"/>
    </row>
    <row r="91" spans="1:26" ht="15">
      <c r="A91" s="211"/>
      <c r="B91" s="133" t="s">
        <v>25</v>
      </c>
      <c r="C91" s="175">
        <v>350.086611</v>
      </c>
      <c r="D91" s="175">
        <v>298.62258500000002</v>
      </c>
      <c r="E91" s="175">
        <v>331.00133499999998</v>
      </c>
      <c r="F91" s="175">
        <v>307.42903200000001</v>
      </c>
      <c r="G91" s="175">
        <v>317.55595499999998</v>
      </c>
      <c r="H91" s="175">
        <v>367.58788099999998</v>
      </c>
      <c r="I91" s="175">
        <v>396.959791</v>
      </c>
      <c r="J91" s="175">
        <v>456.377207</v>
      </c>
      <c r="K91" s="175">
        <v>377.07382699999999</v>
      </c>
      <c r="L91" s="175">
        <v>297.32130999999998</v>
      </c>
      <c r="M91" s="175">
        <v>234.47985499999999</v>
      </c>
      <c r="N91" s="175">
        <v>251.18496099999999</v>
      </c>
      <c r="O91" s="175">
        <v>236.33414099999999</v>
      </c>
      <c r="P91" s="175">
        <v>250.50749099999999</v>
      </c>
      <c r="Q91" s="175">
        <v>233.28242</v>
      </c>
      <c r="R91" s="175">
        <v>207.738203</v>
      </c>
      <c r="S91" s="175">
        <v>231.47546199999999</v>
      </c>
      <c r="T91" s="175">
        <v>269.55010299999998</v>
      </c>
      <c r="U91" s="175">
        <v>316.35504600000002</v>
      </c>
      <c r="V91" s="175">
        <v>324.37696499999998</v>
      </c>
      <c r="W91" s="175">
        <v>296.32292799999999</v>
      </c>
      <c r="X91" s="175">
        <v>247.112684</v>
      </c>
      <c r="Y91" s="175">
        <v>92.307561000000007</v>
      </c>
      <c r="Z91"/>
    </row>
    <row r="92" spans="1:26" ht="15">
      <c r="A92" s="211"/>
      <c r="B92" s="133" t="s">
        <v>24</v>
      </c>
      <c r="C92" s="175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2.6835830000000001</v>
      </c>
      <c r="J92" s="175">
        <v>4.441192</v>
      </c>
      <c r="K92" s="175">
        <v>4.0880280000000004</v>
      </c>
      <c r="L92" s="175">
        <v>0.904698</v>
      </c>
      <c r="M92" s="175">
        <v>0</v>
      </c>
      <c r="N92" s="175">
        <v>0</v>
      </c>
      <c r="O92" s="175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175">
        <v>0</v>
      </c>
      <c r="V92" s="175">
        <v>0</v>
      </c>
      <c r="W92" s="175">
        <v>0</v>
      </c>
      <c r="X92" s="175">
        <v>0</v>
      </c>
      <c r="Y92" s="175">
        <v>0</v>
      </c>
      <c r="Z92"/>
    </row>
    <row r="93" spans="1:26" ht="15">
      <c r="A93" s="211"/>
      <c r="B93" s="133" t="s">
        <v>5</v>
      </c>
      <c r="C93" s="175">
        <v>0.215638</v>
      </c>
      <c r="D93" s="175">
        <v>0.22824</v>
      </c>
      <c r="E93" s="175">
        <v>0.33845999999999998</v>
      </c>
      <c r="F93" s="175">
        <v>0.239788</v>
      </c>
      <c r="G93" s="175">
        <v>0.16079099999999999</v>
      </c>
      <c r="H93" s="175">
        <v>6.1459E-2</v>
      </c>
      <c r="I93" s="175">
        <v>3.0289E-2</v>
      </c>
      <c r="J93" s="175">
        <v>3.2219999999999999E-2</v>
      </c>
      <c r="K93" s="175">
        <v>1.2760000000000001E-2</v>
      </c>
      <c r="L93" s="175">
        <v>2.8530000000000001E-3</v>
      </c>
      <c r="M93" s="175">
        <v>2.5883E-2</v>
      </c>
      <c r="N93" s="175">
        <v>0.100989</v>
      </c>
      <c r="O93" s="175">
        <v>0.21573000000000001</v>
      </c>
      <c r="P93" s="175">
        <v>0.18323999999999999</v>
      </c>
      <c r="Q93" s="175">
        <v>0.20035</v>
      </c>
      <c r="R93" s="175">
        <v>0.12734500000000001</v>
      </c>
      <c r="S93" s="175">
        <v>0.24965100000000001</v>
      </c>
      <c r="T93" s="175">
        <v>5.6180000000000001E-2</v>
      </c>
      <c r="U93" s="175">
        <v>0.118565</v>
      </c>
      <c r="V93" s="175">
        <v>9.7920999999999994E-2</v>
      </c>
      <c r="W93" s="175">
        <v>0</v>
      </c>
      <c r="X93" s="175">
        <v>1.0359999999999999E-2</v>
      </c>
      <c r="Y93" s="175">
        <v>3.1364999999999997E-2</v>
      </c>
      <c r="Z93"/>
    </row>
    <row r="94" spans="1:26" ht="15">
      <c r="A94" s="211"/>
      <c r="B94" s="133" t="s">
        <v>4</v>
      </c>
      <c r="C94" s="175">
        <v>14.437344</v>
      </c>
      <c r="D94" s="175">
        <v>17.860306999999999</v>
      </c>
      <c r="E94" s="175">
        <v>13.720819000000001</v>
      </c>
      <c r="F94" s="175">
        <v>22.448584</v>
      </c>
      <c r="G94" s="175">
        <v>27.351011</v>
      </c>
      <c r="H94" s="175">
        <v>29.26784</v>
      </c>
      <c r="I94" s="175">
        <v>33.069572000000001</v>
      </c>
      <c r="J94" s="175">
        <v>29.681864999999998</v>
      </c>
      <c r="K94" s="175">
        <v>25.09779</v>
      </c>
      <c r="L94" s="175">
        <v>23.675007999999998</v>
      </c>
      <c r="M94" s="175">
        <v>17.328648000000001</v>
      </c>
      <c r="N94" s="175">
        <v>15.536158</v>
      </c>
      <c r="O94" s="175">
        <v>18.187577000000001</v>
      </c>
      <c r="P94" s="175">
        <v>22.493245000000002</v>
      </c>
      <c r="Q94" s="175">
        <v>35.774521</v>
      </c>
      <c r="R94" s="175">
        <v>36.519472</v>
      </c>
      <c r="S94" s="175">
        <v>33.460431999999997</v>
      </c>
      <c r="T94" s="175">
        <v>35.587198000000001</v>
      </c>
      <c r="U94" s="175">
        <v>40.355545999999997</v>
      </c>
      <c r="V94" s="175">
        <v>43.030126000000003</v>
      </c>
      <c r="W94" s="175">
        <v>34.236007000000001</v>
      </c>
      <c r="X94" s="175">
        <v>32.549160999999998</v>
      </c>
      <c r="Y94" s="175">
        <v>6.8200120000000002</v>
      </c>
      <c r="Z94"/>
    </row>
    <row r="95" spans="1:26" ht="15">
      <c r="A95" s="211"/>
      <c r="B95" s="133" t="s">
        <v>22</v>
      </c>
      <c r="C95" s="175">
        <v>0.285244</v>
      </c>
      <c r="D95" s="175">
        <v>0.28095199999999998</v>
      </c>
      <c r="E95" s="175">
        <v>0.29118100000000002</v>
      </c>
      <c r="F95" s="175">
        <v>0.16531499999999999</v>
      </c>
      <c r="G95" s="175">
        <v>0.166327</v>
      </c>
      <c r="H95" s="175">
        <v>0.111179</v>
      </c>
      <c r="I95" s="175">
        <v>9.5128000000000004E-2</v>
      </c>
      <c r="J95" s="175">
        <v>5.6752999999999998E-2</v>
      </c>
      <c r="K95" s="175">
        <v>7.1924000000000002E-2</v>
      </c>
      <c r="L95" s="175">
        <v>9.6991999999999995E-2</v>
      </c>
      <c r="M95" s="175">
        <v>8.4503999999999996E-2</v>
      </c>
      <c r="N95" s="175">
        <v>7.7099000000000001E-2</v>
      </c>
      <c r="O95" s="175">
        <v>9.3608999999999998E-2</v>
      </c>
      <c r="P95" s="175">
        <v>0.13599800000000001</v>
      </c>
      <c r="Q95" s="175">
        <v>0.11230800000000001</v>
      </c>
      <c r="R95" s="175">
        <v>7.399E-2</v>
      </c>
      <c r="S95" s="175">
        <v>9.0162999999999993E-2</v>
      </c>
      <c r="T95" s="175">
        <v>8.4139000000000005E-2</v>
      </c>
      <c r="U95" s="175">
        <v>3.7238E-2</v>
      </c>
      <c r="V95" s="175">
        <v>2.6629E-2</v>
      </c>
      <c r="W95" s="175">
        <v>3.1858999999999998E-2</v>
      </c>
      <c r="X95" s="175">
        <v>3.9587999999999998E-2</v>
      </c>
      <c r="Y95" s="175">
        <v>8.8299999999999993E-3</v>
      </c>
      <c r="Z95"/>
    </row>
    <row r="96" spans="1:26" ht="15">
      <c r="A96" s="211"/>
      <c r="B96" s="133" t="s">
        <v>23</v>
      </c>
      <c r="C96" s="175">
        <v>3.4010050000000001</v>
      </c>
      <c r="D96" s="175">
        <v>3.0684070000000001</v>
      </c>
      <c r="E96" s="175">
        <v>3.993204</v>
      </c>
      <c r="F96" s="175">
        <v>1.8386769999999999</v>
      </c>
      <c r="G96" s="175">
        <v>1.9461250000000001</v>
      </c>
      <c r="H96" s="175">
        <v>1.5363420000000001</v>
      </c>
      <c r="I96" s="175">
        <v>1.1719729999999999</v>
      </c>
      <c r="J96" s="175">
        <v>5.1333999999999998E-2</v>
      </c>
      <c r="K96" s="175">
        <v>2.0373130000000002</v>
      </c>
      <c r="L96" s="175">
        <v>1.826864</v>
      </c>
      <c r="M96" s="175">
        <v>2.552667</v>
      </c>
      <c r="N96" s="175">
        <v>2.9406370000000002</v>
      </c>
      <c r="O96" s="175">
        <v>3.048152</v>
      </c>
      <c r="P96" s="175">
        <v>3.0015830000000001</v>
      </c>
      <c r="Q96" s="175">
        <v>3.577315</v>
      </c>
      <c r="R96" s="175">
        <v>3.6202459999999999</v>
      </c>
      <c r="S96" s="175">
        <v>3.5176020000000001</v>
      </c>
      <c r="T96" s="175">
        <v>3.7894670000000001</v>
      </c>
      <c r="U96" s="175">
        <v>3.2446030000000001</v>
      </c>
      <c r="V96" s="175">
        <v>3.7400570000000002</v>
      </c>
      <c r="W96" s="175">
        <v>3.104663</v>
      </c>
      <c r="X96" s="175">
        <v>1.7294940000000001</v>
      </c>
      <c r="Y96" s="175">
        <v>0.70758900000000002</v>
      </c>
      <c r="Z96"/>
    </row>
    <row r="97" spans="1:26" ht="15">
      <c r="A97" s="211"/>
      <c r="B97" s="133" t="s">
        <v>54</v>
      </c>
      <c r="C97" s="175">
        <v>9.8711500000000001</v>
      </c>
      <c r="D97" s="175">
        <v>5.4414375000000001</v>
      </c>
      <c r="E97" s="175">
        <v>9.6633200000000006</v>
      </c>
      <c r="F97" s="175">
        <v>7.8050050000000004</v>
      </c>
      <c r="G97" s="175">
        <v>11.846197500000001</v>
      </c>
      <c r="H97" s="175">
        <v>13.186323</v>
      </c>
      <c r="I97" s="175">
        <v>16.1606655</v>
      </c>
      <c r="J97" s="175">
        <v>13.6723105</v>
      </c>
      <c r="K97" s="175">
        <v>13.5816645</v>
      </c>
      <c r="L97" s="175">
        <v>11.230755</v>
      </c>
      <c r="M97" s="175">
        <v>10.188828000000001</v>
      </c>
      <c r="N97" s="175">
        <v>10.4136255</v>
      </c>
      <c r="O97" s="175">
        <v>7.3618245</v>
      </c>
      <c r="P97" s="175">
        <v>9.8298860000000001</v>
      </c>
      <c r="Q97" s="175">
        <v>9.6378819999999994</v>
      </c>
      <c r="R97" s="175">
        <v>10.65733</v>
      </c>
      <c r="S97" s="175">
        <v>12.228600500000001</v>
      </c>
      <c r="T97" s="175">
        <v>15.5976535</v>
      </c>
      <c r="U97" s="175">
        <v>12.5411815</v>
      </c>
      <c r="V97" s="175">
        <v>14.683114</v>
      </c>
      <c r="W97" s="175">
        <v>9.6099359999999994</v>
      </c>
      <c r="X97" s="175">
        <v>10.860910000000001</v>
      </c>
      <c r="Y97" s="175">
        <v>6.18</v>
      </c>
      <c r="Z97"/>
    </row>
    <row r="98" spans="1:26" ht="15">
      <c r="A98" s="211"/>
      <c r="B98" s="133" t="s">
        <v>55</v>
      </c>
      <c r="C98" s="175">
        <v>9.8711500000000001</v>
      </c>
      <c r="D98" s="175">
        <v>5.4414375000000001</v>
      </c>
      <c r="E98" s="175">
        <v>9.6633200000000006</v>
      </c>
      <c r="F98" s="175">
        <v>7.8050050000000004</v>
      </c>
      <c r="G98" s="175">
        <v>11.846197500000001</v>
      </c>
      <c r="H98" s="175">
        <v>13.186323</v>
      </c>
      <c r="I98" s="175">
        <v>16.1606655</v>
      </c>
      <c r="J98" s="175">
        <v>13.6723105</v>
      </c>
      <c r="K98" s="175">
        <v>13.5816645</v>
      </c>
      <c r="L98" s="175">
        <v>11.230755</v>
      </c>
      <c r="M98" s="175">
        <v>10.188828000000001</v>
      </c>
      <c r="N98" s="175">
        <v>10.4136255</v>
      </c>
      <c r="O98" s="175">
        <v>7.3618245</v>
      </c>
      <c r="P98" s="175">
        <v>9.8298860000000001</v>
      </c>
      <c r="Q98" s="175">
        <v>9.6378819999999994</v>
      </c>
      <c r="R98" s="175">
        <v>10.65733</v>
      </c>
      <c r="S98" s="175">
        <v>12.228600500000001</v>
      </c>
      <c r="T98" s="175">
        <v>15.5976535</v>
      </c>
      <c r="U98" s="175">
        <v>12.5411815</v>
      </c>
      <c r="V98" s="175">
        <v>14.683114</v>
      </c>
      <c r="W98" s="175">
        <v>9.6099359999999994</v>
      </c>
      <c r="X98" s="175">
        <v>10.860910000000001</v>
      </c>
      <c r="Y98" s="175">
        <v>6.18</v>
      </c>
      <c r="Z98"/>
    </row>
    <row r="99" spans="1:26" ht="15">
      <c r="A99" s="211"/>
      <c r="B99" s="137" t="s">
        <v>2</v>
      </c>
      <c r="C99" s="176">
        <v>433.75729100000001</v>
      </c>
      <c r="D99" s="176">
        <v>369.66743300000002</v>
      </c>
      <c r="E99" s="176">
        <v>411.22058600000003</v>
      </c>
      <c r="F99" s="176">
        <v>402.63279599999998</v>
      </c>
      <c r="G99" s="176">
        <v>439.88518599999998</v>
      </c>
      <c r="H99" s="176">
        <v>539.97746800000004</v>
      </c>
      <c r="I99" s="176">
        <v>635.33395399999995</v>
      </c>
      <c r="J99" s="176">
        <v>651.278369</v>
      </c>
      <c r="K99" s="176">
        <v>524.09946100000002</v>
      </c>
      <c r="L99" s="176">
        <v>405.44005800000002</v>
      </c>
      <c r="M99" s="176">
        <v>306.65462000000002</v>
      </c>
      <c r="N99" s="176">
        <v>319.02064200000001</v>
      </c>
      <c r="O99" s="176">
        <v>326.27816899999999</v>
      </c>
      <c r="P99" s="176">
        <v>342.61151000000001</v>
      </c>
      <c r="Q99" s="176">
        <v>332.45654999999999</v>
      </c>
      <c r="R99" s="176">
        <v>305.36228499999999</v>
      </c>
      <c r="S99" s="176">
        <v>340.342624</v>
      </c>
      <c r="T99" s="176">
        <v>420.64672899999999</v>
      </c>
      <c r="U99" s="176">
        <v>564.80150200000003</v>
      </c>
      <c r="V99" s="176">
        <v>528.00091799999996</v>
      </c>
      <c r="W99" s="176">
        <v>434.15419200000002</v>
      </c>
      <c r="X99" s="176">
        <v>363.589969</v>
      </c>
      <c r="Y99" s="176">
        <v>123.67866100000001</v>
      </c>
      <c r="Z99"/>
    </row>
    <row r="100" spans="1:26" ht="15">
      <c r="A100" s="211"/>
      <c r="B100" s="133" t="s">
        <v>21</v>
      </c>
      <c r="C100" s="175">
        <v>31.159338999999999</v>
      </c>
      <c r="D100" s="175">
        <v>27.502502</v>
      </c>
      <c r="E100" s="175">
        <v>30.689281000000001</v>
      </c>
      <c r="F100" s="175">
        <v>33.641058999999998</v>
      </c>
      <c r="G100" s="175">
        <v>32.047055999999998</v>
      </c>
      <c r="H100" s="175">
        <v>35.225064000000003</v>
      </c>
      <c r="I100" s="175">
        <v>67.033137999999994</v>
      </c>
      <c r="J100" s="175">
        <v>77.653036</v>
      </c>
      <c r="K100" s="175">
        <v>70.647335999999996</v>
      </c>
      <c r="L100" s="175">
        <v>61.365385000000003</v>
      </c>
      <c r="M100" s="175">
        <v>55.991686000000001</v>
      </c>
      <c r="N100" s="175">
        <v>79.778822000000005</v>
      </c>
      <c r="O100" s="175">
        <v>123.950131</v>
      </c>
      <c r="P100" s="175">
        <v>89.734262000000001</v>
      </c>
      <c r="Q100" s="175">
        <v>82.194308000000007</v>
      </c>
      <c r="R100" s="175">
        <v>98.033413999999993</v>
      </c>
      <c r="S100" s="175">
        <v>118.762416</v>
      </c>
      <c r="T100" s="175">
        <v>124.350134</v>
      </c>
      <c r="U100" s="175">
        <v>168.54782399999999</v>
      </c>
      <c r="V100" s="175">
        <v>175.00929099999999</v>
      </c>
      <c r="W100" s="175">
        <v>130.854702</v>
      </c>
      <c r="X100" s="175">
        <v>131.44748999999999</v>
      </c>
      <c r="Y100" s="175">
        <v>20.229900000000001</v>
      </c>
      <c r="Z100"/>
    </row>
    <row r="101" spans="1:26" ht="15">
      <c r="A101" s="212"/>
      <c r="B101" s="137" t="s">
        <v>79</v>
      </c>
      <c r="C101" s="176">
        <v>464.91663</v>
      </c>
      <c r="D101" s="176">
        <v>397.16993500000001</v>
      </c>
      <c r="E101" s="176">
        <v>441.90986700000002</v>
      </c>
      <c r="F101" s="176">
        <v>436.27385500000003</v>
      </c>
      <c r="G101" s="176">
        <v>471.93224199999997</v>
      </c>
      <c r="H101" s="176">
        <v>575.20253200000002</v>
      </c>
      <c r="I101" s="176">
        <v>702.36709199999996</v>
      </c>
      <c r="J101" s="176">
        <v>728.93140500000004</v>
      </c>
      <c r="K101" s="176">
        <v>594.74679700000002</v>
      </c>
      <c r="L101" s="176">
        <v>466.80544300000003</v>
      </c>
      <c r="M101" s="176">
        <v>362.64630599999998</v>
      </c>
      <c r="N101" s="176">
        <v>398.799464</v>
      </c>
      <c r="O101" s="176">
        <v>450.22829999999999</v>
      </c>
      <c r="P101" s="176">
        <v>432.34577200000001</v>
      </c>
      <c r="Q101" s="176">
        <v>414.65085800000003</v>
      </c>
      <c r="R101" s="176">
        <v>403.39569899999998</v>
      </c>
      <c r="S101" s="176">
        <v>459.10503999999997</v>
      </c>
      <c r="T101" s="176">
        <v>544.99686299999996</v>
      </c>
      <c r="U101" s="176">
        <v>733.34932600000002</v>
      </c>
      <c r="V101" s="176">
        <v>703.01020900000003</v>
      </c>
      <c r="W101" s="176">
        <v>565.00889400000005</v>
      </c>
      <c r="X101" s="176">
        <v>495.03745900000001</v>
      </c>
      <c r="Y101" s="176">
        <v>143.90856099999999</v>
      </c>
      <c r="Z101"/>
    </row>
    <row r="102" spans="1:26" ht="15">
      <c r="A102" s="215" t="s">
        <v>58</v>
      </c>
      <c r="B102" s="133" t="s">
        <v>12</v>
      </c>
      <c r="C102" s="175">
        <v>0.294213</v>
      </c>
      <c r="D102" s="175">
        <v>0.25058200000000003</v>
      </c>
      <c r="E102" s="175">
        <v>0.29644599999999999</v>
      </c>
      <c r="F102" s="175">
        <v>0.27407199999999998</v>
      </c>
      <c r="G102" s="175">
        <v>0.29870099999999999</v>
      </c>
      <c r="H102" s="175">
        <v>0.28138299999999999</v>
      </c>
      <c r="I102" s="175">
        <v>0.29436099999999998</v>
      </c>
      <c r="J102" s="175">
        <v>0.29274699999999998</v>
      </c>
      <c r="K102" s="175">
        <v>0.28892499999999999</v>
      </c>
      <c r="L102" s="175">
        <v>0.29400900000000002</v>
      </c>
      <c r="M102" s="175">
        <v>0.27748800000000001</v>
      </c>
      <c r="N102" s="175">
        <v>0.28856799999999999</v>
      </c>
      <c r="O102" s="175">
        <v>0.27497500000000002</v>
      </c>
      <c r="P102" s="175">
        <v>0.25442500000000001</v>
      </c>
      <c r="Q102" s="175">
        <v>0.28212599999999999</v>
      </c>
      <c r="R102" s="175">
        <v>0.27610800000000002</v>
      </c>
      <c r="S102" s="175">
        <v>0.29790899999999998</v>
      </c>
      <c r="T102" s="175">
        <v>0.28383700000000001</v>
      </c>
      <c r="U102" s="175">
        <v>0.30198999999999998</v>
      </c>
      <c r="V102" s="175">
        <v>0.28963</v>
      </c>
      <c r="W102" s="175">
        <v>0.28927700000000001</v>
      </c>
      <c r="X102" s="175">
        <v>0.30293500000000001</v>
      </c>
      <c r="Y102" s="175">
        <v>0</v>
      </c>
      <c r="Z102"/>
    </row>
    <row r="103" spans="1:26" ht="15">
      <c r="A103" s="211"/>
      <c r="B103" s="133" t="s">
        <v>78</v>
      </c>
      <c r="C103" s="175">
        <v>144.97616600000001</v>
      </c>
      <c r="D103" s="175">
        <v>129.27922799999999</v>
      </c>
      <c r="E103" s="175">
        <v>148.837288</v>
      </c>
      <c r="F103" s="175">
        <v>137.06188</v>
      </c>
      <c r="G103" s="175">
        <v>142.20013900000001</v>
      </c>
      <c r="H103" s="175">
        <v>140.176005</v>
      </c>
      <c r="I103" s="175">
        <v>145.16306399999999</v>
      </c>
      <c r="J103" s="175">
        <v>144.44555099999999</v>
      </c>
      <c r="K103" s="175">
        <v>147.14430100000001</v>
      </c>
      <c r="L103" s="175">
        <v>153.68727999999999</v>
      </c>
      <c r="M103" s="175">
        <v>154.15610899999999</v>
      </c>
      <c r="N103" s="175">
        <v>168.11301700000001</v>
      </c>
      <c r="O103" s="175">
        <v>149.66655</v>
      </c>
      <c r="P103" s="175">
        <v>151.17160100000001</v>
      </c>
      <c r="Q103" s="175">
        <v>141.36258799999999</v>
      </c>
      <c r="R103" s="175">
        <v>149.85577699999999</v>
      </c>
      <c r="S103" s="175">
        <v>152.672844</v>
      </c>
      <c r="T103" s="175">
        <v>159.427877</v>
      </c>
      <c r="U103" s="175">
        <v>147.37140500000001</v>
      </c>
      <c r="V103" s="175">
        <v>158.13818499999999</v>
      </c>
      <c r="W103" s="175">
        <v>154.76962499999999</v>
      </c>
      <c r="X103" s="175">
        <v>179.46748099999999</v>
      </c>
      <c r="Y103" s="175">
        <v>66.987791999999999</v>
      </c>
      <c r="Z103"/>
    </row>
    <row r="104" spans="1:26" ht="15">
      <c r="A104" s="211"/>
      <c r="B104" s="133" t="s">
        <v>9</v>
      </c>
      <c r="C104" s="175">
        <v>20.1236</v>
      </c>
      <c r="D104" s="175">
        <v>22.304445000000001</v>
      </c>
      <c r="E104" s="175">
        <v>22.266894000000001</v>
      </c>
      <c r="F104" s="175">
        <v>17.593667</v>
      </c>
      <c r="G104" s="175">
        <v>15.375764</v>
      </c>
      <c r="H104" s="175">
        <v>14.745179</v>
      </c>
      <c r="I104" s="175">
        <v>19.947948</v>
      </c>
      <c r="J104" s="175">
        <v>17.951955999999999</v>
      </c>
      <c r="K104" s="175">
        <v>27.959973000000002</v>
      </c>
      <c r="L104" s="175">
        <v>36.672798</v>
      </c>
      <c r="M104" s="175">
        <v>23.967887999999999</v>
      </c>
      <c r="N104" s="175">
        <v>22.080762</v>
      </c>
      <c r="O104" s="175">
        <v>14.760491</v>
      </c>
      <c r="P104" s="175">
        <v>26.990496</v>
      </c>
      <c r="Q104" s="175">
        <v>16.813075000000001</v>
      </c>
      <c r="R104" s="175">
        <v>21.092299000000001</v>
      </c>
      <c r="S104" s="175">
        <v>23.467611000000002</v>
      </c>
      <c r="T104" s="175">
        <v>20.997603000000002</v>
      </c>
      <c r="U104" s="175">
        <v>15.379733999999999</v>
      </c>
      <c r="V104" s="175">
        <v>16.795183000000002</v>
      </c>
      <c r="W104" s="175">
        <v>18.188441000000001</v>
      </c>
      <c r="X104" s="175">
        <v>30.707764999999998</v>
      </c>
      <c r="Y104" s="175">
        <v>4.3441900000000002</v>
      </c>
      <c r="Z104"/>
    </row>
    <row r="105" spans="1:26" ht="15">
      <c r="A105" s="211"/>
      <c r="B105" s="133" t="s">
        <v>8</v>
      </c>
      <c r="C105" s="175">
        <v>117.429802</v>
      </c>
      <c r="D105" s="175">
        <v>102.630663</v>
      </c>
      <c r="E105" s="175">
        <v>114.410944</v>
      </c>
      <c r="F105" s="175">
        <v>103.636366</v>
      </c>
      <c r="G105" s="175">
        <v>86.849653000000004</v>
      </c>
      <c r="H105" s="175">
        <v>60.625900999999999</v>
      </c>
      <c r="I105" s="175">
        <v>73.212086999999997</v>
      </c>
      <c r="J105" s="175">
        <v>102.417013</v>
      </c>
      <c r="K105" s="175">
        <v>110.953991</v>
      </c>
      <c r="L105" s="175">
        <v>118.59882</v>
      </c>
      <c r="M105" s="175">
        <v>93.771169</v>
      </c>
      <c r="N105" s="175">
        <v>122.69665500000001</v>
      </c>
      <c r="O105" s="175">
        <v>118.030389</v>
      </c>
      <c r="P105" s="175">
        <v>118.052049</v>
      </c>
      <c r="Q105" s="175">
        <v>103.679242</v>
      </c>
      <c r="R105" s="175">
        <v>89.164951000000002</v>
      </c>
      <c r="S105" s="175">
        <v>84.880949000000001</v>
      </c>
      <c r="T105" s="175">
        <v>84.905440999999996</v>
      </c>
      <c r="U105" s="175">
        <v>101.065799</v>
      </c>
      <c r="V105" s="175">
        <v>105.31614999999999</v>
      </c>
      <c r="W105" s="175">
        <v>105.510948</v>
      </c>
      <c r="X105" s="175">
        <v>119.677701</v>
      </c>
      <c r="Y105" s="175">
        <v>30.452380999999999</v>
      </c>
      <c r="Z105"/>
    </row>
    <row r="106" spans="1:26" ht="15">
      <c r="A106" s="211"/>
      <c r="B106" s="133" t="s">
        <v>25</v>
      </c>
      <c r="C106" s="175">
        <v>350.33219100000002</v>
      </c>
      <c r="D106" s="175">
        <v>285.34500700000001</v>
      </c>
      <c r="E106" s="175">
        <v>288.52109999999999</v>
      </c>
      <c r="F106" s="175">
        <v>265.37271800000002</v>
      </c>
      <c r="G106" s="175">
        <v>303.45663500000001</v>
      </c>
      <c r="H106" s="175">
        <v>283.58392400000002</v>
      </c>
      <c r="I106" s="175">
        <v>295.51749599999999</v>
      </c>
      <c r="J106" s="175">
        <v>269.79137200000002</v>
      </c>
      <c r="K106" s="175">
        <v>285.29845599999999</v>
      </c>
      <c r="L106" s="175">
        <v>305.38632699999999</v>
      </c>
      <c r="M106" s="175">
        <v>309.74341800000002</v>
      </c>
      <c r="N106" s="175">
        <v>347.66188299999999</v>
      </c>
      <c r="O106" s="175">
        <v>279.418815</v>
      </c>
      <c r="P106" s="175">
        <v>289.33312999999998</v>
      </c>
      <c r="Q106" s="175">
        <v>284.83144399999998</v>
      </c>
      <c r="R106" s="175">
        <v>279.54366599999997</v>
      </c>
      <c r="S106" s="175">
        <v>275.34098399999999</v>
      </c>
      <c r="T106" s="175">
        <v>351.45923099999999</v>
      </c>
      <c r="U106" s="175">
        <v>250.52108799999999</v>
      </c>
      <c r="V106" s="175">
        <v>306.93109600000003</v>
      </c>
      <c r="W106" s="175">
        <v>329.65078499999998</v>
      </c>
      <c r="X106" s="175">
        <v>385.37423100000001</v>
      </c>
      <c r="Y106" s="175">
        <v>133.90992</v>
      </c>
      <c r="Z106"/>
    </row>
    <row r="107" spans="1:26" ht="15">
      <c r="A107" s="211"/>
      <c r="B107" s="133" t="s">
        <v>24</v>
      </c>
      <c r="C107" s="175">
        <v>0</v>
      </c>
      <c r="D107" s="175">
        <v>0</v>
      </c>
      <c r="E107" s="175">
        <v>0</v>
      </c>
      <c r="F107" s="175">
        <v>0</v>
      </c>
      <c r="G107" s="175">
        <v>0</v>
      </c>
      <c r="H107" s="175">
        <v>0</v>
      </c>
      <c r="I107" s="175">
        <v>-7.7730000000000004E-3</v>
      </c>
      <c r="J107" s="175">
        <v>-1.2208999999999999E-2</v>
      </c>
      <c r="K107" s="175">
        <v>-1.1861999999999999E-2</v>
      </c>
      <c r="L107" s="175">
        <v>-7.5659999999999998E-3</v>
      </c>
      <c r="M107" s="175">
        <v>-1.2637000000000001E-2</v>
      </c>
      <c r="N107" s="175">
        <v>-1.3625E-2</v>
      </c>
      <c r="O107" s="175">
        <v>-1.3847999999999999E-2</v>
      </c>
      <c r="P107" s="175">
        <v>-9.9690000000000004E-3</v>
      </c>
      <c r="Q107" s="175">
        <v>-1.3753E-2</v>
      </c>
      <c r="R107" s="175">
        <v>-1.2926999999999999E-2</v>
      </c>
      <c r="S107" s="175">
        <v>-1.3481E-2</v>
      </c>
      <c r="T107" s="175">
        <v>-2.0100000000000001E-3</v>
      </c>
      <c r="U107" s="175">
        <v>0</v>
      </c>
      <c r="V107" s="175">
        <v>0</v>
      </c>
      <c r="W107" s="175">
        <v>0</v>
      </c>
      <c r="X107" s="175">
        <v>0</v>
      </c>
      <c r="Y107" s="175">
        <v>0</v>
      </c>
      <c r="Z107"/>
    </row>
    <row r="108" spans="1:26" ht="15">
      <c r="A108" s="211"/>
      <c r="B108" s="133" t="s">
        <v>6</v>
      </c>
      <c r="C108" s="175">
        <v>1.110916</v>
      </c>
      <c r="D108" s="175">
        <v>1.4820450000000001</v>
      </c>
      <c r="E108" s="175">
        <v>2.1263230000000002</v>
      </c>
      <c r="F108" s="175">
        <v>1.7525280000000001</v>
      </c>
      <c r="G108" s="175">
        <v>1.9171739999999999</v>
      </c>
      <c r="H108" s="175">
        <v>2.44956</v>
      </c>
      <c r="I108" s="175">
        <v>3.5629430000000002</v>
      </c>
      <c r="J108" s="175">
        <v>3.5176750000000001</v>
      </c>
      <c r="K108" s="175">
        <v>2.0750950000000001</v>
      </c>
      <c r="L108" s="175">
        <v>1.3500719999999999</v>
      </c>
      <c r="M108" s="175">
        <v>1.1694089999999999</v>
      </c>
      <c r="N108" s="175">
        <v>0.36710399999999999</v>
      </c>
      <c r="O108" s="175">
        <v>1.6495040000000001</v>
      </c>
      <c r="P108" s="175">
        <v>0.82934099999999999</v>
      </c>
      <c r="Q108" s="175">
        <v>1.5724450000000001</v>
      </c>
      <c r="R108" s="175">
        <v>1.573337</v>
      </c>
      <c r="S108" s="175">
        <v>2.0671949999999999</v>
      </c>
      <c r="T108" s="175">
        <v>0.80873799999999996</v>
      </c>
      <c r="U108" s="175">
        <v>2.7590569999999999</v>
      </c>
      <c r="V108" s="175">
        <v>2.6998280000000001</v>
      </c>
      <c r="W108" s="175">
        <v>1.3149919999999999</v>
      </c>
      <c r="X108" s="175">
        <v>0.44324000000000002</v>
      </c>
      <c r="Y108" s="175">
        <v>0.94550000000000001</v>
      </c>
      <c r="Z108"/>
    </row>
    <row r="109" spans="1:26" ht="15">
      <c r="A109" s="211"/>
      <c r="B109" s="133" t="s">
        <v>5</v>
      </c>
      <c r="C109" s="175">
        <v>60.12574</v>
      </c>
      <c r="D109" s="175">
        <v>88.964033999999998</v>
      </c>
      <c r="E109" s="175">
        <v>109.52770099999999</v>
      </c>
      <c r="F109" s="175">
        <v>120.73900500000001</v>
      </c>
      <c r="G109" s="175">
        <v>116.96555499999999</v>
      </c>
      <c r="H109" s="175">
        <v>160.356527</v>
      </c>
      <c r="I109" s="175">
        <v>181.49906899999999</v>
      </c>
      <c r="J109" s="175">
        <v>185.782734</v>
      </c>
      <c r="K109" s="175">
        <v>123.26133799999999</v>
      </c>
      <c r="L109" s="175">
        <v>85.870188999999996</v>
      </c>
      <c r="M109" s="175">
        <v>102.221262</v>
      </c>
      <c r="N109" s="175">
        <v>37.913117999999997</v>
      </c>
      <c r="O109" s="175">
        <v>132.72816599999999</v>
      </c>
      <c r="P109" s="175">
        <v>42.678730999999999</v>
      </c>
      <c r="Q109" s="175">
        <v>130.23741999999999</v>
      </c>
      <c r="R109" s="175">
        <v>103.68509299999999</v>
      </c>
      <c r="S109" s="175">
        <v>130.95020099999999</v>
      </c>
      <c r="T109" s="175">
        <v>63.396431</v>
      </c>
      <c r="U109" s="175">
        <v>208.493673</v>
      </c>
      <c r="V109" s="175">
        <v>178.40515199999999</v>
      </c>
      <c r="W109" s="175">
        <v>103.147462</v>
      </c>
      <c r="X109" s="175">
        <v>57.758575</v>
      </c>
      <c r="Y109" s="175">
        <v>72.204629999999995</v>
      </c>
      <c r="Z109"/>
    </row>
    <row r="110" spans="1:26" ht="15">
      <c r="A110" s="211"/>
      <c r="B110" s="133" t="s">
        <v>4</v>
      </c>
      <c r="C110" s="175">
        <v>18.056702999999999</v>
      </c>
      <c r="D110" s="175">
        <v>18.872744999999998</v>
      </c>
      <c r="E110" s="175">
        <v>25.064551999999999</v>
      </c>
      <c r="F110" s="175">
        <v>26.39603</v>
      </c>
      <c r="G110" s="175">
        <v>32.971663999999997</v>
      </c>
      <c r="H110" s="175">
        <v>30.752493999999999</v>
      </c>
      <c r="I110" s="175">
        <v>34.435164</v>
      </c>
      <c r="J110" s="175">
        <v>32.290123000000001</v>
      </c>
      <c r="K110" s="175">
        <v>26.56626</v>
      </c>
      <c r="L110" s="175">
        <v>26.789277999999999</v>
      </c>
      <c r="M110" s="175">
        <v>23.253195999999999</v>
      </c>
      <c r="N110" s="175">
        <v>19.060797999999998</v>
      </c>
      <c r="O110" s="175">
        <v>22.120656</v>
      </c>
      <c r="P110" s="175">
        <v>20.300953</v>
      </c>
      <c r="Q110" s="175">
        <v>32.428702000000001</v>
      </c>
      <c r="R110" s="175">
        <v>29.890439000000001</v>
      </c>
      <c r="S110" s="175">
        <v>30.462913</v>
      </c>
      <c r="T110" s="175">
        <v>30.366741999999999</v>
      </c>
      <c r="U110" s="175">
        <v>34.304943999999999</v>
      </c>
      <c r="V110" s="175">
        <v>32.757333000000003</v>
      </c>
      <c r="W110" s="175">
        <v>31.191044999999999</v>
      </c>
      <c r="X110" s="175">
        <v>29.6997</v>
      </c>
      <c r="Y110" s="175">
        <v>12.046289</v>
      </c>
      <c r="Z110"/>
    </row>
    <row r="111" spans="1:26" ht="15">
      <c r="A111" s="211"/>
      <c r="B111" s="133" t="s">
        <v>22</v>
      </c>
      <c r="C111" s="175">
        <v>0.86053100000000005</v>
      </c>
      <c r="D111" s="175">
        <v>0.72069799999999995</v>
      </c>
      <c r="E111" s="175">
        <v>0.90984399999999999</v>
      </c>
      <c r="F111" s="175">
        <v>0.61352399999999996</v>
      </c>
      <c r="G111" s="175">
        <v>0.72146399999999999</v>
      </c>
      <c r="H111" s="175">
        <v>0.696106</v>
      </c>
      <c r="I111" s="175">
        <v>0.688222</v>
      </c>
      <c r="J111" s="175">
        <v>0.71531400000000001</v>
      </c>
      <c r="K111" s="175">
        <v>0.714812</v>
      </c>
      <c r="L111" s="175">
        <v>0.73132799999999998</v>
      </c>
      <c r="M111" s="175">
        <v>0.76498500000000003</v>
      </c>
      <c r="N111" s="175">
        <v>0.78453200000000001</v>
      </c>
      <c r="O111" s="175">
        <v>0.78413299999999997</v>
      </c>
      <c r="P111" s="175">
        <v>0.71108700000000002</v>
      </c>
      <c r="Q111" s="175">
        <v>0.73842799999999997</v>
      </c>
      <c r="R111" s="175">
        <v>0.63095199999999996</v>
      </c>
      <c r="S111" s="175">
        <v>0.65055600000000002</v>
      </c>
      <c r="T111" s="175">
        <v>0.66513100000000003</v>
      </c>
      <c r="U111" s="175">
        <v>0.64607300000000001</v>
      </c>
      <c r="V111" s="175">
        <v>0.37482700000000002</v>
      </c>
      <c r="W111" s="175">
        <v>0.37211699999999998</v>
      </c>
      <c r="X111" s="175">
        <v>0.52430399999999999</v>
      </c>
      <c r="Y111" s="175">
        <v>0</v>
      </c>
      <c r="Z111"/>
    </row>
    <row r="112" spans="1:26" ht="15">
      <c r="A112" s="211"/>
      <c r="B112" s="133" t="s">
        <v>23</v>
      </c>
      <c r="C112" s="175">
        <v>0</v>
      </c>
      <c r="D112" s="175">
        <v>0</v>
      </c>
      <c r="E112" s="175">
        <v>0</v>
      </c>
      <c r="F112" s="175">
        <v>0</v>
      </c>
      <c r="G112" s="175">
        <v>0</v>
      </c>
      <c r="H112" s="175">
        <v>0</v>
      </c>
      <c r="I112" s="175">
        <v>0</v>
      </c>
      <c r="J112" s="175">
        <v>0</v>
      </c>
      <c r="K112" s="175">
        <v>0</v>
      </c>
      <c r="L112" s="175">
        <v>0</v>
      </c>
      <c r="M112" s="175">
        <v>0</v>
      </c>
      <c r="N112" s="175">
        <v>0</v>
      </c>
      <c r="O112" s="175">
        <v>0</v>
      </c>
      <c r="P112" s="175">
        <v>0</v>
      </c>
      <c r="Q112" s="175">
        <v>0</v>
      </c>
      <c r="R112" s="175">
        <v>0</v>
      </c>
      <c r="S112" s="175">
        <v>0</v>
      </c>
      <c r="T112" s="175">
        <v>0</v>
      </c>
      <c r="U112" s="175">
        <v>0</v>
      </c>
      <c r="V112" s="175">
        <v>0</v>
      </c>
      <c r="W112" s="175">
        <v>0</v>
      </c>
      <c r="X112" s="175">
        <v>0</v>
      </c>
      <c r="Y112" s="175">
        <v>0</v>
      </c>
      <c r="Z112"/>
    </row>
    <row r="113" spans="1:26" ht="15">
      <c r="A113" s="211"/>
      <c r="B113" s="137" t="s">
        <v>2</v>
      </c>
      <c r="C113" s="176">
        <v>713.30986199999995</v>
      </c>
      <c r="D113" s="176">
        <v>649.84944700000005</v>
      </c>
      <c r="E113" s="176">
        <v>711.96109200000001</v>
      </c>
      <c r="F113" s="176">
        <v>673.43979000000002</v>
      </c>
      <c r="G113" s="176">
        <v>700.75674900000001</v>
      </c>
      <c r="H113" s="176">
        <v>693.66707899999994</v>
      </c>
      <c r="I113" s="176">
        <v>754.31258100000002</v>
      </c>
      <c r="J113" s="176">
        <v>757.19227599999999</v>
      </c>
      <c r="K113" s="176">
        <v>724.25128900000004</v>
      </c>
      <c r="L113" s="176">
        <v>729.37253499999997</v>
      </c>
      <c r="M113" s="176">
        <v>709.31228699999997</v>
      </c>
      <c r="N113" s="176">
        <v>718.95281199999999</v>
      </c>
      <c r="O113" s="176">
        <v>719.41983100000004</v>
      </c>
      <c r="P113" s="176">
        <v>650.31184399999995</v>
      </c>
      <c r="Q113" s="176">
        <v>711.93171700000005</v>
      </c>
      <c r="R113" s="176">
        <v>675.69969500000002</v>
      </c>
      <c r="S113" s="176">
        <v>700.77768100000003</v>
      </c>
      <c r="T113" s="176">
        <v>712.30902100000003</v>
      </c>
      <c r="U113" s="176">
        <v>760.84376299999997</v>
      </c>
      <c r="V113" s="176">
        <v>801.70738400000005</v>
      </c>
      <c r="W113" s="176">
        <v>744.43469200000004</v>
      </c>
      <c r="X113" s="176">
        <v>803.95593199999996</v>
      </c>
      <c r="Y113" s="176">
        <v>320.89070199999998</v>
      </c>
      <c r="Z113"/>
    </row>
    <row r="114" spans="1:26" ht="15">
      <c r="A114" s="212"/>
      <c r="B114" s="137" t="s">
        <v>79</v>
      </c>
      <c r="C114" s="176">
        <v>713.30986199999995</v>
      </c>
      <c r="D114" s="176">
        <v>649.84944700000005</v>
      </c>
      <c r="E114" s="176">
        <v>711.96109200000001</v>
      </c>
      <c r="F114" s="176">
        <v>673.43979000000002</v>
      </c>
      <c r="G114" s="176">
        <v>700.75674900000001</v>
      </c>
      <c r="H114" s="176">
        <v>693.66707899999994</v>
      </c>
      <c r="I114" s="176">
        <v>754.31258100000002</v>
      </c>
      <c r="J114" s="176">
        <v>757.19227599999999</v>
      </c>
      <c r="K114" s="176">
        <v>724.25128900000004</v>
      </c>
      <c r="L114" s="176">
        <v>729.37253499999997</v>
      </c>
      <c r="M114" s="176">
        <v>709.31228699999997</v>
      </c>
      <c r="N114" s="176">
        <v>718.95281199999999</v>
      </c>
      <c r="O114" s="176">
        <v>719.41983100000004</v>
      </c>
      <c r="P114" s="176">
        <v>650.31184399999995</v>
      </c>
      <c r="Q114" s="176">
        <v>711.93171700000005</v>
      </c>
      <c r="R114" s="176">
        <v>675.69969500000002</v>
      </c>
      <c r="S114" s="176">
        <v>700.77768100000003</v>
      </c>
      <c r="T114" s="176">
        <v>712.30902100000003</v>
      </c>
      <c r="U114" s="176">
        <v>760.84376299999997</v>
      </c>
      <c r="V114" s="176">
        <v>801.70738400000005</v>
      </c>
      <c r="W114" s="176">
        <v>744.43469200000004</v>
      </c>
      <c r="X114" s="176">
        <v>803.95593199999996</v>
      </c>
      <c r="Y114" s="176">
        <v>320.89070199999998</v>
      </c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8" t="s">
        <v>73</v>
      </c>
      <c r="C117" s="111" t="str">
        <f>TEXT(EDATE(D117,-1),"mmmm aaaa")</f>
        <v>octubre 2022</v>
      </c>
      <c r="D117" s="111" t="str">
        <f t="shared" ref="D117:M117" si="6">TEXT(EDATE(E117,-1),"mmmm aaaa")</f>
        <v>noviembre 2022</v>
      </c>
      <c r="E117" s="111" t="str">
        <f t="shared" si="6"/>
        <v>diciembre 2022</v>
      </c>
      <c r="F117" s="111" t="str">
        <f t="shared" si="6"/>
        <v>enero 2023</v>
      </c>
      <c r="G117" s="111" t="str">
        <f t="shared" si="6"/>
        <v>febrero 2023</v>
      </c>
      <c r="H117" s="111" t="str">
        <f t="shared" si="6"/>
        <v>marzo 2023</v>
      </c>
      <c r="I117" s="111" t="str">
        <f t="shared" si="6"/>
        <v>abril 2023</v>
      </c>
      <c r="J117" s="111" t="str">
        <f t="shared" si="6"/>
        <v>mayo 2023</v>
      </c>
      <c r="K117" s="111" t="str">
        <f t="shared" si="6"/>
        <v>junio 2023</v>
      </c>
      <c r="L117" s="111" t="str">
        <f t="shared" si="6"/>
        <v>julio 2023</v>
      </c>
      <c r="M117" s="111" t="str">
        <f t="shared" si="6"/>
        <v>agosto 2023</v>
      </c>
      <c r="N117" s="111" t="str">
        <f>TEXT(EDATE(O117,-1),"mmmm aaaa")</f>
        <v>septiembre 2023</v>
      </c>
      <c r="O117" s="112" t="str">
        <f>A2</f>
        <v>Octubre 2023</v>
      </c>
    </row>
    <row r="118" spans="1:26">
      <c r="B118" s="209"/>
      <c r="C118" s="121" t="str">
        <f>TEXT(EDATE($A$2,-12),"mmm")&amp;".-"&amp;TEXT(EDATE($A$2,-12),"aa")</f>
        <v>oct.-22</v>
      </c>
      <c r="D118" s="121" t="str">
        <f>TEXT(EDATE($A$2,-11),"mmm")&amp;".-"&amp;TEXT(EDATE($A$2,-11),"aa")</f>
        <v>nov.-22</v>
      </c>
      <c r="E118" s="121" t="str">
        <f>TEXT(EDATE($A$2,-10),"mmm")&amp;".-"&amp;TEXT(EDATE($A$2,-10),"aa")</f>
        <v>dic.-22</v>
      </c>
      <c r="F118" s="121" t="str">
        <f>TEXT(EDATE($A$2,-9),"mmm")&amp;".-"&amp;TEXT(EDATE($A$2,-9),"aa")</f>
        <v>ene.-23</v>
      </c>
      <c r="G118" s="121" t="str">
        <f>TEXT(EDATE($A$2,-8),"mmm")&amp;".-"&amp;TEXT(EDATE($A$2,-8),"aa")</f>
        <v>feb.-23</v>
      </c>
      <c r="H118" s="121" t="str">
        <f>TEXT(EDATE($A$2,-7),"mmm")&amp;".-"&amp;TEXT(EDATE($A$2,-7),"aa")</f>
        <v>mar.-23</v>
      </c>
      <c r="I118" s="121" t="str">
        <f>TEXT(EDATE($A$2,-6),"mmm")&amp;".-"&amp;TEXT(EDATE($A$2,-6),"aa")</f>
        <v>abr.-23</v>
      </c>
      <c r="J118" s="121" t="str">
        <f>TEXT(EDATE($A$2,-5),"mmm")&amp;".-"&amp;TEXT(EDATE($A$2,-5),"aa")</f>
        <v>may.-23</v>
      </c>
      <c r="K118" s="121" t="str">
        <f>TEXT(EDATE($A$2,-4),"mmm")&amp;".-"&amp;TEXT(EDATE($A$2,-4),"aa")</f>
        <v>jun.-23</v>
      </c>
      <c r="L118" s="121" t="str">
        <f>TEXT(EDATE($A$2,-3),"mmm")&amp;".-"&amp;TEXT(EDATE($A$2,-3),"aa")</f>
        <v>jul.-23</v>
      </c>
      <c r="M118" s="121" t="str">
        <f>TEXT(EDATE($A$2,-2),"mmm")&amp;".-"&amp;TEXT(EDATE($A$2,-2),"aa")</f>
        <v>ago.-23</v>
      </c>
      <c r="N118" s="121" t="str">
        <f>TEXT(EDATE($A$2,-1),"mmm")&amp;".-"&amp;TEXT(EDATE($A$2,-1),"aa")</f>
        <v>sep.-23</v>
      </c>
      <c r="O118" s="143" t="str">
        <f>TEXT($A$2,"mmm")&amp;".-"&amp;TEXT($A$2,"aa")</f>
        <v>oct.-23</v>
      </c>
    </row>
    <row r="119" spans="1:26">
      <c r="A119" s="205" t="s">
        <v>76</v>
      </c>
      <c r="B119" s="122" t="s">
        <v>11</v>
      </c>
      <c r="C119" s="123">
        <f>HLOOKUP(C$117,$86:$101,3,FALSE)</f>
        <v>-0.613232</v>
      </c>
      <c r="D119" s="123">
        <f t="shared" ref="D119:N119" si="7">HLOOKUP(D$117,$86:$101,3,FALSE)</f>
        <v>-0.58811800000000003</v>
      </c>
      <c r="E119" s="123">
        <f t="shared" si="7"/>
        <v>-0.62679200000000002</v>
      </c>
      <c r="F119" s="123">
        <f t="shared" si="7"/>
        <v>-0.72771799999999998</v>
      </c>
      <c r="G119" s="123">
        <f t="shared" si="7"/>
        <v>-0.70697299999999996</v>
      </c>
      <c r="H119" s="123">
        <f t="shared" si="7"/>
        <v>-0.51834000000000002</v>
      </c>
      <c r="I119" s="123">
        <f t="shared" si="7"/>
        <v>-0.60865999999999998</v>
      </c>
      <c r="J119" s="123">
        <f t="shared" si="7"/>
        <v>-0.83296899999999996</v>
      </c>
      <c r="K119" s="123">
        <f t="shared" si="7"/>
        <v>3.1799559999999998</v>
      </c>
      <c r="L119" s="123">
        <f t="shared" si="7"/>
        <v>54.925434000000003</v>
      </c>
      <c r="M119" s="123">
        <f t="shared" si="7"/>
        <v>9.0232189999999992</v>
      </c>
      <c r="N119" s="123">
        <f t="shared" si="7"/>
        <v>-0.82337800000000005</v>
      </c>
      <c r="O119" s="124">
        <f>HLOOKUP(O$117,$86:$101,3,FALSE)</f>
        <v>-0.82724900000000001</v>
      </c>
    </row>
    <row r="120" spans="1:26">
      <c r="A120" s="206"/>
      <c r="B120" s="105" t="s">
        <v>10</v>
      </c>
      <c r="C120" s="107">
        <f>HLOOKUP(C$117,$86:$101,4,FALSE)</f>
        <v>17.166284999999998</v>
      </c>
      <c r="D120" s="107">
        <f t="shared" ref="D120:O120" si="8">HLOOKUP(D$117,$86:$101,4,FALSE)</f>
        <v>9.2819520000000004</v>
      </c>
      <c r="E120" s="107">
        <f t="shared" si="8"/>
        <v>2.2104400000000002</v>
      </c>
      <c r="F120" s="107">
        <f t="shared" si="8"/>
        <v>5.0179289999999996</v>
      </c>
      <c r="G120" s="107">
        <f t="shared" si="8"/>
        <v>15.008727</v>
      </c>
      <c r="H120" s="107">
        <f t="shared" si="8"/>
        <v>6.2192920000000003</v>
      </c>
      <c r="I120" s="107">
        <f t="shared" si="8"/>
        <v>7.134449</v>
      </c>
      <c r="J120" s="107">
        <f t="shared" si="8"/>
        <v>12.70701</v>
      </c>
      <c r="K120" s="107">
        <f t="shared" si="8"/>
        <v>20.755147999999998</v>
      </c>
      <c r="L120" s="107">
        <f t="shared" si="8"/>
        <v>57.618448999999998</v>
      </c>
      <c r="M120" s="107">
        <f t="shared" si="8"/>
        <v>64.924531000000002</v>
      </c>
      <c r="N120" s="107">
        <f t="shared" si="8"/>
        <v>32.782569000000002</v>
      </c>
      <c r="O120" s="124">
        <f t="shared" si="8"/>
        <v>16.979832999999999</v>
      </c>
    </row>
    <row r="121" spans="1:26">
      <c r="A121" s="206"/>
      <c r="B121" s="105" t="s">
        <v>9</v>
      </c>
      <c r="C121" s="107">
        <f>HLOOKUP(C$117,$86:$101,5,FALSE)</f>
        <v>42.597769999999997</v>
      </c>
      <c r="D121" s="107">
        <f t="shared" ref="D121:O121" si="9">HLOOKUP(D$117,$86:$101,5,FALSE)</f>
        <v>23.111573</v>
      </c>
      <c r="E121" s="107">
        <f t="shared" si="9"/>
        <v>26.769898999999999</v>
      </c>
      <c r="F121" s="107">
        <f t="shared" si="9"/>
        <v>49.385100000000001</v>
      </c>
      <c r="G121" s="107">
        <f t="shared" si="9"/>
        <v>32.328426999999998</v>
      </c>
      <c r="H121" s="107">
        <f t="shared" si="9"/>
        <v>34.532919999999997</v>
      </c>
      <c r="I121" s="107">
        <f t="shared" si="9"/>
        <v>29.44258</v>
      </c>
      <c r="J121" s="107">
        <f t="shared" si="9"/>
        <v>35.218071999999999</v>
      </c>
      <c r="K121" s="107">
        <f t="shared" si="9"/>
        <v>56.449230999999997</v>
      </c>
      <c r="L121" s="107">
        <f t="shared" si="9"/>
        <v>67.064257999999995</v>
      </c>
      <c r="M121" s="107">
        <f t="shared" si="9"/>
        <v>53.415241999999999</v>
      </c>
      <c r="N121" s="107">
        <f t="shared" si="9"/>
        <v>49.279671999999998</v>
      </c>
      <c r="O121" s="124">
        <f t="shared" si="9"/>
        <v>44.274278000000002</v>
      </c>
    </row>
    <row r="122" spans="1:26" ht="14.25">
      <c r="A122" s="206"/>
      <c r="B122" s="105" t="s">
        <v>74</v>
      </c>
      <c r="C122" s="107">
        <f>HLOOKUP(C$117,$86:$101,6,FALSE)</f>
        <v>297.32130999999998</v>
      </c>
      <c r="D122" s="107">
        <f t="shared" ref="D122:O122" si="10">HLOOKUP(D$117,$86:$101,6,FALSE)</f>
        <v>234.47985499999999</v>
      </c>
      <c r="E122" s="107">
        <f t="shared" si="10"/>
        <v>251.18496099999999</v>
      </c>
      <c r="F122" s="107">
        <f t="shared" si="10"/>
        <v>236.33414099999999</v>
      </c>
      <c r="G122" s="107">
        <f t="shared" si="10"/>
        <v>250.50749099999999</v>
      </c>
      <c r="H122" s="107">
        <f t="shared" si="10"/>
        <v>233.28242</v>
      </c>
      <c r="I122" s="107">
        <f t="shared" si="10"/>
        <v>207.738203</v>
      </c>
      <c r="J122" s="107">
        <f t="shared" si="10"/>
        <v>231.47546199999999</v>
      </c>
      <c r="K122" s="107">
        <f t="shared" si="10"/>
        <v>269.55010299999998</v>
      </c>
      <c r="L122" s="107">
        <f t="shared" si="10"/>
        <v>316.35504600000002</v>
      </c>
      <c r="M122" s="107">
        <f t="shared" si="10"/>
        <v>324.37696499999998</v>
      </c>
      <c r="N122" s="107">
        <f t="shared" si="10"/>
        <v>296.32292799999999</v>
      </c>
      <c r="O122" s="124">
        <f t="shared" si="10"/>
        <v>247.112684</v>
      </c>
    </row>
    <row r="123" spans="1:26">
      <c r="A123" s="206"/>
      <c r="B123" s="105" t="s">
        <v>24</v>
      </c>
      <c r="C123" s="107">
        <f>HLOOKUP(C$117,$86:$101,7,FALSE)</f>
        <v>0.904698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6"/>
      <c r="B124" s="105" t="s">
        <v>5</v>
      </c>
      <c r="C124" s="107">
        <f>HLOOKUP(C$117,$86:$102,8,FALSE)</f>
        <v>2.8530000000000001E-3</v>
      </c>
      <c r="D124" s="107">
        <f t="shared" ref="D124:O124" si="12">HLOOKUP(D$117,$86:$102,8,FALSE)</f>
        <v>2.5883E-2</v>
      </c>
      <c r="E124" s="107">
        <f t="shared" si="12"/>
        <v>0.100989</v>
      </c>
      <c r="F124" s="107">
        <f t="shared" si="12"/>
        <v>0.21573000000000001</v>
      </c>
      <c r="G124" s="107">
        <f t="shared" si="12"/>
        <v>0.18323999999999999</v>
      </c>
      <c r="H124" s="107">
        <f t="shared" si="12"/>
        <v>0.20035</v>
      </c>
      <c r="I124" s="107">
        <f t="shared" si="12"/>
        <v>0.12734500000000001</v>
      </c>
      <c r="J124" s="107">
        <f t="shared" si="12"/>
        <v>0.24965100000000001</v>
      </c>
      <c r="K124" s="107">
        <f t="shared" si="12"/>
        <v>5.6180000000000001E-2</v>
      </c>
      <c r="L124" s="107">
        <f t="shared" si="12"/>
        <v>0.118565</v>
      </c>
      <c r="M124" s="107">
        <f t="shared" si="12"/>
        <v>9.7920999999999994E-2</v>
      </c>
      <c r="N124" s="107">
        <f t="shared" si="12"/>
        <v>0</v>
      </c>
      <c r="O124" s="124">
        <f t="shared" si="12"/>
        <v>1.0359999999999999E-2</v>
      </c>
    </row>
    <row r="125" spans="1:26">
      <c r="A125" s="206"/>
      <c r="B125" s="105" t="s">
        <v>4</v>
      </c>
      <c r="C125" s="107">
        <f>HLOOKUP(C$117,$86:$102,9,FALSE)</f>
        <v>23.675007999999998</v>
      </c>
      <c r="D125" s="107">
        <f t="shared" ref="D125:O125" si="13">HLOOKUP(D$117,$86:$102,9,FALSE)</f>
        <v>17.328648000000001</v>
      </c>
      <c r="E125" s="107">
        <f t="shared" si="13"/>
        <v>15.536158</v>
      </c>
      <c r="F125" s="107">
        <f t="shared" si="13"/>
        <v>18.187577000000001</v>
      </c>
      <c r="G125" s="107">
        <f t="shared" si="13"/>
        <v>22.493245000000002</v>
      </c>
      <c r="H125" s="107">
        <f t="shared" si="13"/>
        <v>35.774521</v>
      </c>
      <c r="I125" s="107">
        <f t="shared" si="13"/>
        <v>36.519472</v>
      </c>
      <c r="J125" s="107">
        <f t="shared" si="13"/>
        <v>33.460431999999997</v>
      </c>
      <c r="K125" s="107">
        <f t="shared" si="13"/>
        <v>35.587198000000001</v>
      </c>
      <c r="L125" s="107">
        <f t="shared" si="13"/>
        <v>40.355545999999997</v>
      </c>
      <c r="M125" s="107">
        <f t="shared" si="13"/>
        <v>43.030126000000003</v>
      </c>
      <c r="N125" s="107">
        <f t="shared" si="13"/>
        <v>34.236007000000001</v>
      </c>
      <c r="O125" s="124">
        <f t="shared" si="13"/>
        <v>32.549160999999998</v>
      </c>
    </row>
    <row r="126" spans="1:26">
      <c r="A126" s="206"/>
      <c r="B126" s="113" t="s">
        <v>22</v>
      </c>
      <c r="C126" s="107">
        <f>HLOOKUP(C$117,$86:$102,10,FALSE)</f>
        <v>9.6991999999999995E-2</v>
      </c>
      <c r="D126" s="107">
        <f t="shared" ref="D126:O126" si="14">HLOOKUP(D$117,$86:$102,10,FALSE)</f>
        <v>8.4503999999999996E-2</v>
      </c>
      <c r="E126" s="107">
        <f t="shared" si="14"/>
        <v>7.7099000000000001E-2</v>
      </c>
      <c r="F126" s="107">
        <f t="shared" si="14"/>
        <v>9.3608999999999998E-2</v>
      </c>
      <c r="G126" s="107">
        <f t="shared" si="14"/>
        <v>0.13599800000000001</v>
      </c>
      <c r="H126" s="107">
        <f t="shared" si="14"/>
        <v>0.11230800000000001</v>
      </c>
      <c r="I126" s="107">
        <f t="shared" si="14"/>
        <v>7.399E-2</v>
      </c>
      <c r="J126" s="107">
        <f t="shared" si="14"/>
        <v>9.0162999999999993E-2</v>
      </c>
      <c r="K126" s="107">
        <f t="shared" si="14"/>
        <v>8.4139000000000005E-2</v>
      </c>
      <c r="L126" s="107">
        <f t="shared" si="14"/>
        <v>3.7238E-2</v>
      </c>
      <c r="M126" s="107">
        <f t="shared" si="14"/>
        <v>2.6629E-2</v>
      </c>
      <c r="N126" s="107">
        <f t="shared" si="14"/>
        <v>3.1858999999999998E-2</v>
      </c>
      <c r="O126" s="124">
        <f t="shared" si="14"/>
        <v>3.9587999999999998E-2</v>
      </c>
    </row>
    <row r="127" spans="1:26">
      <c r="A127" s="206"/>
      <c r="B127" s="113" t="s">
        <v>23</v>
      </c>
      <c r="C127" s="107">
        <f>HLOOKUP(C$117,$86:$102,11,FALSE)</f>
        <v>1.826864</v>
      </c>
      <c r="D127" s="107">
        <f t="shared" ref="D127:O127" si="15">HLOOKUP(D$117,$86:$102,11,FALSE)</f>
        <v>2.552667</v>
      </c>
      <c r="E127" s="107">
        <f t="shared" si="15"/>
        <v>2.9406370000000002</v>
      </c>
      <c r="F127" s="107">
        <f t="shared" si="15"/>
        <v>3.048152</v>
      </c>
      <c r="G127" s="107">
        <f t="shared" si="15"/>
        <v>3.0015830000000001</v>
      </c>
      <c r="H127" s="107">
        <f t="shared" si="15"/>
        <v>3.577315</v>
      </c>
      <c r="I127" s="107">
        <f t="shared" si="15"/>
        <v>3.6202459999999999</v>
      </c>
      <c r="J127" s="107">
        <f t="shared" si="15"/>
        <v>3.5176020000000001</v>
      </c>
      <c r="K127" s="107">
        <f t="shared" si="15"/>
        <v>3.7894670000000001</v>
      </c>
      <c r="L127" s="107">
        <f t="shared" si="15"/>
        <v>3.2446030000000001</v>
      </c>
      <c r="M127" s="107">
        <f t="shared" si="15"/>
        <v>3.7400570000000002</v>
      </c>
      <c r="N127" s="107">
        <f t="shared" si="15"/>
        <v>3.104663</v>
      </c>
      <c r="O127" s="124">
        <f t="shared" si="15"/>
        <v>1.7294940000000001</v>
      </c>
    </row>
    <row r="128" spans="1:26">
      <c r="A128" s="206"/>
      <c r="B128" s="105" t="s">
        <v>55</v>
      </c>
      <c r="C128" s="107">
        <f t="shared" ref="C128:O128" si="16">HLOOKUP(C$117,$86:$102,13,FALSE)</f>
        <v>11.230755</v>
      </c>
      <c r="D128" s="107">
        <f t="shared" si="16"/>
        <v>10.188828000000001</v>
      </c>
      <c r="E128" s="107">
        <f t="shared" si="16"/>
        <v>10.4136255</v>
      </c>
      <c r="F128" s="107">
        <f t="shared" si="16"/>
        <v>7.3618245</v>
      </c>
      <c r="G128" s="107">
        <f t="shared" si="16"/>
        <v>9.8298860000000001</v>
      </c>
      <c r="H128" s="107">
        <f t="shared" si="16"/>
        <v>9.6378819999999994</v>
      </c>
      <c r="I128" s="107">
        <f t="shared" si="16"/>
        <v>10.65733</v>
      </c>
      <c r="J128" s="107">
        <f t="shared" si="16"/>
        <v>12.228600500000001</v>
      </c>
      <c r="K128" s="107">
        <f t="shared" si="16"/>
        <v>15.5976535</v>
      </c>
      <c r="L128" s="107">
        <f t="shared" si="16"/>
        <v>12.5411815</v>
      </c>
      <c r="M128" s="107">
        <f t="shared" si="16"/>
        <v>14.683114</v>
      </c>
      <c r="N128" s="107">
        <f t="shared" si="16"/>
        <v>9.6099359999999994</v>
      </c>
      <c r="O128" s="124">
        <f t="shared" si="16"/>
        <v>10.860910000000001</v>
      </c>
    </row>
    <row r="129" spans="1:15">
      <c r="A129" s="206"/>
      <c r="B129" s="105" t="s">
        <v>54</v>
      </c>
      <c r="C129" s="107">
        <f>HLOOKUP(C$117,$86:$102,12,FALSE)</f>
        <v>11.230755</v>
      </c>
      <c r="D129" s="107">
        <f t="shared" ref="D129:O129" si="17">HLOOKUP(D$117,$86:$102,12,FALSE)</f>
        <v>10.188828000000001</v>
      </c>
      <c r="E129" s="107">
        <f t="shared" si="17"/>
        <v>10.4136255</v>
      </c>
      <c r="F129" s="107">
        <f t="shared" si="17"/>
        <v>7.3618245</v>
      </c>
      <c r="G129" s="107">
        <f t="shared" si="17"/>
        <v>9.8298860000000001</v>
      </c>
      <c r="H129" s="107">
        <f t="shared" si="17"/>
        <v>9.6378819999999994</v>
      </c>
      <c r="I129" s="107">
        <f t="shared" si="17"/>
        <v>10.65733</v>
      </c>
      <c r="J129" s="107">
        <f t="shared" si="17"/>
        <v>12.228600500000001</v>
      </c>
      <c r="K129" s="107">
        <f t="shared" si="17"/>
        <v>15.5976535</v>
      </c>
      <c r="L129" s="107">
        <f t="shared" si="17"/>
        <v>12.5411815</v>
      </c>
      <c r="M129" s="107">
        <f t="shared" si="17"/>
        <v>14.683114</v>
      </c>
      <c r="N129" s="107">
        <f t="shared" si="17"/>
        <v>9.6099359999999994</v>
      </c>
      <c r="O129" s="124">
        <f t="shared" si="17"/>
        <v>10.860910000000001</v>
      </c>
    </row>
    <row r="130" spans="1:15">
      <c r="A130" s="206"/>
      <c r="B130" s="114" t="s">
        <v>2</v>
      </c>
      <c r="C130" s="115">
        <f>HLOOKUP(C$117,$86:$102,14,FALSE)</f>
        <v>405.44005800000002</v>
      </c>
      <c r="D130" s="115">
        <f t="shared" ref="D130:O130" si="18">HLOOKUP(D$117,$86:$102,14,FALSE)</f>
        <v>306.65462000000002</v>
      </c>
      <c r="E130" s="115">
        <f t="shared" si="18"/>
        <v>319.02064200000001</v>
      </c>
      <c r="F130" s="115">
        <f t="shared" si="18"/>
        <v>326.27816899999999</v>
      </c>
      <c r="G130" s="115">
        <f t="shared" si="18"/>
        <v>342.61151000000001</v>
      </c>
      <c r="H130" s="115">
        <f t="shared" si="18"/>
        <v>332.45654999999999</v>
      </c>
      <c r="I130" s="115">
        <f t="shared" si="18"/>
        <v>305.36228499999999</v>
      </c>
      <c r="J130" s="115">
        <f t="shared" si="18"/>
        <v>340.342624</v>
      </c>
      <c r="K130" s="115">
        <f t="shared" si="18"/>
        <v>420.64672899999999</v>
      </c>
      <c r="L130" s="115">
        <f t="shared" si="18"/>
        <v>564.80150200000003</v>
      </c>
      <c r="M130" s="115">
        <f t="shared" si="18"/>
        <v>528.00091799999996</v>
      </c>
      <c r="N130" s="115">
        <f t="shared" si="18"/>
        <v>434.15419200000002</v>
      </c>
      <c r="O130" s="125">
        <f t="shared" si="18"/>
        <v>363.589969</v>
      </c>
    </row>
    <row r="131" spans="1:15">
      <c r="A131" s="206"/>
      <c r="B131" s="105" t="s">
        <v>21</v>
      </c>
      <c r="C131" s="116">
        <f>HLOOKUP(C$117,$86:$102,15,FALSE)</f>
        <v>61.365385000000003</v>
      </c>
      <c r="D131" s="116">
        <f t="shared" ref="D131:O131" si="19">HLOOKUP(D$117,$86:$102,15,FALSE)</f>
        <v>55.991686000000001</v>
      </c>
      <c r="E131" s="116">
        <f t="shared" si="19"/>
        <v>79.778822000000005</v>
      </c>
      <c r="F131" s="116">
        <f t="shared" si="19"/>
        <v>123.950131</v>
      </c>
      <c r="G131" s="116">
        <f t="shared" si="19"/>
        <v>89.734262000000001</v>
      </c>
      <c r="H131" s="116">
        <f t="shared" si="19"/>
        <v>82.194308000000007</v>
      </c>
      <c r="I131" s="116">
        <f t="shared" si="19"/>
        <v>98.033413999999993</v>
      </c>
      <c r="J131" s="116">
        <f t="shared" si="19"/>
        <v>118.762416</v>
      </c>
      <c r="K131" s="116">
        <f t="shared" si="19"/>
        <v>124.350134</v>
      </c>
      <c r="L131" s="116">
        <f t="shared" si="19"/>
        <v>168.54782399999999</v>
      </c>
      <c r="M131" s="116">
        <f t="shared" si="19"/>
        <v>175.00929099999999</v>
      </c>
      <c r="N131" s="116">
        <f t="shared" si="19"/>
        <v>130.854702</v>
      </c>
      <c r="O131" s="116">
        <f t="shared" si="19"/>
        <v>131.44748999999999</v>
      </c>
    </row>
    <row r="132" spans="1:15">
      <c r="A132" s="206"/>
      <c r="B132" s="117" t="s">
        <v>1</v>
      </c>
      <c r="C132" s="118">
        <f>HLOOKUP(C$117,$86:$102,16,FALSE)</f>
        <v>466.80544300000003</v>
      </c>
      <c r="D132" s="118">
        <f t="shared" ref="D132:O132" si="20">HLOOKUP(D$117,$86:$102,16,FALSE)</f>
        <v>362.64630599999998</v>
      </c>
      <c r="E132" s="118">
        <f t="shared" si="20"/>
        <v>398.799464</v>
      </c>
      <c r="F132" s="118">
        <f t="shared" si="20"/>
        <v>450.22829999999999</v>
      </c>
      <c r="G132" s="118">
        <f t="shared" si="20"/>
        <v>432.34577200000001</v>
      </c>
      <c r="H132" s="118">
        <f t="shared" si="20"/>
        <v>414.65085800000003</v>
      </c>
      <c r="I132" s="118">
        <f t="shared" si="20"/>
        <v>403.39569899999998</v>
      </c>
      <c r="J132" s="118">
        <f t="shared" si="20"/>
        <v>459.10503999999997</v>
      </c>
      <c r="K132" s="118">
        <f t="shared" si="20"/>
        <v>544.99686299999996</v>
      </c>
      <c r="L132" s="118">
        <f t="shared" si="20"/>
        <v>733.34932600000002</v>
      </c>
      <c r="M132" s="118">
        <f t="shared" si="20"/>
        <v>703.01020900000003</v>
      </c>
      <c r="N132" s="118">
        <f t="shared" si="20"/>
        <v>565.00889400000005</v>
      </c>
      <c r="O132" s="118">
        <f t="shared" si="20"/>
        <v>495.03745900000001</v>
      </c>
    </row>
    <row r="133" spans="1:15" ht="14.25">
      <c r="A133" s="207"/>
      <c r="B133" s="126" t="s">
        <v>75</v>
      </c>
      <c r="C133" s="127">
        <f>C120+C121+C123</f>
        <v>60.668753000000002</v>
      </c>
      <c r="D133" s="127">
        <f>D120+D121+D123</f>
        <v>32.393524999999997</v>
      </c>
      <c r="E133" s="127">
        <f t="shared" ref="E133:O133" si="21">E120+E121+E123</f>
        <v>28.980339000000001</v>
      </c>
      <c r="F133" s="127">
        <f t="shared" si="21"/>
        <v>54.403029000000004</v>
      </c>
      <c r="G133" s="127">
        <f t="shared" si="21"/>
        <v>47.337153999999998</v>
      </c>
      <c r="H133" s="127">
        <f t="shared" si="21"/>
        <v>40.752212</v>
      </c>
      <c r="I133" s="127">
        <f t="shared" si="21"/>
        <v>36.577028999999996</v>
      </c>
      <c r="J133" s="127">
        <f t="shared" si="21"/>
        <v>47.925082000000003</v>
      </c>
      <c r="K133" s="127">
        <f t="shared" si="21"/>
        <v>77.204378999999989</v>
      </c>
      <c r="L133" s="127">
        <f t="shared" si="21"/>
        <v>124.68270699999999</v>
      </c>
      <c r="M133" s="127">
        <f t="shared" si="21"/>
        <v>118.33977300000001</v>
      </c>
      <c r="N133" s="127">
        <f t="shared" si="21"/>
        <v>82.062241</v>
      </c>
      <c r="O133" s="127">
        <f t="shared" si="21"/>
        <v>61.254111000000002</v>
      </c>
    </row>
    <row r="134" spans="1:15">
      <c r="A134" s="205" t="s">
        <v>77</v>
      </c>
      <c r="B134" s="128" t="s">
        <v>73</v>
      </c>
      <c r="C134" s="111" t="str">
        <f>TEXT(EDATE($A$2,-12),"mmm")&amp;".-"&amp;TEXT(EDATE($A$2,-12),"aa")</f>
        <v>oct.-22</v>
      </c>
      <c r="D134" s="111" t="str">
        <f>TEXT(EDATE($A$2,-11),"mmm")&amp;".-"&amp;TEXT(EDATE($A$2,-11),"aa")</f>
        <v>nov.-22</v>
      </c>
      <c r="E134" s="111" t="str">
        <f>TEXT(EDATE($A$2,-10),"mmm")&amp;".-"&amp;TEXT(EDATE($A$2,-10),"aa")</f>
        <v>dic.-22</v>
      </c>
      <c r="F134" s="111" t="str">
        <f>TEXT(EDATE($A$2,-9),"mmm")&amp;".-"&amp;TEXT(EDATE($A$2,-9),"aa")</f>
        <v>ene.-23</v>
      </c>
      <c r="G134" s="111" t="str">
        <f>TEXT(EDATE($A$2,-8),"mmm")&amp;".-"&amp;TEXT(EDATE($A$2,-8),"aa")</f>
        <v>feb.-23</v>
      </c>
      <c r="H134" s="111" t="str">
        <f>TEXT(EDATE($A$2,-7),"mmm")&amp;".-"&amp;TEXT(EDATE($A$2,-7),"aa")</f>
        <v>mar.-23</v>
      </c>
      <c r="I134" s="111" t="str">
        <f>TEXT(EDATE($A$2,-6),"mmm")&amp;".-"&amp;TEXT(EDATE($A$2,-6),"aa")</f>
        <v>abr.-23</v>
      </c>
      <c r="J134" s="111" t="str">
        <f>TEXT(EDATE($A$2,-5),"mmm")&amp;".-"&amp;TEXT(EDATE($A$2,-5),"aa")</f>
        <v>may.-23</v>
      </c>
      <c r="K134" s="111" t="str">
        <f>TEXT(EDATE($A$2,-4),"mmm")&amp;".-"&amp;TEXT(EDATE($A$2,-4),"aa")</f>
        <v>jun.-23</v>
      </c>
      <c r="L134" s="111" t="str">
        <f>TEXT(EDATE($A$2,-3),"mmm")&amp;".-"&amp;TEXT(EDATE($A$2,-3),"aa")</f>
        <v>jul.-23</v>
      </c>
      <c r="M134" s="111" t="str">
        <f>TEXT(EDATE($A$2,-2),"mmm")&amp;".-"&amp;TEXT(EDATE($A$2,-2),"aa")</f>
        <v>ago.-23</v>
      </c>
      <c r="N134" s="111" t="str">
        <f>TEXT(EDATE($A$2,-1),"mmm")&amp;".-"&amp;TEXT(EDATE($A$2,-1),"aa")</f>
        <v>sep.-23</v>
      </c>
      <c r="O134" s="112" t="str">
        <f>TEXT($A$2,"mmm")&amp;".-"&amp;TEXT($A$2,"aa")</f>
        <v>oct.-23</v>
      </c>
    </row>
    <row r="135" spans="1:15" ht="15" customHeight="1">
      <c r="A135" s="206"/>
      <c r="B135" s="105" t="s">
        <v>12</v>
      </c>
      <c r="C135" s="107">
        <f>HLOOKUP(C$117,$86:$115,17,FALSE)</f>
        <v>0.29400900000000002</v>
      </c>
      <c r="D135" s="107">
        <f t="shared" ref="D135:N135" si="22">HLOOKUP(D$117,$86:$115,17,FALSE)</f>
        <v>0.27748800000000001</v>
      </c>
      <c r="E135" s="107">
        <f t="shared" si="22"/>
        <v>0.28856799999999999</v>
      </c>
      <c r="F135" s="107">
        <f t="shared" si="22"/>
        <v>0.27497500000000002</v>
      </c>
      <c r="G135" s="107">
        <f t="shared" si="22"/>
        <v>0.25442500000000001</v>
      </c>
      <c r="H135" s="107">
        <f t="shared" si="22"/>
        <v>0.28212599999999999</v>
      </c>
      <c r="I135" s="107">
        <f t="shared" si="22"/>
        <v>0.27610800000000002</v>
      </c>
      <c r="J135" s="107">
        <f t="shared" si="22"/>
        <v>0.29790899999999998</v>
      </c>
      <c r="K135" s="107">
        <f t="shared" si="22"/>
        <v>0.28383700000000001</v>
      </c>
      <c r="L135" s="107">
        <f t="shared" si="22"/>
        <v>0.30198999999999998</v>
      </c>
      <c r="M135" s="107">
        <f t="shared" si="22"/>
        <v>0.28963</v>
      </c>
      <c r="N135" s="107">
        <f t="shared" si="22"/>
        <v>0.28927700000000001</v>
      </c>
      <c r="O135" s="144">
        <f>HLOOKUP(O$117,$86:$115,17,FALSE)</f>
        <v>0.30293500000000001</v>
      </c>
    </row>
    <row r="136" spans="1:15">
      <c r="A136" s="206"/>
      <c r="B136" s="105" t="s">
        <v>10</v>
      </c>
      <c r="C136" s="107">
        <f>HLOOKUP(C$117,$86:$115,18,FALSE)+HLOOKUP(C$117,$86:$115,22,FALSE)</f>
        <v>153.67971399999999</v>
      </c>
      <c r="D136" s="107">
        <f>HLOOKUP(D$117,$86:$115,18,FALSE)+HLOOKUP(D$117,$86:$115,22,FALSE)</f>
        <v>154.14347199999997</v>
      </c>
      <c r="E136" s="107">
        <f t="shared" ref="E136:N136" si="23">HLOOKUP(E$117,$86:$115,18,FALSE)+HLOOKUP(E$117,$86:$115,22,FALSE)</f>
        <v>168.09939200000002</v>
      </c>
      <c r="F136" s="107">
        <f t="shared" si="23"/>
        <v>149.65270200000001</v>
      </c>
      <c r="G136" s="107">
        <f t="shared" si="23"/>
        <v>151.161632</v>
      </c>
      <c r="H136" s="107">
        <f t="shared" si="23"/>
        <v>141.34883499999998</v>
      </c>
      <c r="I136" s="107">
        <f t="shared" si="23"/>
        <v>149.84285</v>
      </c>
      <c r="J136" s="107">
        <f t="shared" si="23"/>
        <v>152.65936299999998</v>
      </c>
      <c r="K136" s="107">
        <f t="shared" si="23"/>
        <v>159.42586699999998</v>
      </c>
      <c r="L136" s="107">
        <f t="shared" si="23"/>
        <v>147.37140500000001</v>
      </c>
      <c r="M136" s="107">
        <f t="shared" si="23"/>
        <v>158.13818499999999</v>
      </c>
      <c r="N136" s="107">
        <f t="shared" si="23"/>
        <v>154.76962499999999</v>
      </c>
      <c r="O136" s="124">
        <f>HLOOKUP(O$117,$86:$115,18,FALSE)+HLOOKUP(O$117,$86:$115,22,FALSE)</f>
        <v>179.46748099999999</v>
      </c>
    </row>
    <row r="137" spans="1:15">
      <c r="A137" s="206"/>
      <c r="B137" s="105" t="s">
        <v>9</v>
      </c>
      <c r="C137" s="107">
        <f>HLOOKUP(C$117,$86:$115,19,FALSE)</f>
        <v>36.672798</v>
      </c>
      <c r="D137" s="107">
        <f t="shared" ref="D137:O137" si="24">HLOOKUP(D$117,$86:$115,19,FALSE)</f>
        <v>23.967887999999999</v>
      </c>
      <c r="E137" s="107">
        <f t="shared" si="24"/>
        <v>22.080762</v>
      </c>
      <c r="F137" s="107">
        <f t="shared" si="24"/>
        <v>14.760491</v>
      </c>
      <c r="G137" s="107">
        <f t="shared" si="24"/>
        <v>26.990496</v>
      </c>
      <c r="H137" s="107">
        <f t="shared" si="24"/>
        <v>16.813075000000001</v>
      </c>
      <c r="I137" s="107">
        <f t="shared" si="24"/>
        <v>21.092299000000001</v>
      </c>
      <c r="J137" s="107">
        <f t="shared" si="24"/>
        <v>23.467611000000002</v>
      </c>
      <c r="K137" s="107">
        <f t="shared" si="24"/>
        <v>20.997603000000002</v>
      </c>
      <c r="L137" s="107">
        <f t="shared" si="24"/>
        <v>15.379733999999999</v>
      </c>
      <c r="M137" s="107">
        <f t="shared" si="24"/>
        <v>16.795183000000002</v>
      </c>
      <c r="N137" s="107">
        <f t="shared" si="24"/>
        <v>18.188441000000001</v>
      </c>
      <c r="O137" s="124">
        <f t="shared" si="24"/>
        <v>30.707764999999998</v>
      </c>
    </row>
    <row r="138" spans="1:15">
      <c r="A138" s="206"/>
      <c r="B138" s="105" t="s">
        <v>8</v>
      </c>
      <c r="C138" s="107">
        <f>HLOOKUP(C$117,$86:$115,20,FALSE)</f>
        <v>118.59882</v>
      </c>
      <c r="D138" s="107">
        <f t="shared" ref="D138:O138" si="25">HLOOKUP(D$117,$86:$115,20,FALSE)</f>
        <v>93.771169</v>
      </c>
      <c r="E138" s="107">
        <f t="shared" si="25"/>
        <v>122.69665500000001</v>
      </c>
      <c r="F138" s="107">
        <f t="shared" si="25"/>
        <v>118.030389</v>
      </c>
      <c r="G138" s="107">
        <f t="shared" si="25"/>
        <v>118.052049</v>
      </c>
      <c r="H138" s="107">
        <f t="shared" si="25"/>
        <v>103.679242</v>
      </c>
      <c r="I138" s="107">
        <f t="shared" si="25"/>
        <v>89.164951000000002</v>
      </c>
      <c r="J138" s="107">
        <f t="shared" si="25"/>
        <v>84.880949000000001</v>
      </c>
      <c r="K138" s="107">
        <f t="shared" si="25"/>
        <v>84.905440999999996</v>
      </c>
      <c r="L138" s="107">
        <f t="shared" si="25"/>
        <v>101.065799</v>
      </c>
      <c r="M138" s="107">
        <f t="shared" si="25"/>
        <v>105.31614999999999</v>
      </c>
      <c r="N138" s="107">
        <f t="shared" si="25"/>
        <v>105.510948</v>
      </c>
      <c r="O138" s="124">
        <f t="shared" si="25"/>
        <v>119.677701</v>
      </c>
    </row>
    <row r="139" spans="1:15" ht="14.25">
      <c r="A139" s="206"/>
      <c r="B139" s="105" t="s">
        <v>74</v>
      </c>
      <c r="C139" s="107">
        <f>HLOOKUP(C$117,$86:$115,21,FALSE)</f>
        <v>305.38632699999999</v>
      </c>
      <c r="D139" s="107">
        <f t="shared" ref="D139:O139" si="26">HLOOKUP(D$117,$86:$115,21,FALSE)</f>
        <v>309.74341800000002</v>
      </c>
      <c r="E139" s="107">
        <f t="shared" si="26"/>
        <v>347.66188299999999</v>
      </c>
      <c r="F139" s="107">
        <f t="shared" si="26"/>
        <v>279.418815</v>
      </c>
      <c r="G139" s="107">
        <f t="shared" si="26"/>
        <v>289.33312999999998</v>
      </c>
      <c r="H139" s="107">
        <f t="shared" si="26"/>
        <v>284.83144399999998</v>
      </c>
      <c r="I139" s="107">
        <f t="shared" si="26"/>
        <v>279.54366599999997</v>
      </c>
      <c r="J139" s="107">
        <f t="shared" si="26"/>
        <v>275.34098399999999</v>
      </c>
      <c r="K139" s="107">
        <f t="shared" si="26"/>
        <v>351.45923099999999</v>
      </c>
      <c r="L139" s="107">
        <f t="shared" si="26"/>
        <v>250.52108799999999</v>
      </c>
      <c r="M139" s="107">
        <f t="shared" si="26"/>
        <v>306.93109600000003</v>
      </c>
      <c r="N139" s="107">
        <f t="shared" si="26"/>
        <v>329.65078499999998</v>
      </c>
      <c r="O139" s="124">
        <f t="shared" si="26"/>
        <v>385.37423100000001</v>
      </c>
    </row>
    <row r="140" spans="1:15">
      <c r="A140" s="206"/>
      <c r="B140" s="105" t="s">
        <v>6</v>
      </c>
      <c r="C140" s="107">
        <f>HLOOKUP(C$117,$86:$115,23,FALSE)</f>
        <v>1.3500719999999999</v>
      </c>
      <c r="D140" s="107">
        <f t="shared" ref="D140:O140" si="27">HLOOKUP(D$117,$86:$115,23,FALSE)</f>
        <v>1.1694089999999999</v>
      </c>
      <c r="E140" s="107">
        <f t="shared" si="27"/>
        <v>0.36710399999999999</v>
      </c>
      <c r="F140" s="107">
        <f t="shared" si="27"/>
        <v>1.6495040000000001</v>
      </c>
      <c r="G140" s="107">
        <f t="shared" si="27"/>
        <v>0.82934099999999999</v>
      </c>
      <c r="H140" s="107">
        <f t="shared" si="27"/>
        <v>1.5724450000000001</v>
      </c>
      <c r="I140" s="107">
        <f t="shared" si="27"/>
        <v>1.573337</v>
      </c>
      <c r="J140" s="107">
        <f t="shared" si="27"/>
        <v>2.0671949999999999</v>
      </c>
      <c r="K140" s="107">
        <f t="shared" si="27"/>
        <v>0.80873799999999996</v>
      </c>
      <c r="L140" s="107">
        <f t="shared" si="27"/>
        <v>2.7590569999999999</v>
      </c>
      <c r="M140" s="107">
        <f t="shared" si="27"/>
        <v>2.6998280000000001</v>
      </c>
      <c r="N140" s="107">
        <f t="shared" si="27"/>
        <v>1.3149919999999999</v>
      </c>
      <c r="O140" s="124">
        <f t="shared" si="27"/>
        <v>0.44324000000000002</v>
      </c>
    </row>
    <row r="141" spans="1:15">
      <c r="A141" s="206"/>
      <c r="B141" s="105" t="s">
        <v>5</v>
      </c>
      <c r="C141" s="107">
        <f>HLOOKUP(C$117,$86:$115,24,FALSE)</f>
        <v>85.870188999999996</v>
      </c>
      <c r="D141" s="107">
        <f t="shared" ref="D141:O141" si="28">HLOOKUP(D$117,$86:$115,24,FALSE)</f>
        <v>102.221262</v>
      </c>
      <c r="E141" s="107">
        <f t="shared" si="28"/>
        <v>37.913117999999997</v>
      </c>
      <c r="F141" s="107">
        <f t="shared" si="28"/>
        <v>132.72816599999999</v>
      </c>
      <c r="G141" s="107">
        <f t="shared" si="28"/>
        <v>42.678730999999999</v>
      </c>
      <c r="H141" s="107">
        <f t="shared" si="28"/>
        <v>130.23741999999999</v>
      </c>
      <c r="I141" s="107">
        <f t="shared" si="28"/>
        <v>103.68509299999999</v>
      </c>
      <c r="J141" s="107">
        <f t="shared" si="28"/>
        <v>130.95020099999999</v>
      </c>
      <c r="K141" s="107">
        <f t="shared" si="28"/>
        <v>63.396431</v>
      </c>
      <c r="L141" s="107">
        <f t="shared" si="28"/>
        <v>208.493673</v>
      </c>
      <c r="M141" s="107">
        <f t="shared" si="28"/>
        <v>178.40515199999999</v>
      </c>
      <c r="N141" s="107">
        <f t="shared" si="28"/>
        <v>103.147462</v>
      </c>
      <c r="O141" s="124">
        <f t="shared" si="28"/>
        <v>57.758575</v>
      </c>
    </row>
    <row r="142" spans="1:15">
      <c r="A142" s="206"/>
      <c r="B142" s="105" t="s">
        <v>4</v>
      </c>
      <c r="C142" s="107">
        <f>HLOOKUP(C$117,$86:$115,25,FALSE)</f>
        <v>26.789277999999999</v>
      </c>
      <c r="D142" s="107">
        <f t="shared" ref="D142:O142" si="29">HLOOKUP(D$117,$86:$115,25,FALSE)</f>
        <v>23.253195999999999</v>
      </c>
      <c r="E142" s="107">
        <f t="shared" si="29"/>
        <v>19.060797999999998</v>
      </c>
      <c r="F142" s="107">
        <f t="shared" si="29"/>
        <v>22.120656</v>
      </c>
      <c r="G142" s="107">
        <f t="shared" si="29"/>
        <v>20.300953</v>
      </c>
      <c r="H142" s="107">
        <f t="shared" si="29"/>
        <v>32.428702000000001</v>
      </c>
      <c r="I142" s="107">
        <f t="shared" si="29"/>
        <v>29.890439000000001</v>
      </c>
      <c r="J142" s="107">
        <f t="shared" si="29"/>
        <v>30.462913</v>
      </c>
      <c r="K142" s="107">
        <f t="shared" si="29"/>
        <v>30.366741999999999</v>
      </c>
      <c r="L142" s="107">
        <f t="shared" si="29"/>
        <v>34.304943999999999</v>
      </c>
      <c r="M142" s="107">
        <f t="shared" si="29"/>
        <v>32.757333000000003</v>
      </c>
      <c r="N142" s="107">
        <f t="shared" si="29"/>
        <v>31.191044999999999</v>
      </c>
      <c r="O142" s="124">
        <f t="shared" si="29"/>
        <v>29.6997</v>
      </c>
    </row>
    <row r="143" spans="1:15">
      <c r="A143" s="206"/>
      <c r="B143" s="105" t="s">
        <v>22</v>
      </c>
      <c r="C143" s="107">
        <f>HLOOKUP(C$117,$86:$115,26,FALSE)</f>
        <v>0.73132799999999998</v>
      </c>
      <c r="D143" s="107">
        <f t="shared" ref="D143:O143" si="30">HLOOKUP(D$117,$86:$115,26,FALSE)</f>
        <v>0.76498500000000003</v>
      </c>
      <c r="E143" s="107">
        <f t="shared" si="30"/>
        <v>0.78453200000000001</v>
      </c>
      <c r="F143" s="107">
        <f t="shared" si="30"/>
        <v>0.78413299999999997</v>
      </c>
      <c r="G143" s="107">
        <f t="shared" si="30"/>
        <v>0.71108700000000002</v>
      </c>
      <c r="H143" s="107">
        <f t="shared" si="30"/>
        <v>0.73842799999999997</v>
      </c>
      <c r="I143" s="107">
        <f t="shared" si="30"/>
        <v>0.63095199999999996</v>
      </c>
      <c r="J143" s="107">
        <f t="shared" si="30"/>
        <v>0.65055600000000002</v>
      </c>
      <c r="K143" s="107">
        <f t="shared" si="30"/>
        <v>0.66513100000000003</v>
      </c>
      <c r="L143" s="107">
        <f t="shared" si="30"/>
        <v>0.64607300000000001</v>
      </c>
      <c r="M143" s="107">
        <f t="shared" si="30"/>
        <v>0.37482700000000002</v>
      </c>
      <c r="N143" s="107">
        <f t="shared" si="30"/>
        <v>0.37211699999999998</v>
      </c>
      <c r="O143" s="124">
        <f t="shared" si="30"/>
        <v>0.52430399999999999</v>
      </c>
    </row>
    <row r="144" spans="1:15">
      <c r="A144" s="206"/>
      <c r="B144" s="117" t="s">
        <v>1</v>
      </c>
      <c r="C144" s="118">
        <f>HLOOKUP(C$117,$86:$115,28,FALSE)</f>
        <v>729.37253499999997</v>
      </c>
      <c r="D144" s="118">
        <f t="shared" ref="D144:O144" si="31">HLOOKUP(D$117,$86:$115,28,FALSE)</f>
        <v>709.31228699999997</v>
      </c>
      <c r="E144" s="118">
        <f t="shared" si="31"/>
        <v>718.95281199999999</v>
      </c>
      <c r="F144" s="118">
        <f t="shared" si="31"/>
        <v>719.41983100000004</v>
      </c>
      <c r="G144" s="118">
        <f t="shared" si="31"/>
        <v>650.31184399999995</v>
      </c>
      <c r="H144" s="118">
        <f t="shared" si="31"/>
        <v>711.93171700000005</v>
      </c>
      <c r="I144" s="118">
        <f t="shared" si="31"/>
        <v>675.69969500000002</v>
      </c>
      <c r="J144" s="118">
        <f t="shared" si="31"/>
        <v>700.77768100000003</v>
      </c>
      <c r="K144" s="118">
        <f t="shared" si="31"/>
        <v>712.30902100000003</v>
      </c>
      <c r="L144" s="118">
        <f t="shared" si="31"/>
        <v>760.84376299999997</v>
      </c>
      <c r="M144" s="118">
        <f t="shared" si="31"/>
        <v>801.70738400000005</v>
      </c>
      <c r="N144" s="118">
        <f t="shared" si="31"/>
        <v>744.43469200000004</v>
      </c>
      <c r="O144" s="118">
        <f t="shared" si="31"/>
        <v>803.95593199999996</v>
      </c>
    </row>
    <row r="145" spans="1:26">
      <c r="A145" s="206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7"/>
      <c r="B146" s="126" t="s">
        <v>75</v>
      </c>
      <c r="C146" s="130">
        <f>SUM(C136:C138)</f>
        <v>308.95133199999998</v>
      </c>
      <c r="D146" s="130">
        <f t="shared" ref="D146:N146" si="32">SUM(D136:D138)</f>
        <v>271.88252899999998</v>
      </c>
      <c r="E146" s="130">
        <f t="shared" si="32"/>
        <v>312.87680900000004</v>
      </c>
      <c r="F146" s="130">
        <f t="shared" si="32"/>
        <v>282.44358199999999</v>
      </c>
      <c r="G146" s="130">
        <f t="shared" si="32"/>
        <v>296.20417700000002</v>
      </c>
      <c r="H146" s="130">
        <f t="shared" si="32"/>
        <v>261.84115199999997</v>
      </c>
      <c r="I146" s="130">
        <f t="shared" si="32"/>
        <v>260.1001</v>
      </c>
      <c r="J146" s="130">
        <f t="shared" si="32"/>
        <v>261.00792300000001</v>
      </c>
      <c r="K146" s="130">
        <f t="shared" si="32"/>
        <v>265.32891099999995</v>
      </c>
      <c r="L146" s="130">
        <f t="shared" si="32"/>
        <v>263.81693800000005</v>
      </c>
      <c r="M146" s="130">
        <f t="shared" si="32"/>
        <v>280.24951799999997</v>
      </c>
      <c r="N146" s="130">
        <f t="shared" si="32"/>
        <v>278.46901400000002</v>
      </c>
      <c r="O146" s="131">
        <f>SUM(O136:O138)</f>
        <v>329.85294699999997</v>
      </c>
    </row>
    <row r="149" spans="1:26" ht="15">
      <c r="A149" s="157"/>
      <c r="B149" s="157" t="s">
        <v>68</v>
      </c>
      <c r="C149" s="204" t="s">
        <v>57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3" t="s">
        <v>90</v>
      </c>
      <c r="D150" s="183" t="s">
        <v>91</v>
      </c>
      <c r="E150" s="183" t="s">
        <v>92</v>
      </c>
      <c r="F150" s="183" t="s">
        <v>93</v>
      </c>
      <c r="G150" s="183" t="s">
        <v>94</v>
      </c>
      <c r="H150" s="183" t="s">
        <v>95</v>
      </c>
      <c r="I150" s="183" t="s">
        <v>96</v>
      </c>
      <c r="J150" s="183" t="s">
        <v>97</v>
      </c>
      <c r="K150" s="183" t="s">
        <v>98</v>
      </c>
      <c r="L150" s="183" t="s">
        <v>99</v>
      </c>
      <c r="M150" s="183" t="s">
        <v>100</v>
      </c>
      <c r="N150" s="183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127</v>
      </c>
      <c r="B152" s="159" t="s">
        <v>128</v>
      </c>
      <c r="C152" s="177">
        <v>6.0479999999999999E-2</v>
      </c>
      <c r="D152" s="177">
        <v>4.8300000000000001E-3</v>
      </c>
      <c r="E152" s="177">
        <v>1.5699999999999999E-2</v>
      </c>
      <c r="F152" s="177">
        <v>3.9949999999999999E-2</v>
      </c>
      <c r="G152" s="177">
        <v>-1.499E-2</v>
      </c>
      <c r="H152" s="177">
        <v>1.0499999999999999E-3</v>
      </c>
      <c r="I152" s="177">
        <v>8.7200000000000003E-3</v>
      </c>
      <c r="J152" s="177">
        <v>-2.4760000000000001E-2</v>
      </c>
      <c r="K152" s="177">
        <v>-2.639E-2</v>
      </c>
      <c r="L152" s="177">
        <v>1.1000000000000001E-3</v>
      </c>
      <c r="M152" s="177">
        <v>1.9E-3</v>
      </c>
      <c r="N152" s="177">
        <v>-2.9389999999999999E-2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4" t="s">
        <v>58</v>
      </c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3" t="s">
        <v>90</v>
      </c>
      <c r="D156" s="183" t="s">
        <v>91</v>
      </c>
      <c r="E156" s="183" t="s">
        <v>92</v>
      </c>
      <c r="F156" s="183" t="s">
        <v>93</v>
      </c>
      <c r="G156" s="183" t="s">
        <v>94</v>
      </c>
      <c r="H156" s="183" t="s">
        <v>95</v>
      </c>
      <c r="I156" s="183" t="s">
        <v>96</v>
      </c>
      <c r="J156" s="183" t="s">
        <v>97</v>
      </c>
      <c r="K156" s="183" t="s">
        <v>98</v>
      </c>
      <c r="L156" s="183" t="s">
        <v>99</v>
      </c>
      <c r="M156" s="183" t="s">
        <v>100</v>
      </c>
      <c r="N156" s="183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127</v>
      </c>
      <c r="B158" s="159" t="s">
        <v>128</v>
      </c>
      <c r="C158" s="177">
        <v>0.10226</v>
      </c>
      <c r="D158" s="177">
        <v>3.1900000000000001E-3</v>
      </c>
      <c r="E158" s="177">
        <v>2.009E-2</v>
      </c>
      <c r="F158" s="177">
        <v>7.8979999999999995E-2</v>
      </c>
      <c r="G158" s="177">
        <v>2.4379999999999999E-2</v>
      </c>
      <c r="H158" s="177">
        <v>1.25E-3</v>
      </c>
      <c r="I158" s="177">
        <v>3.0799999999999998E-3</v>
      </c>
      <c r="J158" s="177">
        <v>2.0049999999999998E-2</v>
      </c>
      <c r="K158" s="177">
        <v>2.087E-2</v>
      </c>
      <c r="L158" s="177">
        <v>1.34E-3</v>
      </c>
      <c r="M158" s="177">
        <v>2.4199999999999998E-3</v>
      </c>
      <c r="N158" s="177">
        <v>1.711E-2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4"/>
    <mergeCell ref="C85:Y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Octubre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47</v>
      </c>
      <c r="E7" s="69"/>
      <c r="F7" s="187" t="str">
        <f>K3</f>
        <v>Octubre 2023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72" t="str">
        <f>G8</f>
        <v>% 23/22</v>
      </c>
      <c r="J8" s="71" t="s">
        <v>13</v>
      </c>
      <c r="K8" s="72" t="str">
        <f>G8</f>
        <v>% 23/22</v>
      </c>
    </row>
    <row r="9" spans="3:12">
      <c r="C9" s="73"/>
      <c r="E9" s="74" t="s">
        <v>39</v>
      </c>
      <c r="F9" s="75">
        <f>Dat_01!R24/1000</f>
        <v>495.03745899999996</v>
      </c>
      <c r="G9" s="147">
        <f>Dat_01!T24*100</f>
        <v>6.0479191999999999</v>
      </c>
      <c r="H9" s="75">
        <f>Dat_01!U24/1000</f>
        <v>5201.12842</v>
      </c>
      <c r="I9" s="147">
        <f>Dat_01!W24*100</f>
        <v>-1.49855198</v>
      </c>
      <c r="J9" s="75">
        <f>Dat_01!X24/1000</f>
        <v>5962.5741900000003</v>
      </c>
      <c r="K9" s="147">
        <f>Dat_01!Y24*100</f>
        <v>-2.6388308400000002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0.48299999999999998</v>
      </c>
      <c r="H12" s="94"/>
      <c r="I12" s="94">
        <f>Dat_01!H152*100</f>
        <v>0.105</v>
      </c>
      <c r="J12" s="94"/>
      <c r="K12" s="94">
        <f>Dat_01!L152*100</f>
        <v>0.11</v>
      </c>
    </row>
    <row r="13" spans="3:12">
      <c r="E13" s="77" t="s">
        <v>42</v>
      </c>
      <c r="F13" s="76"/>
      <c r="G13" s="94">
        <f>Dat_01!E152*100</f>
        <v>1.5699999999999998</v>
      </c>
      <c r="H13" s="94"/>
      <c r="I13" s="94">
        <f>Dat_01!I152*100</f>
        <v>0.872</v>
      </c>
      <c r="J13" s="94"/>
      <c r="K13" s="94">
        <f>Dat_01!M152*100</f>
        <v>0.19</v>
      </c>
    </row>
    <row r="14" spans="3:12">
      <c r="E14" s="78" t="s">
        <v>43</v>
      </c>
      <c r="F14" s="79"/>
      <c r="G14" s="95">
        <f>Dat_01!F152*100</f>
        <v>3.9950000000000001</v>
      </c>
      <c r="H14" s="95"/>
      <c r="I14" s="95">
        <f>Dat_01!J152*100</f>
        <v>-2.476</v>
      </c>
      <c r="J14" s="95"/>
      <c r="K14" s="95">
        <f>Dat_01!N152*100</f>
        <v>-2.9390000000000001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J9" sqref="J9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Octubre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48</v>
      </c>
      <c r="E7" s="69"/>
      <c r="F7" s="187" t="str">
        <f>K3</f>
        <v>Octubre 2023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98" t="str">
        <f>G8</f>
        <v>% 23/22</v>
      </c>
      <c r="J8" s="71" t="s">
        <v>13</v>
      </c>
      <c r="K8" s="98" t="str">
        <f>G8</f>
        <v>% 23/22</v>
      </c>
    </row>
    <row r="9" spans="3:12">
      <c r="C9" s="73"/>
      <c r="E9" s="74" t="s">
        <v>39</v>
      </c>
      <c r="F9" s="75">
        <f>Dat_01!Z24/1000</f>
        <v>803.95593200000008</v>
      </c>
      <c r="G9" s="147">
        <f>Dat_01!AB24*100</f>
        <v>10.225693099999999</v>
      </c>
      <c r="H9" s="75">
        <f>Dat_01!AC24/1000</f>
        <v>7281.39156</v>
      </c>
      <c r="I9" s="147">
        <f>Dat_01!AE24*100</f>
        <v>2.4377618499999998</v>
      </c>
      <c r="J9" s="75">
        <f>Dat_01!AF24/1000</f>
        <v>8709.6566590000002</v>
      </c>
      <c r="K9" s="147">
        <f>Dat_01!AG24*100</f>
        <v>2.0874713199999997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0.31900000000000001</v>
      </c>
      <c r="H12" s="94"/>
      <c r="I12" s="94">
        <f>Dat_01!H158*100</f>
        <v>0.125</v>
      </c>
      <c r="J12" s="94"/>
      <c r="K12" s="94">
        <f>Dat_01!L158*100</f>
        <v>0.13400000000000001</v>
      </c>
    </row>
    <row r="13" spans="3:12">
      <c r="E13" s="77" t="s">
        <v>42</v>
      </c>
      <c r="F13" s="76"/>
      <c r="G13" s="94">
        <f>Dat_01!E158*100</f>
        <v>2.0089999999999999</v>
      </c>
      <c r="H13" s="94"/>
      <c r="I13" s="94">
        <f>Dat_01!I158*100</f>
        <v>0.308</v>
      </c>
      <c r="J13" s="94"/>
      <c r="K13" s="94">
        <f>Dat_01!M158*100</f>
        <v>0.24199999999999999</v>
      </c>
    </row>
    <row r="14" spans="3:12">
      <c r="E14" s="78" t="s">
        <v>43</v>
      </c>
      <c r="F14" s="79"/>
      <c r="G14" s="95">
        <f>Dat_01!F158*100</f>
        <v>7.8979999999999997</v>
      </c>
      <c r="H14" s="95"/>
      <c r="I14" s="95">
        <f>Dat_01!J158*100</f>
        <v>2.0049999999999999</v>
      </c>
      <c r="J14" s="95"/>
      <c r="K14" s="95">
        <f>Dat_01!N158*100</f>
        <v>1.7110000000000001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134</v>
      </c>
    </row>
    <row r="2" spans="1:2">
      <c r="A2" t="s">
        <v>129</v>
      </c>
    </row>
    <row r="3" spans="1:2">
      <c r="A3" t="s">
        <v>130</v>
      </c>
    </row>
    <row r="4" spans="1:2">
      <c r="A4" t="s">
        <v>132</v>
      </c>
    </row>
    <row r="5" spans="1:2">
      <c r="A5" t="s">
        <v>133</v>
      </c>
    </row>
    <row r="6" spans="1:2">
      <c r="A6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C21" sqref="C21"/>
    </sheetView>
  </sheetViews>
  <sheetFormatPr baseColWidth="10" defaultRowHeight="11.25"/>
  <cols>
    <col min="1" max="1" width="0.28515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28515625" style="1" customWidth="1"/>
    <col min="6" max="13" width="7.5703125" style="1" customWidth="1"/>
    <col min="14" max="254" width="11.42578125" style="1"/>
    <col min="255" max="255" width="0.28515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28515625" style="1" customWidth="1"/>
    <col min="260" max="260" width="7.7109375" style="1" bestFit="1" customWidth="1"/>
    <col min="261" max="261" width="7" style="1" customWidth="1"/>
    <col min="262" max="262" width="7.71093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28515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28515625" style="1" customWidth="1"/>
    <col min="516" max="516" width="7.7109375" style="1" bestFit="1" customWidth="1"/>
    <col min="517" max="517" width="7" style="1" customWidth="1"/>
    <col min="518" max="518" width="7.71093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28515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28515625" style="1" customWidth="1"/>
    <col min="772" max="772" width="7.7109375" style="1" bestFit="1" customWidth="1"/>
    <col min="773" max="773" width="7" style="1" customWidth="1"/>
    <col min="774" max="774" width="7.71093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28515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28515625" style="1" customWidth="1"/>
    <col min="1028" max="1028" width="7.7109375" style="1" bestFit="1" customWidth="1"/>
    <col min="1029" max="1029" width="7" style="1" customWidth="1"/>
    <col min="1030" max="1030" width="7.71093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28515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28515625" style="1" customWidth="1"/>
    <col min="1284" max="1284" width="7.7109375" style="1" bestFit="1" customWidth="1"/>
    <col min="1285" max="1285" width="7" style="1" customWidth="1"/>
    <col min="1286" max="1286" width="7.71093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28515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28515625" style="1" customWidth="1"/>
    <col min="1540" max="1540" width="7.7109375" style="1" bestFit="1" customWidth="1"/>
    <col min="1541" max="1541" width="7" style="1" customWidth="1"/>
    <col min="1542" max="1542" width="7.71093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28515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28515625" style="1" customWidth="1"/>
    <col min="1796" max="1796" width="7.7109375" style="1" bestFit="1" customWidth="1"/>
    <col min="1797" max="1797" width="7" style="1" customWidth="1"/>
    <col min="1798" max="1798" width="7.71093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28515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28515625" style="1" customWidth="1"/>
    <col min="2052" max="2052" width="7.7109375" style="1" bestFit="1" customWidth="1"/>
    <col min="2053" max="2053" width="7" style="1" customWidth="1"/>
    <col min="2054" max="2054" width="7.71093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28515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28515625" style="1" customWidth="1"/>
    <col min="2308" max="2308" width="7.7109375" style="1" bestFit="1" customWidth="1"/>
    <col min="2309" max="2309" width="7" style="1" customWidth="1"/>
    <col min="2310" max="2310" width="7.71093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28515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28515625" style="1" customWidth="1"/>
    <col min="2564" max="2564" width="7.7109375" style="1" bestFit="1" customWidth="1"/>
    <col min="2565" max="2565" width="7" style="1" customWidth="1"/>
    <col min="2566" max="2566" width="7.71093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28515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28515625" style="1" customWidth="1"/>
    <col min="2820" max="2820" width="7.7109375" style="1" bestFit="1" customWidth="1"/>
    <col min="2821" max="2821" width="7" style="1" customWidth="1"/>
    <col min="2822" max="2822" width="7.71093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28515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28515625" style="1" customWidth="1"/>
    <col min="3076" max="3076" width="7.7109375" style="1" bestFit="1" customWidth="1"/>
    <col min="3077" max="3077" width="7" style="1" customWidth="1"/>
    <col min="3078" max="3078" width="7.71093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28515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28515625" style="1" customWidth="1"/>
    <col min="3332" max="3332" width="7.7109375" style="1" bestFit="1" customWidth="1"/>
    <col min="3333" max="3333" width="7" style="1" customWidth="1"/>
    <col min="3334" max="3334" width="7.71093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28515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28515625" style="1" customWidth="1"/>
    <col min="3588" max="3588" width="7.7109375" style="1" bestFit="1" customWidth="1"/>
    <col min="3589" max="3589" width="7" style="1" customWidth="1"/>
    <col min="3590" max="3590" width="7.71093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28515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28515625" style="1" customWidth="1"/>
    <col min="3844" max="3844" width="7.7109375" style="1" bestFit="1" customWidth="1"/>
    <col min="3845" max="3845" width="7" style="1" customWidth="1"/>
    <col min="3846" max="3846" width="7.71093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28515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28515625" style="1" customWidth="1"/>
    <col min="4100" max="4100" width="7.7109375" style="1" bestFit="1" customWidth="1"/>
    <col min="4101" max="4101" width="7" style="1" customWidth="1"/>
    <col min="4102" max="4102" width="7.71093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28515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28515625" style="1" customWidth="1"/>
    <col min="4356" max="4356" width="7.7109375" style="1" bestFit="1" customWidth="1"/>
    <col min="4357" max="4357" width="7" style="1" customWidth="1"/>
    <col min="4358" max="4358" width="7.71093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28515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28515625" style="1" customWidth="1"/>
    <col min="4612" max="4612" width="7.7109375" style="1" bestFit="1" customWidth="1"/>
    <col min="4613" max="4613" width="7" style="1" customWidth="1"/>
    <col min="4614" max="4614" width="7.71093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28515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28515625" style="1" customWidth="1"/>
    <col min="4868" max="4868" width="7.7109375" style="1" bestFit="1" customWidth="1"/>
    <col min="4869" max="4869" width="7" style="1" customWidth="1"/>
    <col min="4870" max="4870" width="7.71093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28515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28515625" style="1" customWidth="1"/>
    <col min="5124" max="5124" width="7.7109375" style="1" bestFit="1" customWidth="1"/>
    <col min="5125" max="5125" width="7" style="1" customWidth="1"/>
    <col min="5126" max="5126" width="7.71093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28515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28515625" style="1" customWidth="1"/>
    <col min="5380" max="5380" width="7.7109375" style="1" bestFit="1" customWidth="1"/>
    <col min="5381" max="5381" width="7" style="1" customWidth="1"/>
    <col min="5382" max="5382" width="7.71093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28515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28515625" style="1" customWidth="1"/>
    <col min="5636" max="5636" width="7.7109375" style="1" bestFit="1" customWidth="1"/>
    <col min="5637" max="5637" width="7" style="1" customWidth="1"/>
    <col min="5638" max="5638" width="7.71093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28515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28515625" style="1" customWidth="1"/>
    <col min="5892" max="5892" width="7.7109375" style="1" bestFit="1" customWidth="1"/>
    <col min="5893" max="5893" width="7" style="1" customWidth="1"/>
    <col min="5894" max="5894" width="7.71093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28515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28515625" style="1" customWidth="1"/>
    <col min="6148" max="6148" width="7.7109375" style="1" bestFit="1" customWidth="1"/>
    <col min="6149" max="6149" width="7" style="1" customWidth="1"/>
    <col min="6150" max="6150" width="7.71093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28515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28515625" style="1" customWidth="1"/>
    <col min="6404" max="6404" width="7.7109375" style="1" bestFit="1" customWidth="1"/>
    <col min="6405" max="6405" width="7" style="1" customWidth="1"/>
    <col min="6406" max="6406" width="7.71093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28515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28515625" style="1" customWidth="1"/>
    <col min="6660" max="6660" width="7.7109375" style="1" bestFit="1" customWidth="1"/>
    <col min="6661" max="6661" width="7" style="1" customWidth="1"/>
    <col min="6662" max="6662" width="7.71093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28515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28515625" style="1" customWidth="1"/>
    <col min="6916" max="6916" width="7.7109375" style="1" bestFit="1" customWidth="1"/>
    <col min="6917" max="6917" width="7" style="1" customWidth="1"/>
    <col min="6918" max="6918" width="7.71093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28515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28515625" style="1" customWidth="1"/>
    <col min="7172" max="7172" width="7.7109375" style="1" bestFit="1" customWidth="1"/>
    <col min="7173" max="7173" width="7" style="1" customWidth="1"/>
    <col min="7174" max="7174" width="7.71093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28515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28515625" style="1" customWidth="1"/>
    <col min="7428" max="7428" width="7.7109375" style="1" bestFit="1" customWidth="1"/>
    <col min="7429" max="7429" width="7" style="1" customWidth="1"/>
    <col min="7430" max="7430" width="7.71093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28515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28515625" style="1" customWidth="1"/>
    <col min="7684" max="7684" width="7.7109375" style="1" bestFit="1" customWidth="1"/>
    <col min="7685" max="7685" width="7" style="1" customWidth="1"/>
    <col min="7686" max="7686" width="7.71093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28515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28515625" style="1" customWidth="1"/>
    <col min="7940" max="7940" width="7.7109375" style="1" bestFit="1" customWidth="1"/>
    <col min="7941" max="7941" width="7" style="1" customWidth="1"/>
    <col min="7942" max="7942" width="7.71093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28515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28515625" style="1" customWidth="1"/>
    <col min="8196" max="8196" width="7.7109375" style="1" bestFit="1" customWidth="1"/>
    <col min="8197" max="8197" width="7" style="1" customWidth="1"/>
    <col min="8198" max="8198" width="7.71093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28515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28515625" style="1" customWidth="1"/>
    <col min="8452" max="8452" width="7.7109375" style="1" bestFit="1" customWidth="1"/>
    <col min="8453" max="8453" width="7" style="1" customWidth="1"/>
    <col min="8454" max="8454" width="7.71093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28515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28515625" style="1" customWidth="1"/>
    <col min="8708" max="8708" width="7.7109375" style="1" bestFit="1" customWidth="1"/>
    <col min="8709" max="8709" width="7" style="1" customWidth="1"/>
    <col min="8710" max="8710" width="7.71093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28515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28515625" style="1" customWidth="1"/>
    <col min="8964" max="8964" width="7.7109375" style="1" bestFit="1" customWidth="1"/>
    <col min="8965" max="8965" width="7" style="1" customWidth="1"/>
    <col min="8966" max="8966" width="7.71093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28515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28515625" style="1" customWidth="1"/>
    <col min="9220" max="9220" width="7.7109375" style="1" bestFit="1" customWidth="1"/>
    <col min="9221" max="9221" width="7" style="1" customWidth="1"/>
    <col min="9222" max="9222" width="7.71093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28515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28515625" style="1" customWidth="1"/>
    <col min="9476" max="9476" width="7.7109375" style="1" bestFit="1" customWidth="1"/>
    <col min="9477" max="9477" width="7" style="1" customWidth="1"/>
    <col min="9478" max="9478" width="7.71093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28515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28515625" style="1" customWidth="1"/>
    <col min="9732" max="9732" width="7.7109375" style="1" bestFit="1" customWidth="1"/>
    <col min="9733" max="9733" width="7" style="1" customWidth="1"/>
    <col min="9734" max="9734" width="7.71093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28515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28515625" style="1" customWidth="1"/>
    <col min="9988" max="9988" width="7.7109375" style="1" bestFit="1" customWidth="1"/>
    <col min="9989" max="9989" width="7" style="1" customWidth="1"/>
    <col min="9990" max="9990" width="7.71093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28515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28515625" style="1" customWidth="1"/>
    <col min="10244" max="10244" width="7.7109375" style="1" bestFit="1" customWidth="1"/>
    <col min="10245" max="10245" width="7" style="1" customWidth="1"/>
    <col min="10246" max="10246" width="7.71093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28515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28515625" style="1" customWidth="1"/>
    <col min="10500" max="10500" width="7.7109375" style="1" bestFit="1" customWidth="1"/>
    <col min="10501" max="10501" width="7" style="1" customWidth="1"/>
    <col min="10502" max="10502" width="7.71093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28515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28515625" style="1" customWidth="1"/>
    <col min="10756" max="10756" width="7.7109375" style="1" bestFit="1" customWidth="1"/>
    <col min="10757" max="10757" width="7" style="1" customWidth="1"/>
    <col min="10758" max="10758" width="7.71093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28515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28515625" style="1" customWidth="1"/>
    <col min="11012" max="11012" width="7.7109375" style="1" bestFit="1" customWidth="1"/>
    <col min="11013" max="11013" width="7" style="1" customWidth="1"/>
    <col min="11014" max="11014" width="7.71093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28515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28515625" style="1" customWidth="1"/>
    <col min="11268" max="11268" width="7.7109375" style="1" bestFit="1" customWidth="1"/>
    <col min="11269" max="11269" width="7" style="1" customWidth="1"/>
    <col min="11270" max="11270" width="7.71093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28515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28515625" style="1" customWidth="1"/>
    <col min="11524" max="11524" width="7.7109375" style="1" bestFit="1" customWidth="1"/>
    <col min="11525" max="11525" width="7" style="1" customWidth="1"/>
    <col min="11526" max="11526" width="7.71093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28515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28515625" style="1" customWidth="1"/>
    <col min="11780" max="11780" width="7.7109375" style="1" bestFit="1" customWidth="1"/>
    <col min="11781" max="11781" width="7" style="1" customWidth="1"/>
    <col min="11782" max="11782" width="7.71093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28515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28515625" style="1" customWidth="1"/>
    <col min="12036" max="12036" width="7.7109375" style="1" bestFit="1" customWidth="1"/>
    <col min="12037" max="12037" width="7" style="1" customWidth="1"/>
    <col min="12038" max="12038" width="7.71093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28515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28515625" style="1" customWidth="1"/>
    <col min="12292" max="12292" width="7.7109375" style="1" bestFit="1" customWidth="1"/>
    <col min="12293" max="12293" width="7" style="1" customWidth="1"/>
    <col min="12294" max="12294" width="7.71093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28515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28515625" style="1" customWidth="1"/>
    <col min="12548" max="12548" width="7.7109375" style="1" bestFit="1" customWidth="1"/>
    <col min="12549" max="12549" width="7" style="1" customWidth="1"/>
    <col min="12550" max="12550" width="7.71093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28515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28515625" style="1" customWidth="1"/>
    <col min="12804" max="12804" width="7.7109375" style="1" bestFit="1" customWidth="1"/>
    <col min="12805" max="12805" width="7" style="1" customWidth="1"/>
    <col min="12806" max="12806" width="7.71093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28515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28515625" style="1" customWidth="1"/>
    <col min="13060" max="13060" width="7.7109375" style="1" bestFit="1" customWidth="1"/>
    <col min="13061" max="13061" width="7" style="1" customWidth="1"/>
    <col min="13062" max="13062" width="7.71093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28515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28515625" style="1" customWidth="1"/>
    <col min="13316" max="13316" width="7.7109375" style="1" bestFit="1" customWidth="1"/>
    <col min="13317" max="13317" width="7" style="1" customWidth="1"/>
    <col min="13318" max="13318" width="7.71093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28515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28515625" style="1" customWidth="1"/>
    <col min="13572" max="13572" width="7.7109375" style="1" bestFit="1" customWidth="1"/>
    <col min="13573" max="13573" width="7" style="1" customWidth="1"/>
    <col min="13574" max="13574" width="7.71093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28515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28515625" style="1" customWidth="1"/>
    <col min="13828" max="13828" width="7.7109375" style="1" bestFit="1" customWidth="1"/>
    <col min="13829" max="13829" width="7" style="1" customWidth="1"/>
    <col min="13830" max="13830" width="7.71093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28515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28515625" style="1" customWidth="1"/>
    <col min="14084" max="14084" width="7.7109375" style="1" bestFit="1" customWidth="1"/>
    <col min="14085" max="14085" width="7" style="1" customWidth="1"/>
    <col min="14086" max="14086" width="7.71093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28515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28515625" style="1" customWidth="1"/>
    <col min="14340" max="14340" width="7.7109375" style="1" bestFit="1" customWidth="1"/>
    <col min="14341" max="14341" width="7" style="1" customWidth="1"/>
    <col min="14342" max="14342" width="7.71093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28515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28515625" style="1" customWidth="1"/>
    <col min="14596" max="14596" width="7.7109375" style="1" bestFit="1" customWidth="1"/>
    <col min="14597" max="14597" width="7" style="1" customWidth="1"/>
    <col min="14598" max="14598" width="7.71093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28515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28515625" style="1" customWidth="1"/>
    <col min="14852" max="14852" width="7.7109375" style="1" bestFit="1" customWidth="1"/>
    <col min="14853" max="14853" width="7" style="1" customWidth="1"/>
    <col min="14854" max="14854" width="7.71093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28515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28515625" style="1" customWidth="1"/>
    <col min="15108" max="15108" width="7.7109375" style="1" bestFit="1" customWidth="1"/>
    <col min="15109" max="15109" width="7" style="1" customWidth="1"/>
    <col min="15110" max="15110" width="7.71093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28515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28515625" style="1" customWidth="1"/>
    <col min="15364" max="15364" width="7.7109375" style="1" bestFit="1" customWidth="1"/>
    <col min="15365" max="15365" width="7" style="1" customWidth="1"/>
    <col min="15366" max="15366" width="7.71093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28515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28515625" style="1" customWidth="1"/>
    <col min="15620" max="15620" width="7.7109375" style="1" bestFit="1" customWidth="1"/>
    <col min="15621" max="15621" width="7" style="1" customWidth="1"/>
    <col min="15622" max="15622" width="7.71093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28515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28515625" style="1" customWidth="1"/>
    <col min="15876" max="15876" width="7.7109375" style="1" bestFit="1" customWidth="1"/>
    <col min="15877" max="15877" width="7" style="1" customWidth="1"/>
    <col min="15878" max="15878" width="7.71093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28515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28515625" style="1" customWidth="1"/>
    <col min="16132" max="16132" width="7.7109375" style="1" bestFit="1" customWidth="1"/>
    <col min="16133" max="16133" width="7" style="1" customWidth="1"/>
    <col min="16134" max="16134" width="7.71093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Octubre 2023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90" t="s">
        <v>18</v>
      </c>
      <c r="E7" s="26"/>
      <c r="F7" s="191" t="s">
        <v>17</v>
      </c>
      <c r="G7" s="192"/>
      <c r="H7" s="191" t="s">
        <v>16</v>
      </c>
      <c r="I7" s="192"/>
      <c r="J7" s="191" t="s">
        <v>15</v>
      </c>
      <c r="K7" s="192"/>
      <c r="L7" s="191" t="s">
        <v>14</v>
      </c>
      <c r="M7" s="192"/>
    </row>
    <row r="8" spans="3:23" s="23" customFormat="1" ht="12.75" customHeight="1">
      <c r="C8" s="190"/>
      <c r="E8" s="25"/>
      <c r="F8" s="24" t="s">
        <v>13</v>
      </c>
      <c r="G8" s="96" t="str">
        <f>CONCATENATE("% ",RIGHT(M3,2),"/",RIGHT(M3,2)-1)</f>
        <v>% 23/22</v>
      </c>
      <c r="H8" s="24" t="s">
        <v>13</v>
      </c>
      <c r="I8" s="96" t="str">
        <f>G8</f>
        <v>% 23/22</v>
      </c>
      <c r="J8" s="24" t="s">
        <v>13</v>
      </c>
      <c r="K8" s="96" t="str">
        <f>I8</f>
        <v>% 23/22</v>
      </c>
      <c r="L8" s="24" t="s">
        <v>13</v>
      </c>
      <c r="M8" s="96" t="str">
        <f>K8</f>
        <v>% 23/22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0.30293500000000001</v>
      </c>
      <c r="I9" s="14">
        <f>IF(Dat_01!AB8*100=-100,"-",Dat_01!AB8*100)</f>
        <v>3.0359614800000001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0.44324000000000002</v>
      </c>
      <c r="I10" s="14">
        <f>Dat_01!AB15*100</f>
        <v>-67.169158390000007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4">
        <f>Dat_01!R16/1000</f>
        <v>1.0359999999999999E-2</v>
      </c>
      <c r="G11" s="14">
        <f>IF(Dat_01!R16=0,"-",Dat_01!T16*100)</f>
        <v>263.12653347000003</v>
      </c>
      <c r="H11" s="138">
        <f>Dat_01!Z16/1000</f>
        <v>57.758575</v>
      </c>
      <c r="I11" s="14">
        <f>Dat_01!AB16*100</f>
        <v>-32.73733798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32.549160999999998</v>
      </c>
      <c r="G12" s="14">
        <f>Dat_01!T17*100</f>
        <v>37.483210139999997</v>
      </c>
      <c r="H12" s="138">
        <f>Dat_01!Z17/1000</f>
        <v>29.6997</v>
      </c>
      <c r="I12" s="14">
        <f>Dat_01!AB17*100</f>
        <v>10.864130040000001</v>
      </c>
      <c r="J12" s="138" t="s">
        <v>3</v>
      </c>
      <c r="K12" s="14" t="s">
        <v>3</v>
      </c>
      <c r="L12" s="138">
        <f>Dat_01!J17/1000</f>
        <v>5.6249999999999998E-3</v>
      </c>
      <c r="M12" s="14">
        <f>IF(Dat_01!L17*100=-100,"-",Dat_01!L17*100)</f>
        <v>9.0961985999999992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3.9587999999999998E-2</v>
      </c>
      <c r="G13" s="14">
        <f>Dat_01!T18*100</f>
        <v>-59.184262620000005</v>
      </c>
      <c r="H13" s="138">
        <f>Dat_01!Z18/1000</f>
        <v>0.52430399999999999</v>
      </c>
      <c r="I13" s="14">
        <f>IF(Dat_01!AB18*100=-100,"-",Dat_01!AB18*100)</f>
        <v>-28.307954840000001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10.860910000000001</v>
      </c>
      <c r="G14" s="14">
        <f>Dat_01!T21*100</f>
        <v>-3.2931445799999999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0.28000349999999996</v>
      </c>
      <c r="M14" s="14">
        <f>Dat_01!L21*100</f>
        <v>-40.202774130000002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43.460019000000003</v>
      </c>
      <c r="G15" s="156">
        <f>((SUM(Dat_01!R8,Dat_01!R15:R18,Dat_01!R20)/SUM(Dat_01!S8,Dat_01!S15:S18,Dat_01!S20))-1)*100</f>
        <v>24.151590225200479</v>
      </c>
      <c r="H15" s="155">
        <f>SUM(H9:H14)</f>
        <v>88.728754000000009</v>
      </c>
      <c r="I15" s="156">
        <f>((SUM(Dat_01!Z8,Dat_01!Z15:Z18,Dat_01!Z20)/SUM(Dat_01!AA8,Dat_01!AA15:AA18,Dat_01!AA20))-1)*100</f>
        <v>-22.867953541324283</v>
      </c>
      <c r="J15" s="155" t="s">
        <v>3</v>
      </c>
      <c r="K15" s="156" t="s">
        <v>3</v>
      </c>
      <c r="L15" s="156">
        <f>SUM(L9:L14)</f>
        <v>0.28562849999999995</v>
      </c>
      <c r="M15" s="156">
        <f>((SUM(Dat_01!J8,Dat_01!J15:J18,Dat_01!J21)/SUM(Dat_01!K8,Dat_01!K15:K18,Dat_01!K20))-1)*100</f>
        <v>-39.665850603386907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-0.82724900000000001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16.979832999999999</v>
      </c>
      <c r="G17" s="20">
        <f>((SUM(Dat_01!R10,Dat_01!R14)/SUM(Dat_01!S10,Dat_01!S14))-1)*100</f>
        <v>-6.0381330666959387</v>
      </c>
      <c r="H17" s="139">
        <f>SUM(Dat_01!Z10,Dat_01!Z14)/1000</f>
        <v>179.46748099999999</v>
      </c>
      <c r="I17" s="20">
        <f>((SUM(Dat_01!Z10,Dat_01!Z14)/SUM(Dat_01!AA10,Dat_01!AA14))-1)*100</f>
        <v>16.78020236294817</v>
      </c>
      <c r="J17" s="139">
        <f>Dat_01!B10/1000</f>
        <v>15.701598000000001</v>
      </c>
      <c r="K17" s="20">
        <f>Dat_01!D10*100</f>
        <v>-2.6236956299999998</v>
      </c>
      <c r="L17" s="139">
        <f>Dat_01!J10/1000</f>
        <v>16.257332999999999</v>
      </c>
      <c r="M17" s="20">
        <f>Dat_01!L10*100</f>
        <v>12.62104332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44.274277999999995</v>
      </c>
      <c r="G18" s="20">
        <f>Dat_01!T11*100</f>
        <v>3.93567081</v>
      </c>
      <c r="H18" s="139">
        <f>Dat_01!Z11/1000</f>
        <v>30.707764999999998</v>
      </c>
      <c r="I18" s="20">
        <f>Dat_01!AB11*100</f>
        <v>-16.26555192</v>
      </c>
      <c r="J18" s="139">
        <f>Dat_01!B11/1000</f>
        <v>1.954E-3</v>
      </c>
      <c r="K18" s="20">
        <f>IF(Dat_01!D11=-100%,"-",Dat_01!D11*100)</f>
        <v>-39.051777919999999</v>
      </c>
      <c r="L18" s="139">
        <f>Dat_01!J11/1000</f>
        <v>2.1389999999999998E-3</v>
      </c>
      <c r="M18" s="20">
        <f>IF(Dat_01!L11*100=-100,"-",Dat_01!L11*100)</f>
        <v>37.11538462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119.677701</v>
      </c>
      <c r="I19" s="20">
        <f>Dat_01!AB12*100</f>
        <v>0.90968948999999988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61.254110999999995</v>
      </c>
      <c r="G20" s="14">
        <f>((SUM(Dat_01!R10:R12,Dat_01!R14)/SUM(Dat_01!S10:S12,Dat_01!S14))-1)*100</f>
        <v>0.96484264313130286</v>
      </c>
      <c r="H20" s="138">
        <f>SUM(H17:H19)</f>
        <v>329.85294699999997</v>
      </c>
      <c r="I20" s="14">
        <f>(H20/(H17/(I17/100+1)+H18/(I18/100+1)+H19/(I19/100+1))-1)*100</f>
        <v>6.7653422519836193</v>
      </c>
      <c r="J20" s="138">
        <f>SUM(J17:J19)</f>
        <v>15.703552</v>
      </c>
      <c r="K20" s="14">
        <f>((SUM(Dat_01!B10:B12)/SUM(Dat_01!C10:C12))-1)*100</f>
        <v>-2.6309370377953334</v>
      </c>
      <c r="L20" s="138">
        <f>SUM(L17:L19)</f>
        <v>16.259471999999999</v>
      </c>
      <c r="M20" s="14">
        <f>((SUM(Dat_01!J10:J12)/SUM(Dat_01!K10:K12))-1)*100</f>
        <v>12.623690075030169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247.112684</v>
      </c>
      <c r="G21" s="14">
        <f>Dat_01!T13*100</f>
        <v>-16.886992060000001</v>
      </c>
      <c r="H21" s="138">
        <f>Dat_01!Z13/1000</f>
        <v>385.37423100000001</v>
      </c>
      <c r="I21" s="14">
        <f>Dat_01!AB13*100</f>
        <v>26.192365839999997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1.7294939999999999</v>
      </c>
      <c r="G22" s="14">
        <f>Dat_01!T19*100</f>
        <v>-5.3298986700000004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10.860910000000001</v>
      </c>
      <c r="G23" s="14">
        <f>Dat_01!T20*100</f>
        <v>-3.2931445799999999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0.28000349999999996</v>
      </c>
      <c r="M23" s="14">
        <f>Dat_01!L20*100</f>
        <v>-40.202774130000002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320.12994999999995</v>
      </c>
      <c r="G24" s="156">
        <f>((SUM(Dat_01!R9:R14,Dat_01!R19,Dat_01!R21)/SUM(Dat_01!S9:S14,Dat_01!S19,Dat_01!S21))-1)*100</f>
        <v>-13.57986547957405</v>
      </c>
      <c r="H24" s="140">
        <f>SUM(H16,H20:H23)</f>
        <v>715.22717799999998</v>
      </c>
      <c r="I24" s="156">
        <f>((SUM(Dat_01!Z9:Z14,Dat_01!Z19,Dat_01!Z21)/SUM(Dat_01!AA9:AA14,Dat_01!AA19,Dat_01!AA21))-1)*100</f>
        <v>16.422486481493713</v>
      </c>
      <c r="J24" s="140">
        <f>SUM(J16,J20:J23)</f>
        <v>15.703552</v>
      </c>
      <c r="K24" s="156">
        <f>((SUM(Dat_01!B9:B14,Dat_01!B19,Dat_01!B21)/SUM(Dat_01!C9:C14,Dat_01!C19,Dat_01!C21))-1)*100</f>
        <v>-2.6309370377953334</v>
      </c>
      <c r="L24" s="140">
        <f>SUM(L16,L20:L23)</f>
        <v>16.539475499999998</v>
      </c>
      <c r="M24" s="156">
        <f>((SUM(Dat_01!J9:J14,Dat_01!J19,Dat_01!J21)/SUM(Dat_01!K9:K14,Dat_01!K19,Dat_01!K21))-1)*100</f>
        <v>10.964122967175459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131.44748999999999</v>
      </c>
      <c r="G25" s="11">
        <f>Dat_01!T23*100</f>
        <v>114.20462040999999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495.03745899999996</v>
      </c>
      <c r="G26" s="8">
        <f>Dat_01!T24*100</f>
        <v>6.0479191999999999</v>
      </c>
      <c r="H26" s="142">
        <f>Dat_01!Z24/1000</f>
        <v>803.95593200000008</v>
      </c>
      <c r="I26" s="8">
        <f>Dat_01!AB24*100</f>
        <v>10.225693099999999</v>
      </c>
      <c r="J26" s="142">
        <f>Dat_01!B24/1000</f>
        <v>15.703552</v>
      </c>
      <c r="K26" s="8">
        <f>Dat_01!D24*100</f>
        <v>-2.6309370400000001</v>
      </c>
      <c r="L26" s="142">
        <f>Dat_01!J24/1000</f>
        <v>16.825104</v>
      </c>
      <c r="M26" s="8">
        <f>Dat_01!L24*100</f>
        <v>9.40554822</v>
      </c>
      <c r="N26" s="7"/>
      <c r="O26" s="7"/>
    </row>
    <row r="27" spans="3:23" ht="16.350000000000001" customHeight="1">
      <c r="C27" s="10"/>
      <c r="E27" s="195" t="s">
        <v>56</v>
      </c>
      <c r="F27" s="195"/>
      <c r="G27" s="195"/>
      <c r="H27" s="195"/>
      <c r="I27" s="195"/>
      <c r="J27" s="195"/>
      <c r="K27" s="195"/>
      <c r="L27" s="153"/>
      <c r="M27" s="154"/>
      <c r="N27" s="7"/>
      <c r="O27" s="7"/>
    </row>
    <row r="28" spans="3:23" ht="34.5" customHeight="1">
      <c r="C28" s="10"/>
      <c r="E28" s="196" t="s">
        <v>105</v>
      </c>
      <c r="F28" s="196"/>
      <c r="G28" s="196"/>
      <c r="H28" s="196"/>
      <c r="I28" s="196"/>
      <c r="J28" s="196"/>
      <c r="K28" s="196"/>
      <c r="L28" s="196"/>
      <c r="M28" s="196"/>
      <c r="N28" s="7"/>
      <c r="O28" s="7"/>
    </row>
    <row r="29" spans="3:23" ht="12.75" customHeight="1">
      <c r="C29" s="3"/>
      <c r="D29" s="3"/>
      <c r="E29" s="194" t="s">
        <v>0</v>
      </c>
      <c r="F29" s="194"/>
      <c r="G29" s="194"/>
      <c r="H29" s="194"/>
      <c r="I29" s="194"/>
      <c r="J29" s="194"/>
      <c r="K29" s="194"/>
      <c r="L29" s="194"/>
      <c r="M29" s="194"/>
      <c r="O29" s="6"/>
    </row>
    <row r="30" spans="3:23" ht="12.75" customHeight="1">
      <c r="E30" s="193" t="s">
        <v>82</v>
      </c>
      <c r="F30" s="193"/>
      <c r="G30" s="193"/>
      <c r="H30" s="193"/>
      <c r="I30" s="193"/>
      <c r="J30" s="193"/>
      <c r="K30" s="193"/>
      <c r="L30" s="193"/>
      <c r="M30" s="193"/>
    </row>
    <row r="31" spans="3:23" ht="12.75" customHeight="1">
      <c r="C31" s="3"/>
      <c r="D31" s="3"/>
      <c r="E31" s="193" t="s">
        <v>85</v>
      </c>
      <c r="F31" s="193"/>
      <c r="G31" s="193"/>
      <c r="H31" s="193"/>
      <c r="I31" s="193"/>
      <c r="J31" s="193"/>
      <c r="K31" s="193"/>
      <c r="L31" s="193"/>
      <c r="M31" s="193"/>
    </row>
    <row r="32" spans="3:23" ht="12.75" customHeight="1">
      <c r="E32" s="193" t="s">
        <v>86</v>
      </c>
      <c r="F32" s="193"/>
      <c r="G32" s="193"/>
      <c r="H32" s="193"/>
      <c r="I32" s="193"/>
      <c r="J32" s="193"/>
      <c r="K32" s="193"/>
      <c r="L32" s="193"/>
      <c r="M32" s="193"/>
    </row>
    <row r="33" spans="3:13" ht="12.75" customHeight="1">
      <c r="E33" s="193"/>
      <c r="F33" s="193"/>
      <c r="G33" s="193"/>
      <c r="H33" s="193"/>
      <c r="I33" s="193"/>
      <c r="J33" s="193"/>
      <c r="K33" s="193"/>
      <c r="L33" s="193"/>
      <c r="M33" s="193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J28" sqref="J28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Octubre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31</v>
      </c>
      <c r="D7" s="39"/>
      <c r="E7" s="43"/>
    </row>
    <row r="8" spans="2:12" s="33" customFormat="1" ht="12.75" customHeight="1">
      <c r="B8" s="41"/>
      <c r="C8" s="197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7" t="s">
        <v>28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Octubre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32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J30" sqref="J30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Octubre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35</v>
      </c>
      <c r="D7" s="39"/>
      <c r="E7" s="43"/>
    </row>
    <row r="8" spans="2:12" s="33" customFormat="1" ht="12.75" customHeight="1">
      <c r="B8" s="41"/>
      <c r="C8" s="197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7" t="s">
        <v>49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Octubre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36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2023-11-16T07:56:45Z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