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OCT\INF_ELABORADA\"/>
    </mc:Choice>
  </mc:AlternateContent>
  <xr:revisionPtr revIDLastSave="0" documentId="13_ncr:1_{B1F0A5A4-CEEB-4B25-8BDC-502028E0D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6" i="18" l="1"/>
  <c r="O135" i="18"/>
  <c r="C144" i="18"/>
  <c r="G68" i="18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0" i="18" l="1"/>
  <c r="O142" i="18"/>
  <c r="O141" i="18"/>
  <c r="O143" i="18"/>
  <c r="O119" i="18"/>
  <c r="O144" i="18"/>
  <c r="B47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N144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4" i="18" l="1"/>
  <c r="M140" i="18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4" i="18" l="1"/>
  <c r="L141" i="18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4" i="18" l="1"/>
  <c r="K141" i="18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4" i="18" l="1"/>
  <c r="J141" i="18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4" i="18" l="1"/>
  <c r="I141" i="18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4" i="18" l="1"/>
  <c r="H143" i="18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4" i="18" l="1"/>
  <c r="G143" i="18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4" i="18" l="1"/>
  <c r="F140" i="18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4" i="18" l="1"/>
  <c r="E142" i="18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4" i="18" l="1"/>
  <c r="D142" i="18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1" i="18" l="1"/>
  <c r="C120" i="18"/>
  <c r="C136" i="18"/>
  <c r="C142" i="18"/>
  <c r="C139" i="18"/>
  <c r="C140" i="18"/>
  <c r="C122" i="18"/>
  <c r="C143" i="18"/>
  <c r="D133" i="18"/>
  <c r="C123" i="18"/>
  <c r="D146" i="18"/>
  <c r="C135" i="18"/>
  <c r="C131" i="18"/>
  <c r="C125" i="18"/>
  <c r="C121" i="18"/>
  <c r="C138" i="18"/>
  <c r="C137" i="18"/>
  <c r="C132" i="18"/>
  <c r="C127" i="18"/>
  <c r="C119" i="18"/>
  <c r="C130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<sst xmlns="http://schemas.openxmlformats.org/spreadsheetml/2006/main" count="431" uniqueCount="136">
  <si>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</si>
  <si>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</si>
  <si>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</si>
  <si>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</si>
  <si>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</si>
  <si>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</si>
  <si>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</si>
  <si>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</si>
  <si>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</si>
  <si>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</si>
  <si>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</si>
  <si>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</si>
  <si>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</si>
  <si>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</si>
  <si>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</si>
  <si>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</si>
  <si>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</si>
  <si>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</si>
  <si>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</si>
  <si>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</si>
  <si>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</si>
  <si>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</si>
  <si>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</si>
  <si>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</si>
  <si>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</si>
  <si>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</si>
  <si>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</si>
  <si>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</si>
  <si>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</si>
  <si>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</si>
  <si>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</si>
  <si>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</si>
  <si>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</si>
  <si>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</si>
  <si>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</si>
  <si>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</si>
  <si>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</si>
  <si>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</si>
  <si>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</si>
  <si>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</si>
  <si>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</si>
  <si>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</si>
  <si>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</si>
  <si>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</si>
  <si>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</si>
  <si>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</si>
  <si>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</si>
  <si>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</si>
  <si>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</si>
  <si>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</si>
  <si>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</si>
  <si>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</si>
  <si>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</si>
  <si>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</si>
  <si>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</si>
  <si>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</si>
  <si>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</si>
  <si>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</si>
  <si>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</si>
  <si>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</si>
  <si>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</si>
  <si>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</si>
  <si>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</si>
  <si>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</si>
  <si>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</si>
  <si>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</si>
  <si>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</si>
  <si>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</si>
  <si>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</si>
  <si>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</si>
  <si>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</si>
  <si>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</si>
  <si>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</si>
  <si>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</si>
  <si>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</si>
  <si>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</si>
  <si>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</si>
  <si>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</si>
  <si>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</si>
  <si>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</si>
  <si>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</si>
  <si>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</si>
  <si>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</si>
  <si>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</si>
  <si>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</si>
  <si>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</si>
  <si>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</si>
  <si>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</si>
  <si>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</si>
  <si>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</si>
  <si>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</si>
  <si>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</si>
  <si>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</si>
  <si>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</si>
  <si>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</si>
  <si>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</si>
  <si>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</si>
  <si>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</si>
  <si>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</si>
  <si>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</si>
  <si>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</si>
  <si>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</si>
  <si>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</si>
  <si>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</si>
  <si>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</si>
  <si>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</si>
  <si>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</si>
  <si>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</si>
  <si>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</si>
  <si>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</si>
  <si>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</si>
  <si>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</si>
  <si>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</si>
  <si>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</si>
  <si>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</si>
  <si>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</si>
  <si>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</si>
  <si>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</si>
  <si>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</si>
  <si>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</si>
  <si>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</si>
  <si>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</si>
  <si>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</si>
  <si>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</si>
  <si>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</si>
  <si>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</si>
  <si>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</si>
  <si>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</si>
  <si>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31/10/2022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</si>
  <si>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ut="11/11/2022 19:17:24" si="2.000000011e5fa24781e027863481fd11b4fc2c535b670d30b6e2b7b7ae733bf9f2695e91ae684ffb166a796f7916e1322b27111983c36d37ed1344a0e6c58259a30b5656886c0e7767bbb4bab24871e9824bef2a0f322379cc56654c70bf9e00bee423ebb709bafe8065029a1ec1bd804b3a6a90bad50cb43e365cd9ccccb10cc7a6dea21cf4d9acaa5ec7e27c60079bf39593226fad4bbce5c0b6a82fb1eb33c790.p.3082.0.1.Europe/Madrid.upriv*_1*_pidn2*_12*_session*-lat*_1.000000012776f9c4e292bae116b5ce28d1d09d7abc6025e0bed59d44de5940b6ca349feecaf2390afffe9d9b7f0f38df4f65ffcebef568be.000000012e05048bd317f37b17ed296b37c901d1bc6025e0c0b4b51acc8a237a8d273dd594a3b700fe632bb0dea2c652fa4717d0d0c0eeeb.0.1.1.BDEbi.D066E1C611E6257C10D00080EF253B44.0-3082.1.1_-0.1.0_-3082.1.1_5.5.0.*0.00000001e8fe704e82c34135d6603dabf16eae67c911585af0375db02367bdb135df3b875f06ee4b.0.23.11*.2*.0400*.31152J.e.00000001583e9490934a8854190932abb9e446dec911585a71384895feb90b33966fc854aedd5e0b.0.10*.131*.122*.122.0.0" msgID="6FA3A6DD11ED61F50A500080EF95ED9D"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</si>
  <si>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Noviembre 2022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</si>
  <si>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ut="11/15/2022 15:13:35" si="2.00000001092157d465dfbae911558ffb518c6bb201e78d9c297586b880e6b89a31aa06e2bc83e6ba8c6172e5850a91d3349345dc178da240b5ab7248ed0e01b03121ce942db8852da15216f94b87e11e91214911d028a05f19bccb4788687087f999c180dd617dc79994911ab064e6a8dcd5361b25c92b15da911cd441e4ae1bc8abbd2047afdb426c813ae281443de059fa2b6f6562232a35cf8edb9e1603e0a2a6.p.3082.0.1.Europe/Madrid.upriv*_1*_pidn2*_1*_session*-lat*_1.00000001b8793928180a711ad2b417e3e7cf1b05bc6025e04c17be241473cca90255cfea0fd0aecd26389d116742149fcc44394af5a1d9b7.0000000148769670d4fc3f891807a6c80f6c5877bc6025e0f89ba1da472d188a0ba88df42db548d2e024ea0dfab46121e009984dcd5b5801.0.1.1.BDEbi.D066E1C611E6257C10D00080EF253B44.0-3082.1.1_-0.1.0_-3082.1.1_5.5.0.*0.000000012a978b47a5ff292e95597e0d09986e33c911585a21da803fa83848d16d9a887976971040.0.23.11*.2*.0400*.31152J.e.0000000148986204cb2f1cc8e36d9c0d0513512ac911585acab9609ffe9c2f0f40b31f6f86887aa6.0.10*.131*.122*.122.0.0" msgID="23EC6CE311ED64F70A500080EF352D9C"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nrr="1156" nrc="2176"&gt;&lt;pg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</si>
  <si>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ut="11/15/2022 15:21:20" si="2.00000001092157d465dfbae911558ffb518c6bb201e78d9c297586b880e6b89a31aa06e2bc83e6ba8c6172e5850a91d3349345dc178da240b5ab7248ed0e01b03121ce942db8852da15216f94b87e11e91214911d028a05f19bccb4788687087f999c180dd617dc79994911ab064e6a8dcd5361b25c92b15da911cd441e4ae1bc8abbd2047afdb426c813ae281443de059fa2b6f6562232a35cf8edb9e1603e0a2a6.p.3082.0.1.Europe/Madrid.upriv*_1*_pidn2*_1*_session*-lat*_1.00000001b8793928180a711ad2b417e3e7cf1b05bc6025e04c17be241473cca90255cfea0fd0aecd26389d116742149fcc44394af5a1d9b7.0000000148769670d4fc3f891807a6c80f6c5877bc6025e0f89ba1da472d188a0ba88df42db548d2e024ea0dfab46121e009984dcd5b5801.0.1.1.BDEbi.D066E1C611E6257C10D00080EF253B44.0-3082.1.1_-0.1.0_-3082.1.1_5.5.0.*0.000000012a978b47a5ff292e95597e0d09986e33c911585a21da803fa83848d16d9a887976971040.0.23.11*.2*.0400*.31152J.e.0000000148986204cb2f1cc8e36d9c0d0513512ac911585acab9609ffe9c2f0f40b31f6f86887aa6.0.10*.131*.122*.122.0.0" msgID="7F0289A811ED64F80A500080EFE58E9E"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cols="25" /&gt;&lt;esdo ews="" ece="" ptn="" /&gt;&lt;/excel&gt;&lt;pgs&gt;&lt;pg rows="26" cols="23" nrr="1657" nrc="1297"&gt;&lt;pg /&gt;&lt;bls&gt;&lt;bl sr="1" sc="1" rfetch="26" cfetch="23" posid="1" darows="0" dacols="1"&gt;&lt;excel&gt;&lt;epo ews="Dat_01" ece="A85" enr="MSTR.Serie_Balance_B.C._Mensual_Baleares_y_Canarias" ptn="" qtn="" rows="29" cols="25" /&gt;&lt;esdo ews="" ece="" ptn="" /&gt;&lt;/excel&gt;&lt;gridRng&gt;&lt;sect id="TITLE_AREA" rngprop="1:1:3:2" /&gt;&lt;sect id="ROWHEADERS_AREA" rngprop="4:1:26:2" /&gt;&lt;sect id="COLUMNHEADERS_AREA" rngprop="1:3:3:23" /&gt;&lt;sect id="DATA_AREA" rngprop="4:3:26:23"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</si>
  <si>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ut="11/15/2022 15:22:38" si="2.0000000134f3163fa5b558aaffc37c323f0f250b59f97e3a124627a79df9bc808d323ff39e5672281a335c527f441e6248988aa8ea2ad856474cf30d2ad67669fd8573252757655f6ab75d040fa19f4c18f6e6b467eb0ca8b6162b7f902c06bfb5fc01447e098a23cdf59227413e2d6feec6b78f62d45ccb375ec41f3252fc3ed6b349bdcc437267f2fcd7db9e8f2478f27b55ae3b2d15ee0b7936da934698c1c17a.p.3082.0.1.Europe/Madrid.upriv*_1*_pidn2*_1*_session*-lat*_1.00000001cb3133dae17dd726f26777f1488b921dbc6025e041df1604cfb73c6093d7e2f16b9841373b73ab0c8e28a4979f1ab2db796d4108.00000001c5fb151624439ef235ac4eb1a9b6ff3dbc6025e047c124891c42c0885cc9b6490712c75f7445497bdf330d048c8a5156487267e7.0.1.1.BDEbi.D066E1C611E6257C10D00080EF253B44.0-3082.1.1_-0.1.0_-3082.1.1_5.5.0.*0.00000001a887a8c8f859cf0ab53c62bd9bb21f0cc911585a4d23639ea42997bb68b20f5d9e3f9985.0.23.11*.2*.0400*.31152J.e.00000001631bff328b0dd5d0f945a05f715d7a87c911585aff5fb7620af5899cd12a151c08b492aa.0.10*.131*.122*.122.0.0" msgID="4C72DEB111ED64F90A500080EF658E9F"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nrr="95" nrc="576"&gt;&lt;pg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</si>
  <si>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fb8246eddfe9448cb9214c6901e716e8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</si>
  <si>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ut="11/15/2022 18:43:42" si="2.0000000180de38d8ec05582dcddb1dd17148b2de034b8277b73dd558b979b855662fd58661222c81147408387728e1fd7d9e0e2c8cfc6e04ce8e8190671e80d7e88ae1b6d50a0a2a7df6427bca9101a70fd504c79f6e08763e6140761e601a6e1d2a0785aa84e7fae0ebcf29383a609fd5534b18f7330f7bd1d87cc86921c28ffe7b50736c138eb34b9caeff937ada3d24b6b8609e67b966aecf1f273e9004b7a184.p.3082.0.1.Europe/Madrid.upriv*_1*_pidn2*_1*_session*-lat*_1.00000001b0f2a9aa8b43a99291e94443440e3f1ebc6025e0c8b10226f72bfdd2ea936112706c66b8640196c791201b9c23f54b3a0dc88fa8.000000013853fcf09e3a2749b4edbc1d6a3ae393bc6025e038e39748dfbab9ece03b79529747e4d404fa2a7bc724ac3a0944256842c8146e.0.1.1.BDEbi.D066E1C611E6257C10D00080EF253B44.0-3082.1.1_-0.1.0_-3082.1.1_5.5.0.*0.00000001bba23acfd6420975b9448b42c923f7d7c911585abab4885b66045d7248a02537578cafac.0.23.11*.2*.0400*.31152J.e.000000010b4cd943026ec3c0dfc183758cef432cc911585a7b50a545866cb6f46d5e5d999b234587.0.10*.131*.122*.122.0.0" msgID="605F68BF11ED6515CD200080EF159D3A"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nrr="50" nrc="612"&gt;&lt;pg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</si>
</sst>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%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8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164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7" fillId="11" borderId="10" xfId="31" quotePrefix="1" applyAlignment="1">
      <alignment horizontal="center"/>
    </xf>
    <xf numFmtId="173" fontId="19" fillId="5" borderId="10" xfId="33" applyNumberFormat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3089430894308932"/>
                  <c:y val="-1.0691732283464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211382113821126"/>
                  <c:y val="2.77775590551176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027386210869982"/>
                  <c:y val="0.135514126910606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25040650406504067"/>
                  <c:y val="0.1257842519685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6016247359323985"/>
                  <c:y val="-5.39215686274509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4065040650406505"/>
                  <c:y val="-0.18681256754670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9.9691312976121882E-2"/>
                  <c:y val="-0.13777250270186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5121951219512197"/>
                  <c:y val="-0.14782461015902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3395070738108945"/>
                  <c:y val="-5.77405511811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3.6760229054525131</c:v>
                </c:pt>
                <c:pt idx="2">
                  <c:v>9.1219724151846435</c:v>
                </c:pt>
                <c:pt idx="3">
                  <c:v>63.668985213699258</c:v>
                </c:pt>
                <c:pt idx="4">
                  <c:v>0.19373385508379232</c:v>
                </c:pt>
                <c:pt idx="5">
                  <c:v>0.39120834293189233</c:v>
                </c:pt>
                <c:pt idx="6">
                  <c:v>2.4049765354312442</c:v>
                </c:pt>
                <c:pt idx="7">
                  <c:v>2.4049765354312442</c:v>
                </c:pt>
                <c:pt idx="8">
                  <c:v>6.1094717635504833E-4</c:v>
                </c:pt>
                <c:pt idx="9">
                  <c:v>4.9758358292727589</c:v>
                </c:pt>
                <c:pt idx="10">
                  <c:v>2.0770062575895143E-2</c:v>
                </c:pt>
                <c:pt idx="11">
                  <c:v>13.140907357760407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11.436154810288878</c:v>
                </c:pt>
                <c:pt idx="1">
                  <c:v>6.6094526556976358</c:v>
                </c:pt>
                <c:pt idx="2">
                  <c:v>28.595128383437903</c:v>
                </c:pt>
                <c:pt idx="3">
                  <c:v>39.016632642565163</c:v>
                </c:pt>
                <c:pt idx="4">
                  <c:v>0</c:v>
                </c:pt>
                <c:pt idx="5">
                  <c:v>0.54634664958108925</c:v>
                </c:pt>
                <c:pt idx="6">
                  <c:v>1.773267785674975</c:v>
                </c:pt>
                <c:pt idx="7">
                  <c:v>1.773267785674975</c:v>
                </c:pt>
                <c:pt idx="8">
                  <c:v>0.17104447959418376</c:v>
                </c:pt>
                <c:pt idx="9">
                  <c:v>9.9777138881406024</c:v>
                </c:pt>
                <c:pt idx="10">
                  <c:v>0.10099091934459081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-0.58327700000000005</c:v>
                </c:pt>
                <c:pt idx="1">
                  <c:v>-0.582067</c:v>
                </c:pt>
                <c:pt idx="2">
                  <c:v>-0.61424800000000002</c:v>
                </c:pt>
                <c:pt idx="3">
                  <c:v>-0.627467</c:v>
                </c:pt>
                <c:pt idx="4">
                  <c:v>-0.58012699999999995</c:v>
                </c:pt>
                <c:pt idx="5">
                  <c:v>-0.66887300000000005</c:v>
                </c:pt>
                <c:pt idx="6">
                  <c:v>-0.60498099999999999</c:v>
                </c:pt>
                <c:pt idx="7">
                  <c:v>-1.0302370000000001</c:v>
                </c:pt>
                <c:pt idx="8">
                  <c:v>29.141857000000002</c:v>
                </c:pt>
                <c:pt idx="9">
                  <c:v>50.189168000000002</c:v>
                </c:pt>
                <c:pt idx="10">
                  <c:v>5.2653150000000002</c:v>
                </c:pt>
                <c:pt idx="11">
                  <c:v>-0.60380599999999995</c:v>
                </c:pt>
                <c:pt idx="12">
                  <c:v>-0.613232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60.567518999999997</c:v>
                </c:pt>
                <c:pt idx="1">
                  <c:v>37.046742999999999</c:v>
                </c:pt>
                <c:pt idx="2">
                  <c:v>38.335152000000001</c:v>
                </c:pt>
                <c:pt idx="3">
                  <c:v>46.216700000000003</c:v>
                </c:pt>
                <c:pt idx="4">
                  <c:v>39.301479</c:v>
                </c:pt>
                <c:pt idx="5">
                  <c:v>43.217820000000003</c:v>
                </c:pt>
                <c:pt idx="6">
                  <c:v>55.506872999999999</c:v>
                </c:pt>
                <c:pt idx="7">
                  <c:v>70.042845</c:v>
                </c:pt>
                <c:pt idx="8">
                  <c:v>85.898263999999998</c:v>
                </c:pt>
                <c:pt idx="9">
                  <c:v>121.496702</c:v>
                </c:pt>
                <c:pt idx="10">
                  <c:v>132.46422999999999</c:v>
                </c:pt>
                <c:pt idx="11">
                  <c:v>93.244120000000009</c:v>
                </c:pt>
                <c:pt idx="12">
                  <c:v>60.668753000000002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312.10340600000001</c:v>
                </c:pt>
                <c:pt idx="1">
                  <c:v>305.43751500000002</c:v>
                </c:pt>
                <c:pt idx="2">
                  <c:v>332.59120100000001</c:v>
                </c:pt>
                <c:pt idx="3">
                  <c:v>350.08292499999999</c:v>
                </c:pt>
                <c:pt idx="4">
                  <c:v>298.62258500000002</c:v>
                </c:pt>
                <c:pt idx="5">
                  <c:v>331.00133499999998</c:v>
                </c:pt>
                <c:pt idx="6">
                  <c:v>307.42903200000001</c:v>
                </c:pt>
                <c:pt idx="7">
                  <c:v>317.55595499999998</c:v>
                </c:pt>
                <c:pt idx="8">
                  <c:v>367.58788099999998</c:v>
                </c:pt>
                <c:pt idx="9">
                  <c:v>396.959791</c:v>
                </c:pt>
                <c:pt idx="10">
                  <c:v>456.377207</c:v>
                </c:pt>
                <c:pt idx="11">
                  <c:v>377.07382699999999</c:v>
                </c:pt>
                <c:pt idx="12">
                  <c:v>297.32130999999998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0.26974799999999999</c:v>
                </c:pt>
                <c:pt idx="1">
                  <c:v>6.1364000000000002E-2</c:v>
                </c:pt>
                <c:pt idx="2">
                  <c:v>0.10125000000000001</c:v>
                </c:pt>
                <c:pt idx="3">
                  <c:v>0.215638</c:v>
                </c:pt>
                <c:pt idx="4">
                  <c:v>0.22824</c:v>
                </c:pt>
                <c:pt idx="5">
                  <c:v>0.33845999999999998</c:v>
                </c:pt>
                <c:pt idx="6">
                  <c:v>0.239788</c:v>
                </c:pt>
                <c:pt idx="7">
                  <c:v>0.16079099999999999</c:v>
                </c:pt>
                <c:pt idx="8">
                  <c:v>6.1122000000000003E-2</c:v>
                </c:pt>
                <c:pt idx="9">
                  <c:v>3.0289E-2</c:v>
                </c:pt>
                <c:pt idx="10">
                  <c:v>3.2219999999999999E-2</c:v>
                </c:pt>
                <c:pt idx="11">
                  <c:v>1.2760000000000001E-2</c:v>
                </c:pt>
                <c:pt idx="12">
                  <c:v>2.8530000000000001E-3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16.811540000000001</c:v>
                </c:pt>
                <c:pt idx="1">
                  <c:v>8.8178920000000005</c:v>
                </c:pt>
                <c:pt idx="2">
                  <c:v>11.153282000000001</c:v>
                </c:pt>
                <c:pt idx="3">
                  <c:v>14.434640999999999</c:v>
                </c:pt>
                <c:pt idx="4">
                  <c:v>17.856766</c:v>
                </c:pt>
                <c:pt idx="5">
                  <c:v>13.718254</c:v>
                </c:pt>
                <c:pt idx="6">
                  <c:v>22.081204</c:v>
                </c:pt>
                <c:pt idx="7">
                  <c:v>27.327051999999998</c:v>
                </c:pt>
                <c:pt idx="8">
                  <c:v>29.225902000000001</c:v>
                </c:pt>
                <c:pt idx="9">
                  <c:v>33.049942999999999</c:v>
                </c:pt>
                <c:pt idx="10">
                  <c:v>28.239802000000001</c:v>
                </c:pt>
                <c:pt idx="11">
                  <c:v>24.348155999999999</c:v>
                </c:pt>
                <c:pt idx="12">
                  <c:v>23.236149000000001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0.243059</c:v>
                </c:pt>
                <c:pt idx="1">
                  <c:v>0.24007600000000001</c:v>
                </c:pt>
                <c:pt idx="2">
                  <c:v>0.230462</c:v>
                </c:pt>
                <c:pt idx="3">
                  <c:v>0.285244</c:v>
                </c:pt>
                <c:pt idx="4">
                  <c:v>0.28095199999999998</c:v>
                </c:pt>
                <c:pt idx="5">
                  <c:v>0.29118100000000002</c:v>
                </c:pt>
                <c:pt idx="6">
                  <c:v>0.16531499999999999</c:v>
                </c:pt>
                <c:pt idx="7">
                  <c:v>0.166327</c:v>
                </c:pt>
                <c:pt idx="8">
                  <c:v>0.111179</c:v>
                </c:pt>
                <c:pt idx="9">
                  <c:v>9.5128000000000004E-2</c:v>
                </c:pt>
                <c:pt idx="10">
                  <c:v>5.6752999999999998E-2</c:v>
                </c:pt>
                <c:pt idx="11">
                  <c:v>7.1822999999999998E-2</c:v>
                </c:pt>
                <c:pt idx="12">
                  <c:v>9.6991999999999995E-2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4.173934</c:v>
                </c:pt>
                <c:pt idx="1">
                  <c:v>1.4121680000000001</c:v>
                </c:pt>
                <c:pt idx="2">
                  <c:v>3.5189080000000001</c:v>
                </c:pt>
                <c:pt idx="3">
                  <c:v>3.4010050000000001</c:v>
                </c:pt>
                <c:pt idx="4">
                  <c:v>3.0684070000000001</c:v>
                </c:pt>
                <c:pt idx="5">
                  <c:v>3.993204</c:v>
                </c:pt>
                <c:pt idx="6">
                  <c:v>1.8386769999999999</c:v>
                </c:pt>
                <c:pt idx="7">
                  <c:v>1.9461250000000001</c:v>
                </c:pt>
                <c:pt idx="8">
                  <c:v>1.5363420000000001</c:v>
                </c:pt>
                <c:pt idx="9">
                  <c:v>1.1719729999999999</c:v>
                </c:pt>
                <c:pt idx="10">
                  <c:v>5.1333999999999998E-2</c:v>
                </c:pt>
                <c:pt idx="11">
                  <c:v>2.0373130000000002</c:v>
                </c:pt>
                <c:pt idx="12">
                  <c:v>1.826864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6.4146000000000001</c:v>
                </c:pt>
                <c:pt idx="1">
                  <c:v>13.8683715</c:v>
                </c:pt>
                <c:pt idx="2">
                  <c:v>8.8660929999999993</c:v>
                </c:pt>
                <c:pt idx="3">
                  <c:v>9.8711500000000001</c:v>
                </c:pt>
                <c:pt idx="4">
                  <c:v>5.4414375000000001</c:v>
                </c:pt>
                <c:pt idx="5">
                  <c:v>9.6633200000000006</c:v>
                </c:pt>
                <c:pt idx="6">
                  <c:v>7.8050050000000004</c:v>
                </c:pt>
                <c:pt idx="7">
                  <c:v>11.846121999999999</c:v>
                </c:pt>
                <c:pt idx="8">
                  <c:v>13.186323</c:v>
                </c:pt>
                <c:pt idx="9">
                  <c:v>16.1606655</c:v>
                </c:pt>
                <c:pt idx="10">
                  <c:v>13.6723105</c:v>
                </c:pt>
                <c:pt idx="11">
                  <c:v>13.5816645</c:v>
                </c:pt>
                <c:pt idx="12">
                  <c:v>11.230755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6.4146000000000001</c:v>
                </c:pt>
                <c:pt idx="1">
                  <c:v>13.8683715</c:v>
                </c:pt>
                <c:pt idx="2">
                  <c:v>8.8660929999999993</c:v>
                </c:pt>
                <c:pt idx="3">
                  <c:v>9.8711500000000001</c:v>
                </c:pt>
                <c:pt idx="4">
                  <c:v>5.4414375000000001</c:v>
                </c:pt>
                <c:pt idx="5">
                  <c:v>9.6633200000000006</c:v>
                </c:pt>
                <c:pt idx="6">
                  <c:v>7.8050050000000004</c:v>
                </c:pt>
                <c:pt idx="7">
                  <c:v>11.846121999999999</c:v>
                </c:pt>
                <c:pt idx="8">
                  <c:v>13.186323</c:v>
                </c:pt>
                <c:pt idx="9">
                  <c:v>16.1606655</c:v>
                </c:pt>
                <c:pt idx="10">
                  <c:v>13.6723105</c:v>
                </c:pt>
                <c:pt idx="11">
                  <c:v>13.5816645</c:v>
                </c:pt>
                <c:pt idx="12">
                  <c:v>11.230755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38.285525</c:v>
                </c:pt>
                <c:pt idx="1">
                  <c:v>28.435708999999999</c:v>
                </c:pt>
                <c:pt idx="2">
                  <c:v>32.270831999999999</c:v>
                </c:pt>
                <c:pt idx="3">
                  <c:v>31.159338999999999</c:v>
                </c:pt>
                <c:pt idx="4">
                  <c:v>27.502502</c:v>
                </c:pt>
                <c:pt idx="5">
                  <c:v>30.689281000000001</c:v>
                </c:pt>
                <c:pt idx="6">
                  <c:v>33.641058999999998</c:v>
                </c:pt>
                <c:pt idx="7">
                  <c:v>32.047055999999998</c:v>
                </c:pt>
                <c:pt idx="8">
                  <c:v>35.225064000000003</c:v>
                </c:pt>
                <c:pt idx="9">
                  <c:v>67.033137999999994</c:v>
                </c:pt>
                <c:pt idx="10">
                  <c:v>77.653036</c:v>
                </c:pt>
                <c:pt idx="11">
                  <c:v>70.647335999999996</c:v>
                </c:pt>
                <c:pt idx="12">
                  <c:v>61.365385000000003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15.338117297906045</c:v>
                </c:pt>
                <c:pt idx="1">
                  <c:v>16.379551683382356</c:v>
                </c:pt>
                <c:pt idx="2">
                  <c:v>15.180848438728106</c:v>
                </c:pt>
                <c:pt idx="3">
                  <c:v>27.220094146517699</c:v>
                </c:pt>
                <c:pt idx="4">
                  <c:v>1.2015340841194548</c:v>
                </c:pt>
                <c:pt idx="5">
                  <c:v>4.780973319009349E-2</c:v>
                </c:pt>
                <c:pt idx="6">
                  <c:v>0.35605669717885413</c:v>
                </c:pt>
                <c:pt idx="7">
                  <c:v>17.693218464095683</c:v>
                </c:pt>
                <c:pt idx="8">
                  <c:v>6.4665163141773769</c:v>
                </c:pt>
                <c:pt idx="9">
                  <c:v>0.1162531407043326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519E-2"/>
                  <c:y val="-0.151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21.096967726180498</c:v>
                </c:pt>
                <c:pt idx="1">
                  <c:v>5.0343928640044373</c:v>
                </c:pt>
                <c:pt idx="2">
                  <c:v>16.281088044804946</c:v>
                </c:pt>
                <c:pt idx="3">
                  <c:v>41.923028218717469</c:v>
                </c:pt>
                <c:pt idx="4">
                  <c:v>0</c:v>
                </c:pt>
                <c:pt idx="5">
                  <c:v>4.0308723470705209E-2</c:v>
                </c:pt>
                <c:pt idx="6">
                  <c:v>0.18533608596464873</c:v>
                </c:pt>
                <c:pt idx="7">
                  <c:v>11.684379797271696</c:v>
                </c:pt>
                <c:pt idx="8">
                  <c:v>3.6541028058200267</c:v>
                </c:pt>
                <c:pt idx="9">
                  <c:v>0.10039573376557298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0.28250700000000001</c:v>
                </c:pt>
                <c:pt idx="1">
                  <c:v>0.23125799999999999</c:v>
                </c:pt>
                <c:pt idx="2">
                  <c:v>0.15536</c:v>
                </c:pt>
                <c:pt idx="3">
                  <c:v>0.294213</c:v>
                </c:pt>
                <c:pt idx="4">
                  <c:v>0.25058200000000003</c:v>
                </c:pt>
                <c:pt idx="5">
                  <c:v>0.29644599999999999</c:v>
                </c:pt>
                <c:pt idx="6">
                  <c:v>0.27407199999999998</c:v>
                </c:pt>
                <c:pt idx="7">
                  <c:v>0.29880499999999999</c:v>
                </c:pt>
                <c:pt idx="8">
                  <c:v>0.28138299999999999</c:v>
                </c:pt>
                <c:pt idx="9">
                  <c:v>0.29436099999999998</c:v>
                </c:pt>
                <c:pt idx="10">
                  <c:v>0.29274699999999998</c:v>
                </c:pt>
                <c:pt idx="11">
                  <c:v>0.28892499999999999</c:v>
                </c:pt>
                <c:pt idx="12">
                  <c:v>0.29362700000000003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299.91777000000002</c:v>
                </c:pt>
                <c:pt idx="1">
                  <c:v>280.35018600000001</c:v>
                </c:pt>
                <c:pt idx="2">
                  <c:v>286.86553600000002</c:v>
                </c:pt>
                <c:pt idx="3">
                  <c:v>282.52258499999999</c:v>
                </c:pt>
                <c:pt idx="4">
                  <c:v>254.215059</c:v>
                </c:pt>
                <c:pt idx="5">
                  <c:v>285.51521100000002</c:v>
                </c:pt>
                <c:pt idx="6">
                  <c:v>258.29193100000003</c:v>
                </c:pt>
                <c:pt idx="7">
                  <c:v>244.42552999999998</c:v>
                </c:pt>
                <c:pt idx="8">
                  <c:v>215.54716999999999</c:v>
                </c:pt>
                <c:pt idx="9">
                  <c:v>238.316866</c:v>
                </c:pt>
                <c:pt idx="10">
                  <c:v>264.80307199999999</c:v>
                </c:pt>
                <c:pt idx="11">
                  <c:v>286.04636799999997</c:v>
                </c:pt>
                <c:pt idx="12">
                  <c:v>308.95148699999999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288.42916700000001</c:v>
                </c:pt>
                <c:pt idx="1">
                  <c:v>314.27644400000003</c:v>
                </c:pt>
                <c:pt idx="2">
                  <c:v>321.03092800000002</c:v>
                </c:pt>
                <c:pt idx="3">
                  <c:v>350.31383599999998</c:v>
                </c:pt>
                <c:pt idx="4">
                  <c:v>285.33313399999997</c:v>
                </c:pt>
                <c:pt idx="5">
                  <c:v>288.52109999999999</c:v>
                </c:pt>
                <c:pt idx="6">
                  <c:v>265.37271800000002</c:v>
                </c:pt>
                <c:pt idx="7">
                  <c:v>303.45663500000001</c:v>
                </c:pt>
                <c:pt idx="8">
                  <c:v>283.58392400000002</c:v>
                </c:pt>
                <c:pt idx="9">
                  <c:v>295.51749599999999</c:v>
                </c:pt>
                <c:pt idx="10">
                  <c:v>269.79137200000002</c:v>
                </c:pt>
                <c:pt idx="11">
                  <c:v>285.29845599999999</c:v>
                </c:pt>
                <c:pt idx="12">
                  <c:v>305.38632699999999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1.8534550000000001</c:v>
                </c:pt>
                <c:pt idx="1">
                  <c:v>1.1397900000000001</c:v>
                </c:pt>
                <c:pt idx="2">
                  <c:v>1.2278610000000001</c:v>
                </c:pt>
                <c:pt idx="3">
                  <c:v>1.110916</c:v>
                </c:pt>
                <c:pt idx="4">
                  <c:v>1.4820450000000001</c:v>
                </c:pt>
                <c:pt idx="5">
                  <c:v>2.1263230000000002</c:v>
                </c:pt>
                <c:pt idx="6">
                  <c:v>1.7525280000000001</c:v>
                </c:pt>
                <c:pt idx="7">
                  <c:v>1.9171739999999999</c:v>
                </c:pt>
                <c:pt idx="8">
                  <c:v>2.44956</c:v>
                </c:pt>
                <c:pt idx="9">
                  <c:v>3.5629430000000002</c:v>
                </c:pt>
                <c:pt idx="10">
                  <c:v>3.5176750000000001</c:v>
                </c:pt>
                <c:pt idx="11">
                  <c:v>2.0750950000000001</c:v>
                </c:pt>
                <c:pt idx="12">
                  <c:v>1.3500719999999999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122.01863400000001</c:v>
                </c:pt>
                <c:pt idx="1">
                  <c:v>91.768507</c:v>
                </c:pt>
                <c:pt idx="2">
                  <c:v>92.741405999999998</c:v>
                </c:pt>
                <c:pt idx="3">
                  <c:v>60.136758999999998</c:v>
                </c:pt>
                <c:pt idx="4">
                  <c:v>88.970084999999997</c:v>
                </c:pt>
                <c:pt idx="5">
                  <c:v>109.414616</c:v>
                </c:pt>
                <c:pt idx="6">
                  <c:v>120.763114</c:v>
                </c:pt>
                <c:pt idx="7">
                  <c:v>116.774248</c:v>
                </c:pt>
                <c:pt idx="8">
                  <c:v>159.50470799999999</c:v>
                </c:pt>
                <c:pt idx="9">
                  <c:v>180.96485300000001</c:v>
                </c:pt>
                <c:pt idx="10">
                  <c:v>183.67649499999999</c:v>
                </c:pt>
                <c:pt idx="11">
                  <c:v>123.261465</c:v>
                </c:pt>
                <c:pt idx="12">
                  <c:v>85.114315000000005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21.049275999999999</c:v>
                </c:pt>
                <c:pt idx="1">
                  <c:v>15.037381999999999</c:v>
                </c:pt>
                <c:pt idx="2">
                  <c:v>17.045500000000001</c:v>
                </c:pt>
                <c:pt idx="3">
                  <c:v>18.038699999999999</c:v>
                </c:pt>
                <c:pt idx="4">
                  <c:v>18.864350999999999</c:v>
                </c:pt>
                <c:pt idx="5">
                  <c:v>25.047723999999999</c:v>
                </c:pt>
                <c:pt idx="6">
                  <c:v>25.164787</c:v>
                </c:pt>
                <c:pt idx="7">
                  <c:v>32.867409000000002</c:v>
                </c:pt>
                <c:pt idx="8">
                  <c:v>30.72391</c:v>
                </c:pt>
                <c:pt idx="9">
                  <c:v>34.258988000000002</c:v>
                </c:pt>
                <c:pt idx="10">
                  <c:v>31.953105999999998</c:v>
                </c:pt>
                <c:pt idx="11">
                  <c:v>26.440342000000001</c:v>
                </c:pt>
                <c:pt idx="12">
                  <c:v>26.61814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oct.-21</c:v>
                </c:pt>
                <c:pt idx="1">
                  <c:v>nov.-21</c:v>
                </c:pt>
                <c:pt idx="2">
                  <c:v>dic.-21</c:v>
                </c:pt>
                <c:pt idx="3">
                  <c:v>ene.-22</c:v>
                </c:pt>
                <c:pt idx="4">
                  <c:v>feb.-22</c:v>
                </c:pt>
                <c:pt idx="5">
                  <c:v>mar.-22</c:v>
                </c:pt>
                <c:pt idx="6">
                  <c:v>abr.-22</c:v>
                </c:pt>
                <c:pt idx="7">
                  <c:v>may.-22</c:v>
                </c:pt>
                <c:pt idx="8">
                  <c:v>jun.-22</c:v>
                </c:pt>
                <c:pt idx="9">
                  <c:v>jul.-22</c:v>
                </c:pt>
                <c:pt idx="10">
                  <c:v>ago.-22</c:v>
                </c:pt>
                <c:pt idx="11">
                  <c:v>sep.-22</c:v>
                </c:pt>
                <c:pt idx="12">
                  <c:v>oct.-22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0.75599700000000003</c:v>
                </c:pt>
                <c:pt idx="1">
                  <c:v>0.75323799999999996</c:v>
                </c:pt>
                <c:pt idx="2">
                  <c:v>0.82663799999999998</c:v>
                </c:pt>
                <c:pt idx="3">
                  <c:v>0.86053100000000005</c:v>
                </c:pt>
                <c:pt idx="4">
                  <c:v>0.72069799999999995</c:v>
                </c:pt>
                <c:pt idx="5">
                  <c:v>0.90984399999999999</c:v>
                </c:pt>
                <c:pt idx="6">
                  <c:v>0.61352399999999996</c:v>
                </c:pt>
                <c:pt idx="7">
                  <c:v>0.72146399999999999</c:v>
                </c:pt>
                <c:pt idx="8">
                  <c:v>0.696106</c:v>
                </c:pt>
                <c:pt idx="9">
                  <c:v>0.688222</c:v>
                </c:pt>
                <c:pt idx="10">
                  <c:v>0.71531400000000001</c:v>
                </c:pt>
                <c:pt idx="11">
                  <c:v>0.714812</c:v>
                </c:pt>
                <c:pt idx="12">
                  <c:v>0.73132799999999998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Octubre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F140" zoomScaleNormal="100" workbookViewId="0">
      <selection activeCell="G158" sqref="G158"/>
    </sheetView>
  </sheetViews>
  <sheetFormatPr baseColWidth="10" defaultColWidth="11.42578125" defaultRowHeight="12"/>
  <cols>
    <col min="1" max="1" width="9.42578125" style="111" bestFit="1" customWidth="1"/>
    <col min="2" max="2" width="13" style="111" bestFit="1" customWidth="1"/>
    <col min="3" max="3" width="24" style="111" bestFit="1" customWidth="1"/>
    <col min="4" max="4" width="19.85546875" style="111" bestFit="1" customWidth="1"/>
    <col min="5" max="5" width="20.42578125" style="111" bestFit="1" customWidth="1"/>
    <col min="6" max="6" width="32.5703125" style="111" bestFit="1" customWidth="1"/>
    <col min="7" max="7" width="24" style="111" bestFit="1" customWidth="1"/>
    <col min="8" max="8" width="19.85546875" style="111" bestFit="1" customWidth="1"/>
    <col min="9" max="9" width="20.42578125" style="111" bestFit="1" customWidth="1"/>
    <col min="10" max="11" width="28.28515625" style="111" bestFit="1" customWidth="1"/>
    <col min="12" max="12" width="24.28515625" style="111" bestFit="1" customWidth="1"/>
    <col min="13" max="13" width="24.7109375" style="111" bestFit="1" customWidth="1"/>
    <col min="14" max="14" width="32.5703125" style="111" bestFit="1" customWidth="1"/>
    <col min="15" max="33" width="14.7109375" style="111" customWidth="1"/>
    <col min="34" max="16384" width="11.42578125" style="111"/>
  </cols>
  <sheetData>
    <row r="1" spans="1:33">
      <c r="A1" s="142" t="s">
        <v>67</v>
      </c>
      <c r="B1" s="142" t="s">
        <v>71</v>
      </c>
    </row>
    <row r="2" spans="1:33">
      <c r="A2" s="143" t="s">
        <v>127</v>
      </c>
      <c r="B2" s="143" t="s">
        <v>128</v>
      </c>
    </row>
    <row r="4" spans="1:33" ht="15">
      <c r="A4" s="144" t="s">
        <v>67</v>
      </c>
      <c r="B4" s="208" t="s">
        <v>127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4" t="s">
        <v>68</v>
      </c>
      <c r="B5" s="224" t="s">
        <v>15</v>
      </c>
      <c r="C5" s="225"/>
      <c r="D5" s="225"/>
      <c r="E5" s="225"/>
      <c r="F5" s="225"/>
      <c r="G5" s="225"/>
      <c r="H5" s="225"/>
      <c r="I5" s="226"/>
      <c r="J5" s="224" t="s">
        <v>14</v>
      </c>
      <c r="K5" s="225"/>
      <c r="L5" s="225"/>
      <c r="M5" s="225"/>
      <c r="N5" s="225"/>
      <c r="O5" s="225"/>
      <c r="P5" s="225"/>
      <c r="Q5" s="226"/>
      <c r="R5" s="224" t="s">
        <v>57</v>
      </c>
      <c r="S5" s="225"/>
      <c r="T5" s="225"/>
      <c r="U5" s="225"/>
      <c r="V5" s="225"/>
      <c r="W5" s="225"/>
      <c r="X5" s="225"/>
      <c r="Y5" s="226"/>
      <c r="Z5" s="224" t="s">
        <v>58</v>
      </c>
      <c r="AA5" s="225"/>
      <c r="AB5" s="225"/>
      <c r="AC5" s="225"/>
      <c r="AD5" s="225"/>
      <c r="AE5" s="225"/>
      <c r="AF5" s="225"/>
      <c r="AG5" s="225"/>
    </row>
    <row r="6" spans="1:33">
      <c r="A6" s="144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4" t="s">
        <v>70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</row>
    <row r="8" spans="1:33">
      <c r="A8" s="143" t="s">
        <v>12</v>
      </c>
      <c r="B8" s="157">
        <v>0</v>
      </c>
      <c r="C8" s="157">
        <v>0</v>
      </c>
      <c r="D8" s="150">
        <v>0</v>
      </c>
      <c r="E8" s="157">
        <v>0</v>
      </c>
      <c r="F8" s="157">
        <v>0</v>
      </c>
      <c r="G8" s="150">
        <v>0</v>
      </c>
      <c r="H8" s="157">
        <v>0</v>
      </c>
      <c r="I8" s="150">
        <v>0</v>
      </c>
      <c r="J8" s="157">
        <v>0</v>
      </c>
      <c r="K8" s="157">
        <v>0</v>
      </c>
      <c r="L8" s="150">
        <v>0</v>
      </c>
      <c r="M8" s="157">
        <v>0</v>
      </c>
      <c r="N8" s="157">
        <v>0</v>
      </c>
      <c r="O8" s="150">
        <v>0</v>
      </c>
      <c r="P8" s="157">
        <v>0</v>
      </c>
      <c r="Q8" s="150">
        <v>0</v>
      </c>
      <c r="R8" s="157">
        <v>0</v>
      </c>
      <c r="S8" s="157">
        <v>0</v>
      </c>
      <c r="T8" s="150">
        <v>0</v>
      </c>
      <c r="U8" s="157">
        <v>0</v>
      </c>
      <c r="V8" s="157">
        <v>0</v>
      </c>
      <c r="W8" s="150">
        <v>0</v>
      </c>
      <c r="X8" s="157">
        <v>0</v>
      </c>
      <c r="Y8" s="150">
        <v>0</v>
      </c>
      <c r="Z8" s="157">
        <v>293.62700000000001</v>
      </c>
      <c r="AA8" s="157">
        <v>282.50700000000001</v>
      </c>
      <c r="AB8" s="150">
        <v>3.93618565E-2</v>
      </c>
      <c r="AC8" s="157">
        <v>2865.1610000000001</v>
      </c>
      <c r="AD8" s="157">
        <v>2656.6469999999999</v>
      </c>
      <c r="AE8" s="150">
        <v>7.8487657599999996E-2</v>
      </c>
      <c r="AF8" s="157">
        <v>3251.779</v>
      </c>
      <c r="AG8" s="150">
        <v>3.1698249000000002E-3</v>
      </c>
    </row>
    <row r="9" spans="1:33">
      <c r="A9" s="143" t="s">
        <v>11</v>
      </c>
      <c r="B9" s="157">
        <v>0</v>
      </c>
      <c r="C9" s="157">
        <v>0</v>
      </c>
      <c r="D9" s="150">
        <v>0</v>
      </c>
      <c r="E9" s="157">
        <v>0</v>
      </c>
      <c r="F9" s="157">
        <v>0</v>
      </c>
      <c r="G9" s="150">
        <v>0</v>
      </c>
      <c r="H9" s="157">
        <v>0</v>
      </c>
      <c r="I9" s="150">
        <v>0</v>
      </c>
      <c r="J9" s="157">
        <v>0</v>
      </c>
      <c r="K9" s="157">
        <v>0</v>
      </c>
      <c r="L9" s="150">
        <v>0</v>
      </c>
      <c r="M9" s="157">
        <v>0</v>
      </c>
      <c r="N9" s="157">
        <v>0</v>
      </c>
      <c r="O9" s="150">
        <v>0</v>
      </c>
      <c r="P9" s="157">
        <v>0</v>
      </c>
      <c r="Q9" s="150">
        <v>0</v>
      </c>
      <c r="R9" s="157">
        <v>-613.23199999999997</v>
      </c>
      <c r="S9" s="157">
        <v>-583.27700000000004</v>
      </c>
      <c r="T9" s="150">
        <v>5.1356388099999997E-2</v>
      </c>
      <c r="U9" s="157">
        <v>79867.616999999998</v>
      </c>
      <c r="V9" s="157">
        <v>45798.949000000001</v>
      </c>
      <c r="W9" s="150">
        <v>0.74387444999999996</v>
      </c>
      <c r="X9" s="157">
        <v>78671.301999999996</v>
      </c>
      <c r="Y9" s="150">
        <v>-0.44816781950000001</v>
      </c>
      <c r="Z9" s="157">
        <v>0</v>
      </c>
      <c r="AA9" s="157">
        <v>0</v>
      </c>
      <c r="AB9" s="150">
        <v>0</v>
      </c>
      <c r="AC9" s="157">
        <v>0</v>
      </c>
      <c r="AD9" s="157">
        <v>0</v>
      </c>
      <c r="AE9" s="150">
        <v>0</v>
      </c>
      <c r="AF9" s="157">
        <v>0</v>
      </c>
      <c r="AG9" s="150">
        <v>0</v>
      </c>
    </row>
    <row r="10" spans="1:33">
      <c r="A10" s="143" t="s">
        <v>78</v>
      </c>
      <c r="B10" s="157">
        <v>16124.66</v>
      </c>
      <c r="C10" s="157">
        <v>16421.031999999999</v>
      </c>
      <c r="D10" s="150">
        <v>-1.8048317500000001E-2</v>
      </c>
      <c r="E10" s="157">
        <v>164362.323</v>
      </c>
      <c r="F10" s="157">
        <v>163807.076</v>
      </c>
      <c r="G10" s="150">
        <v>3.3896399000000002E-3</v>
      </c>
      <c r="H10" s="157">
        <v>197234.20699999999</v>
      </c>
      <c r="I10" s="150">
        <v>2.9964509000000002E-3</v>
      </c>
      <c r="J10" s="157">
        <v>14435.04</v>
      </c>
      <c r="K10" s="157">
        <v>15435.549000000001</v>
      </c>
      <c r="L10" s="150">
        <v>-6.4818491399999997E-2</v>
      </c>
      <c r="M10" s="157">
        <v>156429.05100000001</v>
      </c>
      <c r="N10" s="157">
        <v>162401.88800000001</v>
      </c>
      <c r="O10" s="150">
        <v>-3.67781254E-2</v>
      </c>
      <c r="P10" s="157">
        <v>186957.008</v>
      </c>
      <c r="Q10" s="150">
        <v>-3.4067420799999998E-2</v>
      </c>
      <c r="R10" s="157">
        <v>17166.285</v>
      </c>
      <c r="S10" s="157">
        <v>40707.25</v>
      </c>
      <c r="T10" s="150">
        <v>-0.57829907449999995</v>
      </c>
      <c r="U10" s="157">
        <v>389920.81099999999</v>
      </c>
      <c r="V10" s="157">
        <v>350518.35100000002</v>
      </c>
      <c r="W10" s="150">
        <v>0.1124119747</v>
      </c>
      <c r="X10" s="157">
        <v>438282.75199999998</v>
      </c>
      <c r="Y10" s="150">
        <v>0.12025254589999999</v>
      </c>
      <c r="Z10" s="157">
        <v>153687.435</v>
      </c>
      <c r="AA10" s="157">
        <v>160017.921</v>
      </c>
      <c r="AB10" s="150">
        <v>-3.9561106399999997E-2</v>
      </c>
      <c r="AC10" s="157">
        <v>1432971.905</v>
      </c>
      <c r="AD10" s="157">
        <v>1409811.2490000001</v>
      </c>
      <c r="AE10" s="150">
        <v>1.64281963E-2</v>
      </c>
      <c r="AF10" s="157">
        <v>1740069.6040000001</v>
      </c>
      <c r="AG10" s="150">
        <v>2.1345650000000001E-2</v>
      </c>
    </row>
    <row r="11" spans="1:33">
      <c r="A11" s="143" t="s">
        <v>9</v>
      </c>
      <c r="B11" s="157">
        <v>3.206</v>
      </c>
      <c r="C11" s="157">
        <v>27.757000000000001</v>
      </c>
      <c r="D11" s="150">
        <v>-0.88449760420000001</v>
      </c>
      <c r="E11" s="157">
        <v>144.346</v>
      </c>
      <c r="F11" s="157">
        <v>194.44200000000001</v>
      </c>
      <c r="G11" s="150">
        <v>-0.25763981029999999</v>
      </c>
      <c r="H11" s="157">
        <v>156.797</v>
      </c>
      <c r="I11" s="150">
        <v>-0.22847133040000001</v>
      </c>
      <c r="J11" s="157">
        <v>1.56</v>
      </c>
      <c r="K11" s="157">
        <v>0</v>
      </c>
      <c r="L11" s="150">
        <v>0</v>
      </c>
      <c r="M11" s="157">
        <v>97.775999999999996</v>
      </c>
      <c r="N11" s="157">
        <v>90.411000000000001</v>
      </c>
      <c r="O11" s="150">
        <v>8.1461326599999995E-2</v>
      </c>
      <c r="P11" s="157">
        <v>98.456999999999994</v>
      </c>
      <c r="Q11" s="150">
        <v>5.7613925000000003E-3</v>
      </c>
      <c r="R11" s="157">
        <v>42597.77</v>
      </c>
      <c r="S11" s="157">
        <v>18871.455999999998</v>
      </c>
      <c r="T11" s="150">
        <v>1.2572593233</v>
      </c>
      <c r="U11" s="157">
        <v>346021.67800000001</v>
      </c>
      <c r="V11" s="157">
        <v>197236.24900000001</v>
      </c>
      <c r="W11" s="150">
        <v>0.75435134140000004</v>
      </c>
      <c r="X11" s="157">
        <v>373041.63199999998</v>
      </c>
      <c r="Y11" s="150">
        <v>0.70143139399999999</v>
      </c>
      <c r="Z11" s="157">
        <v>36672.798000000003</v>
      </c>
      <c r="AA11" s="157">
        <v>27415.594000000001</v>
      </c>
      <c r="AB11" s="150">
        <v>0.337661989</v>
      </c>
      <c r="AC11" s="157">
        <v>214943.33300000001</v>
      </c>
      <c r="AD11" s="157">
        <v>166932.935</v>
      </c>
      <c r="AE11" s="150">
        <v>0.28760291069999999</v>
      </c>
      <c r="AF11" s="157">
        <v>247036.114</v>
      </c>
      <c r="AG11" s="150">
        <v>0.2284631614</v>
      </c>
    </row>
    <row r="12" spans="1:33">
      <c r="A12" s="143" t="s">
        <v>8</v>
      </c>
      <c r="B12" s="157">
        <v>0</v>
      </c>
      <c r="C12" s="157">
        <v>0</v>
      </c>
      <c r="D12" s="150">
        <v>0</v>
      </c>
      <c r="E12" s="157">
        <v>0</v>
      </c>
      <c r="F12" s="157">
        <v>0</v>
      </c>
      <c r="G12" s="150">
        <v>0</v>
      </c>
      <c r="H12" s="157">
        <v>0</v>
      </c>
      <c r="I12" s="150">
        <v>0</v>
      </c>
      <c r="J12" s="157">
        <v>0</v>
      </c>
      <c r="K12" s="157">
        <v>0</v>
      </c>
      <c r="L12" s="150">
        <v>0</v>
      </c>
      <c r="M12" s="157">
        <v>0</v>
      </c>
      <c r="N12" s="157">
        <v>0</v>
      </c>
      <c r="O12" s="150">
        <v>0</v>
      </c>
      <c r="P12" s="157">
        <v>0</v>
      </c>
      <c r="Q12" s="150">
        <v>0</v>
      </c>
      <c r="R12" s="157">
        <v>0</v>
      </c>
      <c r="S12" s="157">
        <v>0</v>
      </c>
      <c r="T12" s="150">
        <v>0</v>
      </c>
      <c r="U12" s="157">
        <v>0</v>
      </c>
      <c r="V12" s="157">
        <v>0</v>
      </c>
      <c r="W12" s="150">
        <v>0</v>
      </c>
      <c r="X12" s="157">
        <v>0</v>
      </c>
      <c r="Y12" s="150">
        <v>0</v>
      </c>
      <c r="Z12" s="157">
        <v>118598.82</v>
      </c>
      <c r="AA12" s="157">
        <v>112484.255</v>
      </c>
      <c r="AB12" s="150">
        <v>5.4359296799999998E-2</v>
      </c>
      <c r="AC12" s="157">
        <v>990759.451</v>
      </c>
      <c r="AD12" s="157">
        <v>880030.71499999997</v>
      </c>
      <c r="AE12" s="150">
        <v>0.12582371740000001</v>
      </c>
      <c r="AF12" s="157">
        <v>1218784.693</v>
      </c>
      <c r="AG12" s="150">
        <v>9.6642789399999998E-2</v>
      </c>
    </row>
    <row r="13" spans="1:33">
      <c r="A13" s="143" t="s">
        <v>25</v>
      </c>
      <c r="B13" s="157">
        <v>0</v>
      </c>
      <c r="C13" s="157">
        <v>0</v>
      </c>
      <c r="D13" s="150">
        <v>0</v>
      </c>
      <c r="E13" s="157">
        <v>0</v>
      </c>
      <c r="F13" s="157">
        <v>0</v>
      </c>
      <c r="G13" s="150">
        <v>0</v>
      </c>
      <c r="H13" s="157">
        <v>0</v>
      </c>
      <c r="I13" s="150">
        <v>0</v>
      </c>
      <c r="J13" s="157">
        <v>0</v>
      </c>
      <c r="K13" s="157">
        <v>0</v>
      </c>
      <c r="L13" s="150">
        <v>0</v>
      </c>
      <c r="M13" s="157">
        <v>0</v>
      </c>
      <c r="N13" s="157">
        <v>0</v>
      </c>
      <c r="O13" s="150">
        <v>0</v>
      </c>
      <c r="P13" s="157">
        <v>0</v>
      </c>
      <c r="Q13" s="150">
        <v>0</v>
      </c>
      <c r="R13" s="157">
        <v>297321.31</v>
      </c>
      <c r="S13" s="157">
        <v>312103.40600000002</v>
      </c>
      <c r="T13" s="150">
        <v>-4.7362815400000001E-2</v>
      </c>
      <c r="U13" s="157">
        <v>3500011.8480000002</v>
      </c>
      <c r="V13" s="157">
        <v>2844222.8849999998</v>
      </c>
      <c r="W13" s="150">
        <v>0.23056876679999999</v>
      </c>
      <c r="X13" s="157">
        <v>4138040.5639999998</v>
      </c>
      <c r="Y13" s="150">
        <v>0.29776432819999998</v>
      </c>
      <c r="Z13" s="157">
        <v>305386.32699999999</v>
      </c>
      <c r="AA13" s="157">
        <v>288429.16700000002</v>
      </c>
      <c r="AB13" s="150">
        <v>5.8791418999999998E-2</v>
      </c>
      <c r="AC13" s="157">
        <v>2932574.9980000001</v>
      </c>
      <c r="AD13" s="157">
        <v>2794954.2319999998</v>
      </c>
      <c r="AE13" s="150">
        <v>4.9239005199999998E-2</v>
      </c>
      <c r="AF13" s="157">
        <v>3567882.37</v>
      </c>
      <c r="AG13" s="150">
        <v>4.8899817999999998E-2</v>
      </c>
    </row>
    <row r="14" spans="1:33">
      <c r="A14" s="143" t="s">
        <v>24</v>
      </c>
      <c r="B14" s="157">
        <v>0</v>
      </c>
      <c r="C14" s="157">
        <v>0</v>
      </c>
      <c r="D14" s="150">
        <v>0</v>
      </c>
      <c r="E14" s="157">
        <v>0</v>
      </c>
      <c r="F14" s="157">
        <v>0</v>
      </c>
      <c r="G14" s="150">
        <v>0</v>
      </c>
      <c r="H14" s="157">
        <v>0</v>
      </c>
      <c r="I14" s="150">
        <v>0</v>
      </c>
      <c r="J14" s="157">
        <v>0</v>
      </c>
      <c r="K14" s="157">
        <v>0</v>
      </c>
      <c r="L14" s="150">
        <v>0</v>
      </c>
      <c r="M14" s="157">
        <v>0</v>
      </c>
      <c r="N14" s="157">
        <v>0</v>
      </c>
      <c r="O14" s="150">
        <v>0</v>
      </c>
      <c r="P14" s="157">
        <v>0</v>
      </c>
      <c r="Q14" s="150">
        <v>0</v>
      </c>
      <c r="R14" s="157">
        <v>904.69799999999998</v>
      </c>
      <c r="S14" s="157">
        <v>988.81299999999999</v>
      </c>
      <c r="T14" s="150">
        <v>-8.5066640499999999E-2</v>
      </c>
      <c r="U14" s="157">
        <v>12115.297</v>
      </c>
      <c r="V14" s="157">
        <v>12026.062</v>
      </c>
      <c r="W14" s="150">
        <v>7.4201346999999999E-3</v>
      </c>
      <c r="X14" s="157">
        <v>12115.297</v>
      </c>
      <c r="Y14" s="150">
        <v>7.4201346999999999E-3</v>
      </c>
      <c r="Z14" s="157">
        <v>-7.5659999999999998</v>
      </c>
      <c r="AA14" s="157">
        <v>0</v>
      </c>
      <c r="AB14" s="150">
        <v>0</v>
      </c>
      <c r="AC14" s="157">
        <v>-39.409999999999997</v>
      </c>
      <c r="AD14" s="157">
        <v>0</v>
      </c>
      <c r="AE14" s="150">
        <v>0</v>
      </c>
      <c r="AF14" s="157">
        <v>-39.409999999999997</v>
      </c>
      <c r="AG14" s="150">
        <v>0</v>
      </c>
    </row>
    <row r="15" spans="1:33">
      <c r="A15" s="143" t="s">
        <v>6</v>
      </c>
      <c r="B15" s="157">
        <v>0</v>
      </c>
      <c r="C15" s="157">
        <v>0</v>
      </c>
      <c r="D15" s="150">
        <v>0</v>
      </c>
      <c r="E15" s="157">
        <v>0</v>
      </c>
      <c r="F15" s="157">
        <v>0</v>
      </c>
      <c r="G15" s="150">
        <v>0</v>
      </c>
      <c r="H15" s="157">
        <v>0</v>
      </c>
      <c r="I15" s="150">
        <v>0</v>
      </c>
      <c r="J15" s="157">
        <v>0</v>
      </c>
      <c r="K15" s="157">
        <v>0</v>
      </c>
      <c r="L15" s="150">
        <v>0</v>
      </c>
      <c r="M15" s="157">
        <v>0</v>
      </c>
      <c r="N15" s="157">
        <v>0</v>
      </c>
      <c r="O15" s="150">
        <v>0</v>
      </c>
      <c r="P15" s="157">
        <v>0</v>
      </c>
      <c r="Q15" s="150">
        <v>0</v>
      </c>
      <c r="R15" s="157">
        <v>0</v>
      </c>
      <c r="S15" s="157">
        <v>0</v>
      </c>
      <c r="T15" s="150">
        <v>0</v>
      </c>
      <c r="U15" s="157">
        <v>0</v>
      </c>
      <c r="V15" s="157">
        <v>0</v>
      </c>
      <c r="W15" s="150">
        <v>0</v>
      </c>
      <c r="X15" s="157">
        <v>0</v>
      </c>
      <c r="Y15" s="150">
        <v>0</v>
      </c>
      <c r="Z15" s="157">
        <v>1350.0719999999999</v>
      </c>
      <c r="AA15" s="157">
        <v>1853.4549999999999</v>
      </c>
      <c r="AB15" s="150">
        <v>-0.27159170310000003</v>
      </c>
      <c r="AC15" s="157">
        <v>21344.330999999998</v>
      </c>
      <c r="AD15" s="157">
        <v>20730.588</v>
      </c>
      <c r="AE15" s="150">
        <v>2.9605672499999999E-2</v>
      </c>
      <c r="AF15" s="157">
        <v>23711.982</v>
      </c>
      <c r="AG15" s="150">
        <v>5.3355995500000003E-2</v>
      </c>
    </row>
    <row r="16" spans="1:33">
      <c r="A16" s="143" t="s">
        <v>5</v>
      </c>
      <c r="B16" s="157">
        <v>0</v>
      </c>
      <c r="C16" s="157">
        <v>0</v>
      </c>
      <c r="D16" s="150">
        <v>0</v>
      </c>
      <c r="E16" s="157">
        <v>0</v>
      </c>
      <c r="F16" s="157">
        <v>0</v>
      </c>
      <c r="G16" s="150">
        <v>0</v>
      </c>
      <c r="H16" s="157">
        <v>0</v>
      </c>
      <c r="I16" s="150">
        <v>0</v>
      </c>
      <c r="J16" s="157">
        <v>0</v>
      </c>
      <c r="K16" s="157">
        <v>0</v>
      </c>
      <c r="L16" s="150">
        <v>0</v>
      </c>
      <c r="M16" s="157">
        <v>0</v>
      </c>
      <c r="N16" s="157">
        <v>0</v>
      </c>
      <c r="O16" s="150">
        <v>0</v>
      </c>
      <c r="P16" s="157">
        <v>0</v>
      </c>
      <c r="Q16" s="150">
        <v>0</v>
      </c>
      <c r="R16" s="157">
        <v>2.8530000000000002</v>
      </c>
      <c r="S16" s="157">
        <v>269.74799999999999</v>
      </c>
      <c r="T16" s="150">
        <v>-0.98942346189999997</v>
      </c>
      <c r="U16" s="157">
        <v>1322.1610000000001</v>
      </c>
      <c r="V16" s="157">
        <v>2173.4949999999999</v>
      </c>
      <c r="W16" s="150">
        <v>-0.39168896180000001</v>
      </c>
      <c r="X16" s="157">
        <v>1484.7750000000001</v>
      </c>
      <c r="Y16" s="150">
        <v>-0.47138325959999999</v>
      </c>
      <c r="Z16" s="157">
        <v>85114.315000000002</v>
      </c>
      <c r="AA16" s="157">
        <v>122018.63400000001</v>
      </c>
      <c r="AB16" s="150">
        <v>-0.3024482228</v>
      </c>
      <c r="AC16" s="157">
        <v>1228580.6580000001</v>
      </c>
      <c r="AD16" s="157">
        <v>1133951.0160000001</v>
      </c>
      <c r="AE16" s="150">
        <v>8.3451260799999996E-2</v>
      </c>
      <c r="AF16" s="157">
        <v>1413090.571</v>
      </c>
      <c r="AG16" s="150">
        <v>0.1302129581</v>
      </c>
    </row>
    <row r="17" spans="1:33">
      <c r="A17" s="143" t="s">
        <v>4</v>
      </c>
      <c r="B17" s="157">
        <v>0</v>
      </c>
      <c r="C17" s="157">
        <v>0</v>
      </c>
      <c r="D17" s="150">
        <v>0</v>
      </c>
      <c r="E17" s="157">
        <v>0</v>
      </c>
      <c r="F17" s="157">
        <v>0</v>
      </c>
      <c r="G17" s="150">
        <v>0</v>
      </c>
      <c r="H17" s="157">
        <v>0</v>
      </c>
      <c r="I17" s="150">
        <v>0</v>
      </c>
      <c r="J17" s="157">
        <v>5.1559999999999997</v>
      </c>
      <c r="K17" s="157">
        <v>6.0289999999999999</v>
      </c>
      <c r="L17" s="150">
        <v>-0.1448001327</v>
      </c>
      <c r="M17" s="157">
        <v>64.468999999999994</v>
      </c>
      <c r="N17" s="157">
        <v>54.93</v>
      </c>
      <c r="O17" s="150">
        <v>0.17365738210000001</v>
      </c>
      <c r="P17" s="157">
        <v>70.134</v>
      </c>
      <c r="Q17" s="150">
        <v>0.104646401</v>
      </c>
      <c r="R17" s="157">
        <v>23236.149000000001</v>
      </c>
      <c r="S17" s="157">
        <v>16811.54</v>
      </c>
      <c r="T17" s="150">
        <v>0.3821546985</v>
      </c>
      <c r="U17" s="157">
        <v>233517.86900000001</v>
      </c>
      <c r="V17" s="157">
        <v>168363.91399999999</v>
      </c>
      <c r="W17" s="150">
        <v>0.38698289590000001</v>
      </c>
      <c r="X17" s="157">
        <v>253489.04300000001</v>
      </c>
      <c r="Y17" s="150">
        <v>0.39386030179999998</v>
      </c>
      <c r="Z17" s="157">
        <v>26618.14</v>
      </c>
      <c r="AA17" s="157">
        <v>21049.276000000002</v>
      </c>
      <c r="AB17" s="150">
        <v>0.2645632087</v>
      </c>
      <c r="AC17" s="157">
        <v>269977.45699999999</v>
      </c>
      <c r="AD17" s="157">
        <v>230575.29199999999</v>
      </c>
      <c r="AE17" s="150">
        <v>0.17088632810000001</v>
      </c>
      <c r="AF17" s="157">
        <v>302060.33899999998</v>
      </c>
      <c r="AG17" s="150">
        <v>0.15153868379999999</v>
      </c>
    </row>
    <row r="18" spans="1:33">
      <c r="A18" s="143" t="s">
        <v>22</v>
      </c>
      <c r="B18" s="157">
        <v>0</v>
      </c>
      <c r="C18" s="157">
        <v>0</v>
      </c>
      <c r="D18" s="150">
        <v>0</v>
      </c>
      <c r="E18" s="157">
        <v>0</v>
      </c>
      <c r="F18" s="157">
        <v>0</v>
      </c>
      <c r="G18" s="150">
        <v>0</v>
      </c>
      <c r="H18" s="157">
        <v>0</v>
      </c>
      <c r="I18" s="150">
        <v>0</v>
      </c>
      <c r="J18" s="157">
        <v>0</v>
      </c>
      <c r="K18" s="157">
        <v>0</v>
      </c>
      <c r="L18" s="150">
        <v>0</v>
      </c>
      <c r="M18" s="157">
        <v>0</v>
      </c>
      <c r="N18" s="157">
        <v>0</v>
      </c>
      <c r="O18" s="150">
        <v>0</v>
      </c>
      <c r="P18" s="157">
        <v>0</v>
      </c>
      <c r="Q18" s="150">
        <v>0</v>
      </c>
      <c r="R18" s="157">
        <v>96.992000000000004</v>
      </c>
      <c r="S18" s="157">
        <v>243.059</v>
      </c>
      <c r="T18" s="150">
        <v>-0.60095285509999996</v>
      </c>
      <c r="U18" s="157">
        <v>1620.894</v>
      </c>
      <c r="V18" s="157">
        <v>1102.1669999999999</v>
      </c>
      <c r="W18" s="150">
        <v>0.47064283359999998</v>
      </c>
      <c r="X18" s="157">
        <v>2091.4319999999998</v>
      </c>
      <c r="Y18" s="150">
        <v>0.72678221860000003</v>
      </c>
      <c r="Z18" s="157">
        <v>731.32799999999997</v>
      </c>
      <c r="AA18" s="157">
        <v>755.99699999999996</v>
      </c>
      <c r="AB18" s="150">
        <v>-3.2631081899999997E-2</v>
      </c>
      <c r="AC18" s="157">
        <v>7371.8429999999998</v>
      </c>
      <c r="AD18" s="157">
        <v>6478.8040000000001</v>
      </c>
      <c r="AE18" s="150">
        <v>0.1378401014</v>
      </c>
      <c r="AF18" s="157">
        <v>8951.7189999999991</v>
      </c>
      <c r="AG18" s="150">
        <v>0.1225522714</v>
      </c>
    </row>
    <row r="19" spans="1:33">
      <c r="A19" s="143" t="s">
        <v>23</v>
      </c>
      <c r="B19" s="157">
        <v>0</v>
      </c>
      <c r="C19" s="157">
        <v>0</v>
      </c>
      <c r="D19" s="150">
        <v>0</v>
      </c>
      <c r="E19" s="157">
        <v>0</v>
      </c>
      <c r="F19" s="157">
        <v>0</v>
      </c>
      <c r="G19" s="150">
        <v>0</v>
      </c>
      <c r="H19" s="157">
        <v>0</v>
      </c>
      <c r="I19" s="150">
        <v>0</v>
      </c>
      <c r="J19" s="157">
        <v>0</v>
      </c>
      <c r="K19" s="157">
        <v>0</v>
      </c>
      <c r="L19" s="150">
        <v>0</v>
      </c>
      <c r="M19" s="157">
        <v>0</v>
      </c>
      <c r="N19" s="157">
        <v>0</v>
      </c>
      <c r="O19" s="150">
        <v>0</v>
      </c>
      <c r="P19" s="157">
        <v>0</v>
      </c>
      <c r="Q19" s="150">
        <v>0</v>
      </c>
      <c r="R19" s="157">
        <v>1826.864</v>
      </c>
      <c r="S19" s="157">
        <v>4173.9340000000002</v>
      </c>
      <c r="T19" s="150">
        <v>-0.56231603090000004</v>
      </c>
      <c r="U19" s="157">
        <v>20871.243999999999</v>
      </c>
      <c r="V19" s="157">
        <v>37006.6</v>
      </c>
      <c r="W19" s="150">
        <v>-0.43601292740000003</v>
      </c>
      <c r="X19" s="157">
        <v>25802.32</v>
      </c>
      <c r="Y19" s="150">
        <v>-0.39850904269999998</v>
      </c>
      <c r="Z19" s="157">
        <v>0</v>
      </c>
      <c r="AA19" s="157">
        <v>0</v>
      </c>
      <c r="AB19" s="150">
        <v>0</v>
      </c>
      <c r="AC19" s="157">
        <v>0</v>
      </c>
      <c r="AD19" s="157">
        <v>0</v>
      </c>
      <c r="AE19" s="150">
        <v>0</v>
      </c>
      <c r="AF19" s="157">
        <v>0</v>
      </c>
      <c r="AG19" s="150">
        <v>0</v>
      </c>
    </row>
    <row r="20" spans="1:33">
      <c r="A20" s="143" t="s">
        <v>54</v>
      </c>
      <c r="B20" s="157">
        <v>0</v>
      </c>
      <c r="C20" s="157">
        <v>0</v>
      </c>
      <c r="D20" s="150">
        <v>0</v>
      </c>
      <c r="E20" s="157">
        <v>0</v>
      </c>
      <c r="F20" s="157">
        <v>0</v>
      </c>
      <c r="G20" s="150">
        <v>0</v>
      </c>
      <c r="H20" s="157">
        <v>0</v>
      </c>
      <c r="I20" s="150">
        <v>0</v>
      </c>
      <c r="J20" s="157">
        <v>468.255</v>
      </c>
      <c r="K20" s="157">
        <v>513.67200000000003</v>
      </c>
      <c r="L20" s="150">
        <v>-8.8416343499999994E-2</v>
      </c>
      <c r="M20" s="157">
        <v>4970.1819999999998</v>
      </c>
      <c r="N20" s="157">
        <v>5131.6170000000002</v>
      </c>
      <c r="O20" s="150">
        <v>-3.1458894899999999E-2</v>
      </c>
      <c r="P20" s="157">
        <v>5986.8940000000002</v>
      </c>
      <c r="Q20" s="150">
        <v>6.1211970999999997E-3</v>
      </c>
      <c r="R20" s="157">
        <v>11230.754999999999</v>
      </c>
      <c r="S20" s="157">
        <v>6414.6</v>
      </c>
      <c r="T20" s="150">
        <v>0.75081143019999996</v>
      </c>
      <c r="U20" s="157">
        <v>112458.753</v>
      </c>
      <c r="V20" s="157">
        <v>98193.351500000004</v>
      </c>
      <c r="W20" s="150">
        <v>0.14527869030000001</v>
      </c>
      <c r="X20" s="157">
        <v>135193.2175</v>
      </c>
      <c r="Y20" s="150">
        <v>0.13027030959999999</v>
      </c>
      <c r="Z20" s="157">
        <v>0</v>
      </c>
      <c r="AA20" s="157">
        <v>0</v>
      </c>
      <c r="AB20" s="150">
        <v>0</v>
      </c>
      <c r="AC20" s="157">
        <v>0</v>
      </c>
      <c r="AD20" s="157">
        <v>0</v>
      </c>
      <c r="AE20" s="150">
        <v>0</v>
      </c>
      <c r="AF20" s="157">
        <v>0</v>
      </c>
      <c r="AG20" s="150">
        <v>0</v>
      </c>
    </row>
    <row r="21" spans="1:33">
      <c r="A21" s="143" t="s">
        <v>55</v>
      </c>
      <c r="B21" s="157">
        <v>0</v>
      </c>
      <c r="C21" s="157">
        <v>0</v>
      </c>
      <c r="D21" s="150">
        <v>0</v>
      </c>
      <c r="E21" s="157">
        <v>0</v>
      </c>
      <c r="F21" s="157">
        <v>0</v>
      </c>
      <c r="G21" s="150">
        <v>0</v>
      </c>
      <c r="H21" s="157">
        <v>0</v>
      </c>
      <c r="I21" s="150">
        <v>0</v>
      </c>
      <c r="J21" s="157">
        <v>468.255</v>
      </c>
      <c r="K21" s="157">
        <v>513.67200000000003</v>
      </c>
      <c r="L21" s="150">
        <v>-8.8416343499999994E-2</v>
      </c>
      <c r="M21" s="157">
        <v>4970.1819999999998</v>
      </c>
      <c r="N21" s="157">
        <v>5131.6170000000002</v>
      </c>
      <c r="O21" s="150">
        <v>-3.1458894899999999E-2</v>
      </c>
      <c r="P21" s="157">
        <v>5986.8940000000002</v>
      </c>
      <c r="Q21" s="150">
        <v>6.1211970999999997E-3</v>
      </c>
      <c r="R21" s="157">
        <v>11230.754999999999</v>
      </c>
      <c r="S21" s="157">
        <v>6414.6</v>
      </c>
      <c r="T21" s="150">
        <v>0.75081143019999996</v>
      </c>
      <c r="U21" s="157">
        <v>112458.753</v>
      </c>
      <c r="V21" s="157">
        <v>98193.351500000004</v>
      </c>
      <c r="W21" s="150">
        <v>0.14527869030000001</v>
      </c>
      <c r="X21" s="157">
        <v>135193.2175</v>
      </c>
      <c r="Y21" s="150">
        <v>0.13027030959999999</v>
      </c>
      <c r="Z21" s="157">
        <v>0</v>
      </c>
      <c r="AA21" s="157">
        <v>0</v>
      </c>
      <c r="AB21" s="150">
        <v>0</v>
      </c>
      <c r="AC21" s="157">
        <v>0</v>
      </c>
      <c r="AD21" s="157">
        <v>0</v>
      </c>
      <c r="AE21" s="150">
        <v>0</v>
      </c>
      <c r="AF21" s="157">
        <v>0</v>
      </c>
      <c r="AG21" s="150">
        <v>0</v>
      </c>
    </row>
    <row r="22" spans="1:33">
      <c r="A22" s="148" t="s">
        <v>2</v>
      </c>
      <c r="B22" s="158">
        <v>16127.866</v>
      </c>
      <c r="C22" s="158">
        <v>16448.789000000001</v>
      </c>
      <c r="D22" s="151">
        <v>-1.9510433300000001E-2</v>
      </c>
      <c r="E22" s="158">
        <v>164506.66899999999</v>
      </c>
      <c r="F22" s="158">
        <v>164001.51800000001</v>
      </c>
      <c r="G22" s="151">
        <v>3.0801604999999999E-3</v>
      </c>
      <c r="H22" s="158">
        <v>197391.00399999999</v>
      </c>
      <c r="I22" s="151">
        <v>2.7574801000000001E-3</v>
      </c>
      <c r="J22" s="158">
        <v>15378.266</v>
      </c>
      <c r="K22" s="158">
        <v>16468.921999999999</v>
      </c>
      <c r="L22" s="151">
        <v>-6.6225099600000004E-2</v>
      </c>
      <c r="M22" s="158">
        <v>166531.66</v>
      </c>
      <c r="N22" s="158">
        <v>172810.46299999999</v>
      </c>
      <c r="O22" s="151">
        <v>-3.6333465500000002E-2</v>
      </c>
      <c r="P22" s="158">
        <v>199099.38699999999</v>
      </c>
      <c r="Q22" s="151">
        <v>-3.1679497899999999E-2</v>
      </c>
      <c r="R22" s="158">
        <v>405001.19900000002</v>
      </c>
      <c r="S22" s="158">
        <v>406415.12900000002</v>
      </c>
      <c r="T22" s="151">
        <v>-3.4790289999999998E-3</v>
      </c>
      <c r="U22" s="158">
        <v>4810186.9249999998</v>
      </c>
      <c r="V22" s="158">
        <v>3854835.375</v>
      </c>
      <c r="W22" s="151">
        <v>0.24783199719999999</v>
      </c>
      <c r="X22" s="158">
        <v>5593405.5520000001</v>
      </c>
      <c r="Y22" s="151">
        <v>0.26499839269999997</v>
      </c>
      <c r="Z22" s="158">
        <v>728445.29599999997</v>
      </c>
      <c r="AA22" s="158">
        <v>734306.80599999998</v>
      </c>
      <c r="AB22" s="151">
        <v>-7.9823719000000001E-3</v>
      </c>
      <c r="AC22" s="158">
        <v>7101349.727</v>
      </c>
      <c r="AD22" s="158">
        <v>6646121.4780000001</v>
      </c>
      <c r="AE22" s="151">
        <v>6.8495324799999993E-2</v>
      </c>
      <c r="AF22" s="158">
        <v>8524799.7609999999</v>
      </c>
      <c r="AG22" s="151">
        <v>7.0410668800000006E-2</v>
      </c>
    </row>
    <row r="23" spans="1:33">
      <c r="A23" s="143" t="s">
        <v>21</v>
      </c>
      <c r="B23" s="157">
        <v>0</v>
      </c>
      <c r="C23" s="157">
        <v>0</v>
      </c>
      <c r="D23" s="150">
        <v>0</v>
      </c>
      <c r="E23" s="157">
        <v>0</v>
      </c>
      <c r="F23" s="157">
        <v>0</v>
      </c>
      <c r="G23" s="150">
        <v>0</v>
      </c>
      <c r="H23" s="157">
        <v>0</v>
      </c>
      <c r="I23" s="150">
        <v>0</v>
      </c>
      <c r="J23" s="157">
        <v>0</v>
      </c>
      <c r="K23" s="157">
        <v>0</v>
      </c>
      <c r="L23" s="150">
        <v>0</v>
      </c>
      <c r="M23" s="157">
        <v>0</v>
      </c>
      <c r="N23" s="157">
        <v>0</v>
      </c>
      <c r="O23" s="150">
        <v>0</v>
      </c>
      <c r="P23" s="157">
        <v>0</v>
      </c>
      <c r="Q23" s="150">
        <v>0</v>
      </c>
      <c r="R23" s="157">
        <v>61365.385000000002</v>
      </c>
      <c r="S23" s="157">
        <v>38285.525000000001</v>
      </c>
      <c r="T23" s="150">
        <v>0.60283514459999998</v>
      </c>
      <c r="U23" s="157">
        <v>466963.196</v>
      </c>
      <c r="V23" s="157">
        <v>829522.42599999998</v>
      </c>
      <c r="W23" s="150">
        <v>-0.43706983519999998</v>
      </c>
      <c r="X23" s="157">
        <v>527669.73699999996</v>
      </c>
      <c r="Y23" s="150">
        <v>-0.50412182829999996</v>
      </c>
      <c r="Z23" s="157">
        <v>0</v>
      </c>
      <c r="AA23" s="157">
        <v>0</v>
      </c>
      <c r="AB23" s="150">
        <v>0</v>
      </c>
      <c r="AC23" s="157">
        <v>0</v>
      </c>
      <c r="AD23" s="157">
        <v>0</v>
      </c>
      <c r="AE23" s="150">
        <v>0</v>
      </c>
      <c r="AF23" s="157">
        <v>0</v>
      </c>
      <c r="AG23" s="150">
        <v>0</v>
      </c>
    </row>
    <row r="24" spans="1:33">
      <c r="A24" s="148" t="s">
        <v>79</v>
      </c>
      <c r="B24" s="158">
        <v>16127.866</v>
      </c>
      <c r="C24" s="158">
        <v>16448.789000000001</v>
      </c>
      <c r="D24" s="151">
        <v>-1.9510433300000001E-2</v>
      </c>
      <c r="E24" s="158">
        <v>164506.66899999999</v>
      </c>
      <c r="F24" s="158">
        <v>164001.51800000001</v>
      </c>
      <c r="G24" s="151">
        <v>3.0801604999999999E-3</v>
      </c>
      <c r="H24" s="158">
        <v>197391.00399999999</v>
      </c>
      <c r="I24" s="151">
        <v>2.7574801000000001E-3</v>
      </c>
      <c r="J24" s="158">
        <v>15378.266</v>
      </c>
      <c r="K24" s="158">
        <v>16468.921999999999</v>
      </c>
      <c r="L24" s="151">
        <v>-6.6225099600000004E-2</v>
      </c>
      <c r="M24" s="158">
        <v>166531.66</v>
      </c>
      <c r="N24" s="158">
        <v>172810.46299999999</v>
      </c>
      <c r="O24" s="151">
        <v>-3.6333465500000002E-2</v>
      </c>
      <c r="P24" s="158">
        <v>199099.38699999999</v>
      </c>
      <c r="Q24" s="151">
        <v>-3.1679497899999999E-2</v>
      </c>
      <c r="R24" s="158">
        <v>466366.58399999997</v>
      </c>
      <c r="S24" s="158">
        <v>444700.65399999998</v>
      </c>
      <c r="T24" s="151">
        <v>4.8720256699999999E-2</v>
      </c>
      <c r="U24" s="158">
        <v>5277150.1210000003</v>
      </c>
      <c r="V24" s="158">
        <v>4684357.801</v>
      </c>
      <c r="W24" s="151">
        <v>0.12654719070000001</v>
      </c>
      <c r="X24" s="158">
        <v>6121075.2889999999</v>
      </c>
      <c r="Y24" s="151">
        <v>0.11580729770000001</v>
      </c>
      <c r="Z24" s="158">
        <v>728445.29599999997</v>
      </c>
      <c r="AA24" s="158">
        <v>734306.80599999998</v>
      </c>
      <c r="AB24" s="151">
        <v>-7.9823719000000001E-3</v>
      </c>
      <c r="AC24" s="158">
        <v>7101349.727</v>
      </c>
      <c r="AD24" s="158">
        <v>6646121.4780000001</v>
      </c>
      <c r="AE24" s="151">
        <v>6.8495324799999993E-2</v>
      </c>
      <c r="AF24" s="158">
        <v>8524799.7609999999</v>
      </c>
      <c r="AG24" s="151">
        <v>7.0410668800000006E-2</v>
      </c>
    </row>
    <row r="26" spans="1:33">
      <c r="A26" s="111" t="s">
        <v>103</v>
      </c>
      <c r="B26" s="178">
        <f>SUM(B24,J24,R24,Z24)</f>
        <v>1226318.0119999999</v>
      </c>
      <c r="C26" s="178">
        <f>SUM(C24,K24,S24,AA24)</f>
        <v>1211925.1710000001</v>
      </c>
      <c r="D26" s="179">
        <f>((B26/C26)-1)*100</f>
        <v>1.18760145794512</v>
      </c>
      <c r="R26" s="179"/>
      <c r="Z26" s="179"/>
    </row>
    <row r="29" spans="1:33" ht="15">
      <c r="A29" s="144" t="s">
        <v>67</v>
      </c>
      <c r="B29" s="208" t="str">
        <f>A2</f>
        <v>Octubre 2022</v>
      </c>
      <c r="C29" s="209"/>
    </row>
    <row r="30" spans="1:33" ht="15">
      <c r="A30" s="144" t="s">
        <v>69</v>
      </c>
      <c r="B30" s="219" t="s">
        <v>72</v>
      </c>
      <c r="C30" s="220"/>
    </row>
    <row r="31" spans="1:33">
      <c r="A31" s="142" t="s">
        <v>68</v>
      </c>
      <c r="B31" s="177" t="s">
        <v>57</v>
      </c>
      <c r="C31" s="177" t="s">
        <v>58</v>
      </c>
    </row>
    <row r="32" spans="1:33">
      <c r="A32" s="144" t="s">
        <v>70</v>
      </c>
      <c r="B32" s="145"/>
      <c r="C32" s="145"/>
    </row>
    <row r="33" spans="1:4">
      <c r="A33" s="143" t="s">
        <v>12</v>
      </c>
      <c r="B33" s="146"/>
      <c r="C33" s="146">
        <v>1.52</v>
      </c>
    </row>
    <row r="34" spans="1:4">
      <c r="A34" s="143" t="s">
        <v>11</v>
      </c>
      <c r="B34" s="146">
        <v>241.2</v>
      </c>
      <c r="C34" s="146"/>
    </row>
    <row r="35" spans="1:4">
      <c r="A35" s="143" t="s">
        <v>78</v>
      </c>
      <c r="B35" s="146">
        <v>139.4</v>
      </c>
      <c r="C35" s="146">
        <v>487.64</v>
      </c>
    </row>
    <row r="36" spans="1:4">
      <c r="A36" s="143" t="s">
        <v>9</v>
      </c>
      <c r="B36" s="146">
        <v>603.1</v>
      </c>
      <c r="C36" s="146">
        <v>520.75</v>
      </c>
    </row>
    <row r="37" spans="1:4">
      <c r="A37" s="143" t="s">
        <v>8</v>
      </c>
      <c r="B37" s="146"/>
      <c r="C37" s="146">
        <v>482.64</v>
      </c>
    </row>
    <row r="38" spans="1:4">
      <c r="A38" s="143" t="s">
        <v>25</v>
      </c>
      <c r="B38" s="146">
        <v>822.9</v>
      </c>
      <c r="C38" s="146">
        <v>865.4</v>
      </c>
    </row>
    <row r="39" spans="1:4">
      <c r="A39" s="143" t="s">
        <v>24</v>
      </c>
      <c r="B39" s="146"/>
      <c r="C39" s="146"/>
    </row>
    <row r="40" spans="1:4">
      <c r="A40" s="143" t="s">
        <v>6</v>
      </c>
      <c r="B40" s="146"/>
      <c r="C40" s="146">
        <v>11.32</v>
      </c>
    </row>
    <row r="41" spans="1:4">
      <c r="A41" s="143" t="s">
        <v>5</v>
      </c>
      <c r="B41" s="146">
        <v>3.6074999999999999</v>
      </c>
      <c r="C41" s="146">
        <v>562.51499999999999</v>
      </c>
      <c r="D41" s="184"/>
    </row>
    <row r="42" spans="1:4">
      <c r="A42" s="143" t="s">
        <v>4</v>
      </c>
      <c r="B42" s="146">
        <v>210.44001499999999</v>
      </c>
      <c r="C42" s="146">
        <v>205.58794499999999</v>
      </c>
      <c r="D42" s="184"/>
    </row>
    <row r="43" spans="1:4">
      <c r="A43" s="143" t="s">
        <v>22</v>
      </c>
      <c r="B43" s="146">
        <v>2.13</v>
      </c>
      <c r="C43" s="146">
        <v>3.6960000000000002</v>
      </c>
    </row>
    <row r="44" spans="1:4">
      <c r="A44" s="143" t="s">
        <v>23</v>
      </c>
      <c r="B44" s="146">
        <v>11.523</v>
      </c>
      <c r="C44" s="146">
        <v>38.200000000000003</v>
      </c>
    </row>
    <row r="45" spans="1:4">
      <c r="A45" s="143" t="s">
        <v>54</v>
      </c>
      <c r="B45" s="146">
        <v>37.4</v>
      </c>
      <c r="C45" s="146"/>
    </row>
    <row r="46" spans="1:4">
      <c r="A46" s="143" t="s">
        <v>55</v>
      </c>
      <c r="B46" s="146">
        <v>37.4</v>
      </c>
      <c r="C46" s="146"/>
    </row>
    <row r="47" spans="1:4">
      <c r="A47" s="148" t="s">
        <v>2</v>
      </c>
      <c r="B47" s="187">
        <f>SUM(B33:B46)</f>
        <v>2109.1005150000001</v>
      </c>
      <c r="C47" s="187">
        <f>SUM(C33:C46)</f>
        <v>3179.2689449999998</v>
      </c>
    </row>
    <row r="48" spans="1:4" ht="15">
      <c r="A48"/>
      <c r="B48" s="188"/>
      <c r="C48"/>
      <c r="D48" s="183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11.436154810288878</v>
      </c>
      <c r="D52" s="181"/>
      <c r="F52" s="114" t="s">
        <v>10</v>
      </c>
      <c r="G52" s="115">
        <f>C35</f>
        <v>487.64</v>
      </c>
      <c r="H52" s="116">
        <f>G52/$G$62*100</f>
        <v>15.338117297906045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6.6094526556976358</v>
      </c>
      <c r="D53" s="181"/>
      <c r="F53" s="114" t="s">
        <v>9</v>
      </c>
      <c r="G53" s="115">
        <f>C36</f>
        <v>520.75</v>
      </c>
      <c r="H53" s="116">
        <f t="shared" ref="H53:H61" si="2">G53/$G$62*100</f>
        <v>16.379551683382356</v>
      </c>
    </row>
    <row r="54" spans="1:8">
      <c r="A54" s="114" t="s">
        <v>9</v>
      </c>
      <c r="B54" s="115">
        <f t="shared" si="1"/>
        <v>603.1</v>
      </c>
      <c r="C54" s="116">
        <f t="shared" si="0"/>
        <v>28.595128383437903</v>
      </c>
      <c r="D54" s="181"/>
      <c r="F54" s="114" t="s">
        <v>8</v>
      </c>
      <c r="G54" s="115">
        <f>C37</f>
        <v>482.64</v>
      </c>
      <c r="H54" s="116">
        <f t="shared" si="2"/>
        <v>15.180848438728106</v>
      </c>
    </row>
    <row r="55" spans="1:8">
      <c r="A55" s="114" t="s">
        <v>25</v>
      </c>
      <c r="B55" s="115">
        <f>B38</f>
        <v>822.9</v>
      </c>
      <c r="C55" s="116">
        <f t="shared" si="0"/>
        <v>39.016632642565163</v>
      </c>
      <c r="D55" s="181"/>
      <c r="F55" s="114" t="s">
        <v>25</v>
      </c>
      <c r="G55" s="115">
        <f>C38</f>
        <v>865.4</v>
      </c>
      <c r="H55" s="116">
        <f t="shared" si="2"/>
        <v>27.220094146517699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1"/>
      <c r="F56" s="114" t="s">
        <v>23</v>
      </c>
      <c r="G56" s="115">
        <f>C44</f>
        <v>38.200000000000003</v>
      </c>
      <c r="H56" s="116">
        <f t="shared" si="2"/>
        <v>1.2015340841194548</v>
      </c>
    </row>
    <row r="57" spans="1:8">
      <c r="A57" s="114" t="s">
        <v>23</v>
      </c>
      <c r="B57" s="115">
        <f>B44</f>
        <v>11.523</v>
      </c>
      <c r="C57" s="116">
        <f t="shared" si="0"/>
        <v>0.54634664958108925</v>
      </c>
      <c r="D57" s="181"/>
      <c r="F57" s="114" t="s">
        <v>12</v>
      </c>
      <c r="G57" s="116">
        <f>C33</f>
        <v>1.52</v>
      </c>
      <c r="H57" s="116">
        <f t="shared" si="2"/>
        <v>4.780973319009349E-2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1.773267785674975</v>
      </c>
      <c r="D58" s="181"/>
      <c r="F58" s="114" t="s">
        <v>6</v>
      </c>
      <c r="G58" s="115">
        <f>C40</f>
        <v>11.32</v>
      </c>
      <c r="H58" s="116">
        <f t="shared" si="2"/>
        <v>0.35605669717885413</v>
      </c>
    </row>
    <row r="59" spans="1:8">
      <c r="A59" s="114" t="s">
        <v>54</v>
      </c>
      <c r="B59" s="115">
        <f>B45</f>
        <v>37.4</v>
      </c>
      <c r="C59" s="116">
        <f t="shared" si="3"/>
        <v>1.773267785674975</v>
      </c>
      <c r="D59" s="181"/>
      <c r="F59" s="114" t="s">
        <v>5</v>
      </c>
      <c r="G59" s="115">
        <f>C41</f>
        <v>562.51499999999999</v>
      </c>
      <c r="H59" s="116">
        <f t="shared" si="2"/>
        <v>17.693218464095683</v>
      </c>
    </row>
    <row r="60" spans="1:8">
      <c r="A60" s="114" t="s">
        <v>5</v>
      </c>
      <c r="B60" s="115">
        <f>B41</f>
        <v>3.6074999999999999</v>
      </c>
      <c r="C60" s="116">
        <f t="shared" si="3"/>
        <v>0.17104447959418376</v>
      </c>
      <c r="D60" s="181"/>
      <c r="F60" s="114" t="s">
        <v>4</v>
      </c>
      <c r="G60" s="115">
        <f>C42</f>
        <v>205.58794499999999</v>
      </c>
      <c r="H60" s="116">
        <f t="shared" si="2"/>
        <v>6.4665163141773769</v>
      </c>
    </row>
    <row r="61" spans="1:8">
      <c r="A61" s="114" t="s">
        <v>4</v>
      </c>
      <c r="B61" s="115">
        <f>B42</f>
        <v>210.44001499999999</v>
      </c>
      <c r="C61" s="116">
        <f t="shared" si="3"/>
        <v>9.9777138881406024</v>
      </c>
      <c r="D61" s="181"/>
      <c r="F61" s="114" t="s">
        <v>22</v>
      </c>
      <c r="G61" s="115">
        <f>C43</f>
        <v>3.6960000000000002</v>
      </c>
      <c r="H61" s="116">
        <f t="shared" si="2"/>
        <v>0.1162531407043326</v>
      </c>
    </row>
    <row r="62" spans="1:8">
      <c r="A62" s="114" t="s">
        <v>22</v>
      </c>
      <c r="B62" s="115">
        <f>B43</f>
        <v>2.13</v>
      </c>
      <c r="C62" s="116">
        <f t="shared" si="3"/>
        <v>0.10099091934459081</v>
      </c>
      <c r="D62" s="181"/>
      <c r="F62" s="117" t="s">
        <v>20</v>
      </c>
      <c r="G62" s="118">
        <f>SUM(G52:G61)</f>
        <v>3179.2689449999998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2109.1005150000001</v>
      </c>
      <c r="C63" s="119">
        <f>SUM(C52:C62)</f>
        <v>100.00000000000001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1"/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5">
        <f>(C68/SUM($C$68:$C$78))*100</f>
        <v>0</v>
      </c>
      <c r="F68" s="114" t="s">
        <v>10</v>
      </c>
      <c r="G68" s="116">
        <f>SUM(Z10,Z14)/Z$24*100</f>
        <v>21.096967726180498</v>
      </c>
    </row>
    <row r="69" spans="1:7">
      <c r="A69" s="114" t="s">
        <v>10</v>
      </c>
      <c r="B69" s="116">
        <f t="shared" ref="B69:B78" si="4">C69/$C$80*100</f>
        <v>3.6760229054525131</v>
      </c>
      <c r="C69" s="115">
        <f>R10</f>
        <v>17166.285</v>
      </c>
      <c r="D69" s="185">
        <f t="shared" ref="D69:D78" si="5">(C69/SUM($C$68:$C$78))*100</f>
        <v>4.2321682090250876</v>
      </c>
      <c r="F69" s="114" t="s">
        <v>9</v>
      </c>
      <c r="G69" s="116">
        <f>Z11/Z$24*100</f>
        <v>5.0343928640044373</v>
      </c>
    </row>
    <row r="70" spans="1:7">
      <c r="A70" s="114" t="s">
        <v>9</v>
      </c>
      <c r="B70" s="116">
        <f t="shared" si="4"/>
        <v>9.1219724151846435</v>
      </c>
      <c r="C70" s="115">
        <f>R11</f>
        <v>42597.77</v>
      </c>
      <c r="D70" s="185">
        <f t="shared" si="5"/>
        <v>10.502035121132067</v>
      </c>
      <c r="F70" s="114" t="s">
        <v>8</v>
      </c>
      <c r="G70" s="116">
        <f>Z12/Z$24*100</f>
        <v>16.281088044804946</v>
      </c>
    </row>
    <row r="71" spans="1:7">
      <c r="A71" s="114" t="s">
        <v>25</v>
      </c>
      <c r="B71" s="116">
        <f t="shared" si="4"/>
        <v>63.668985213699258</v>
      </c>
      <c r="C71" s="115">
        <f>R13</f>
        <v>297321.31</v>
      </c>
      <c r="D71" s="185">
        <f>(C71/SUM($C$68:$C$78))*100</f>
        <v>73.301462491604497</v>
      </c>
      <c r="F71" s="114" t="s">
        <v>25</v>
      </c>
      <c r="G71" s="116">
        <f>Z13/Z$24*100</f>
        <v>41.923028218717469</v>
      </c>
    </row>
    <row r="72" spans="1:7">
      <c r="A72" s="114" t="s">
        <v>24</v>
      </c>
      <c r="B72" s="116">
        <f t="shared" si="4"/>
        <v>0.19373385508379232</v>
      </c>
      <c r="C72" s="115">
        <f>R14</f>
        <v>904.69799999999998</v>
      </c>
      <c r="D72" s="186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0.39120834293189233</v>
      </c>
      <c r="C73" s="115">
        <f>R19</f>
        <v>1826.864</v>
      </c>
      <c r="D73" s="185">
        <f t="shared" si="5"/>
        <v>0.45039423165888304</v>
      </c>
      <c r="F73" s="114" t="s">
        <v>12</v>
      </c>
      <c r="G73" s="116">
        <f>Z8/Z$24*100</f>
        <v>4.0308723470705209E-2</v>
      </c>
    </row>
    <row r="74" spans="1:7">
      <c r="A74" s="114" t="s">
        <v>55</v>
      </c>
      <c r="B74" s="116">
        <f t="shared" si="4"/>
        <v>2.4049765354312442</v>
      </c>
      <c r="C74" s="115">
        <f>R21</f>
        <v>11230.754999999999</v>
      </c>
      <c r="D74" s="185">
        <f t="shared" si="5"/>
        <v>2.7688253034567203</v>
      </c>
      <c r="F74" s="114" t="s">
        <v>6</v>
      </c>
      <c r="G74" s="116">
        <f>Z15/Z$24*100</f>
        <v>0.18533608596464873</v>
      </c>
    </row>
    <row r="75" spans="1:7">
      <c r="A75" s="114" t="s">
        <v>54</v>
      </c>
      <c r="B75" s="116">
        <f t="shared" si="4"/>
        <v>2.4049765354312442</v>
      </c>
      <c r="C75" s="115">
        <f>R20</f>
        <v>11230.754999999999</v>
      </c>
      <c r="D75" s="185">
        <f t="shared" si="5"/>
        <v>2.7688253034567203</v>
      </c>
      <c r="F75" s="114" t="s">
        <v>5</v>
      </c>
      <c r="G75" s="116">
        <f>Z16/Z$24*100</f>
        <v>11.684379797271696</v>
      </c>
    </row>
    <row r="76" spans="1:7">
      <c r="A76" s="114" t="s">
        <v>5</v>
      </c>
      <c r="B76" s="116">
        <f t="shared" si="4"/>
        <v>6.1094717635504833E-4</v>
      </c>
      <c r="C76" s="115">
        <f>R16</f>
        <v>2.8530000000000002</v>
      </c>
      <c r="D76" s="185">
        <f t="shared" si="5"/>
        <v>7.0337734112818097E-4</v>
      </c>
      <c r="F76" s="114" t="s">
        <v>4</v>
      </c>
      <c r="G76" s="116">
        <f>Z17/Z$24*100</f>
        <v>3.6541028058200267</v>
      </c>
    </row>
    <row r="77" spans="1:7">
      <c r="A77" s="114" t="s">
        <v>4</v>
      </c>
      <c r="B77" s="116">
        <f t="shared" si="4"/>
        <v>4.9758358292727589</v>
      </c>
      <c r="C77" s="115">
        <f>R17</f>
        <v>23236.149000000001</v>
      </c>
      <c r="D77" s="185">
        <f t="shared" si="5"/>
        <v>5.7286297587375534</v>
      </c>
      <c r="F77" s="114" t="s">
        <v>22</v>
      </c>
      <c r="G77" s="116">
        <f>Z18/Z$24*100</f>
        <v>0.10039573376557298</v>
      </c>
    </row>
    <row r="78" spans="1:7">
      <c r="A78" s="114" t="s">
        <v>22</v>
      </c>
      <c r="B78" s="116">
        <f t="shared" si="4"/>
        <v>2.0770062575895143E-2</v>
      </c>
      <c r="C78" s="115">
        <f>R18</f>
        <v>96.992000000000004</v>
      </c>
      <c r="D78" s="185">
        <f t="shared" si="5"/>
        <v>2.3912364202840704E-2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13.140907357760407</v>
      </c>
      <c r="C79" s="115">
        <f>R23</f>
        <v>61365.385000000002</v>
      </c>
      <c r="D79" s="181"/>
    </row>
    <row r="80" spans="1:7">
      <c r="A80" s="117" t="s">
        <v>20</v>
      </c>
      <c r="B80" s="119">
        <f>SUM(B68:B79)</f>
        <v>100</v>
      </c>
      <c r="C80" s="118">
        <f>SUM(C68:C79)</f>
        <v>466979.81599999999</v>
      </c>
      <c r="D80" s="181"/>
    </row>
    <row r="85" spans="1:26" ht="15">
      <c r="A85" s="144"/>
      <c r="B85" s="144" t="s">
        <v>69</v>
      </c>
      <c r="C85" s="222" t="s">
        <v>13</v>
      </c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/>
    </row>
    <row r="86" spans="1:26" ht="15">
      <c r="A86" s="144"/>
      <c r="B86" s="142" t="s">
        <v>67</v>
      </c>
      <c r="C86" s="189" t="s">
        <v>106</v>
      </c>
      <c r="D86" s="189" t="s">
        <v>107</v>
      </c>
      <c r="E86" s="189" t="s">
        <v>108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121</v>
      </c>
      <c r="S86" s="189" t="s">
        <v>122</v>
      </c>
      <c r="T86" s="189" t="s">
        <v>123</v>
      </c>
      <c r="U86" s="189" t="s">
        <v>124</v>
      </c>
      <c r="V86" s="189" t="s">
        <v>125</v>
      </c>
      <c r="W86" s="189" t="s">
        <v>126</v>
      </c>
      <c r="X86" s="189" t="s">
        <v>127</v>
      </c>
      <c r="Y86" s="189" t="s">
        <v>130</v>
      </c>
      <c r="Z86"/>
    </row>
    <row r="87" spans="1:26" ht="15">
      <c r="A87" s="144" t="s">
        <v>68</v>
      </c>
      <c r="B87" s="144" t="s">
        <v>70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/>
    </row>
    <row r="88" spans="1:26" ht="15">
      <c r="A88" s="216" t="s">
        <v>57</v>
      </c>
      <c r="B88" s="143" t="s">
        <v>11</v>
      </c>
      <c r="C88" s="146">
        <v>-0.63269200000000003</v>
      </c>
      <c r="D88" s="146">
        <v>-0.606159</v>
      </c>
      <c r="E88" s="146">
        <v>-0.651559</v>
      </c>
      <c r="F88" s="146">
        <v>-0.59136100000000003</v>
      </c>
      <c r="G88" s="146">
        <v>-1.103416</v>
      </c>
      <c r="H88" s="146">
        <v>41.953423999999998</v>
      </c>
      <c r="I88" s="146">
        <v>9.292719</v>
      </c>
      <c r="J88" s="146">
        <v>-0.72875599999999996</v>
      </c>
      <c r="K88" s="146">
        <v>-0.54997399999999996</v>
      </c>
      <c r="L88" s="146">
        <v>-0.58327700000000005</v>
      </c>
      <c r="M88" s="146">
        <v>-0.582067</v>
      </c>
      <c r="N88" s="146">
        <v>-0.61424800000000002</v>
      </c>
      <c r="O88" s="146">
        <v>-0.627467</v>
      </c>
      <c r="P88" s="146">
        <v>-0.58012699999999995</v>
      </c>
      <c r="Q88" s="146">
        <v>-0.66887300000000005</v>
      </c>
      <c r="R88" s="146">
        <v>-0.60498099999999999</v>
      </c>
      <c r="S88" s="146">
        <v>-1.0302370000000001</v>
      </c>
      <c r="T88" s="146">
        <v>29.141857000000002</v>
      </c>
      <c r="U88" s="146">
        <v>50.189168000000002</v>
      </c>
      <c r="V88" s="146">
        <v>5.2653150000000002</v>
      </c>
      <c r="W88" s="146">
        <v>-0.60380599999999995</v>
      </c>
      <c r="X88" s="146">
        <v>-0.613232</v>
      </c>
      <c r="Y88" s="146">
        <v>0</v>
      </c>
      <c r="Z88"/>
    </row>
    <row r="89" spans="1:26" ht="15">
      <c r="A89" s="217"/>
      <c r="B89" s="143" t="s">
        <v>78</v>
      </c>
      <c r="C89" s="146">
        <v>27.196950000000001</v>
      </c>
      <c r="D89" s="146">
        <v>18.940327</v>
      </c>
      <c r="E89" s="146">
        <v>14.238515</v>
      </c>
      <c r="F89" s="146">
        <v>18.127455999999999</v>
      </c>
      <c r="G89" s="146">
        <v>20.114982000000001</v>
      </c>
      <c r="H89" s="146">
        <v>40.523569999999999</v>
      </c>
      <c r="I89" s="146">
        <v>56.775785999999997</v>
      </c>
      <c r="J89" s="146">
        <v>61.091033000000003</v>
      </c>
      <c r="K89" s="146">
        <v>52.802481999999998</v>
      </c>
      <c r="L89" s="146">
        <v>40.707250000000002</v>
      </c>
      <c r="M89" s="146">
        <v>21.566172999999999</v>
      </c>
      <c r="N89" s="146">
        <v>26.795767999999999</v>
      </c>
      <c r="O89" s="146">
        <v>31.928764000000001</v>
      </c>
      <c r="P89" s="146">
        <v>27.285081000000002</v>
      </c>
      <c r="Q89" s="146">
        <v>26.627289999999999</v>
      </c>
      <c r="R89" s="146">
        <v>38.583128000000002</v>
      </c>
      <c r="S89" s="146">
        <v>43.134320000000002</v>
      </c>
      <c r="T89" s="146">
        <v>52.984195999999997</v>
      </c>
      <c r="U89" s="146">
        <v>59.042844000000002</v>
      </c>
      <c r="V89" s="146">
        <v>60.455578000000003</v>
      </c>
      <c r="W89" s="146">
        <v>32.713324999999998</v>
      </c>
      <c r="X89" s="146">
        <v>17.166284999999998</v>
      </c>
      <c r="Y89" s="146">
        <v>4.7590880000000002</v>
      </c>
      <c r="Z89"/>
    </row>
    <row r="90" spans="1:26" ht="15">
      <c r="A90" s="217"/>
      <c r="B90" s="143" t="s">
        <v>9</v>
      </c>
      <c r="C90" s="146">
        <v>18.542487000000001</v>
      </c>
      <c r="D90" s="146">
        <v>7.6657599999999997</v>
      </c>
      <c r="E90" s="146">
        <v>13.135553</v>
      </c>
      <c r="F90" s="146">
        <v>8.3072920000000003</v>
      </c>
      <c r="G90" s="146">
        <v>7.7047420000000004</v>
      </c>
      <c r="H90" s="146">
        <v>18.862037999999998</v>
      </c>
      <c r="I90" s="146">
        <v>27.349309999999999</v>
      </c>
      <c r="J90" s="146">
        <v>38.115422000000002</v>
      </c>
      <c r="K90" s="146">
        <v>38.682189000000001</v>
      </c>
      <c r="L90" s="146">
        <v>18.871455999999998</v>
      </c>
      <c r="M90" s="146">
        <v>15.48057</v>
      </c>
      <c r="N90" s="146">
        <v>11.539384</v>
      </c>
      <c r="O90" s="146">
        <v>14.287936</v>
      </c>
      <c r="P90" s="146">
        <v>12.016398000000001</v>
      </c>
      <c r="Q90" s="146">
        <v>16.590530000000001</v>
      </c>
      <c r="R90" s="146">
        <v>16.923745</v>
      </c>
      <c r="S90" s="146">
        <v>26.908525000000001</v>
      </c>
      <c r="T90" s="146">
        <v>32.914068</v>
      </c>
      <c r="U90" s="146">
        <v>59.770274999999998</v>
      </c>
      <c r="V90" s="146">
        <v>67.567459999999997</v>
      </c>
      <c r="W90" s="146">
        <v>56.444971000000002</v>
      </c>
      <c r="X90" s="146">
        <v>42.597769999999997</v>
      </c>
      <c r="Y90" s="146">
        <v>10.133226000000001</v>
      </c>
      <c r="Z90"/>
    </row>
    <row r="91" spans="1:26" ht="15">
      <c r="A91" s="217"/>
      <c r="B91" s="143" t="s">
        <v>25</v>
      </c>
      <c r="C91" s="146">
        <v>260.27204499999999</v>
      </c>
      <c r="D91" s="146">
        <v>187.465463</v>
      </c>
      <c r="E91" s="146">
        <v>217.47864799999999</v>
      </c>
      <c r="F91" s="146">
        <v>208.53059300000001</v>
      </c>
      <c r="G91" s="146">
        <v>203.81251599999999</v>
      </c>
      <c r="H91" s="146">
        <v>240.61117400000001</v>
      </c>
      <c r="I91" s="146">
        <v>408.79444899999999</v>
      </c>
      <c r="J91" s="146">
        <v>437.91378300000002</v>
      </c>
      <c r="K91" s="146">
        <v>367.24080800000002</v>
      </c>
      <c r="L91" s="146">
        <v>312.10340600000001</v>
      </c>
      <c r="M91" s="146">
        <v>305.43751500000002</v>
      </c>
      <c r="N91" s="146">
        <v>332.59120100000001</v>
      </c>
      <c r="O91" s="146">
        <v>350.08292499999999</v>
      </c>
      <c r="P91" s="146">
        <v>298.62258500000002</v>
      </c>
      <c r="Q91" s="146">
        <v>331.00133499999998</v>
      </c>
      <c r="R91" s="146">
        <v>307.42903200000001</v>
      </c>
      <c r="S91" s="146">
        <v>317.55595499999998</v>
      </c>
      <c r="T91" s="146">
        <v>367.58788099999998</v>
      </c>
      <c r="U91" s="146">
        <v>396.959791</v>
      </c>
      <c r="V91" s="146">
        <v>456.377207</v>
      </c>
      <c r="W91" s="146">
        <v>377.07382699999999</v>
      </c>
      <c r="X91" s="146">
        <v>297.32130999999998</v>
      </c>
      <c r="Y91" s="146">
        <v>120.761562</v>
      </c>
      <c r="Z91"/>
    </row>
    <row r="92" spans="1:26" ht="15">
      <c r="A92" s="217"/>
      <c r="B92" s="143" t="s">
        <v>24</v>
      </c>
      <c r="C92" s="146">
        <v>0</v>
      </c>
      <c r="D92" s="146">
        <v>0</v>
      </c>
      <c r="E92" s="146">
        <v>0</v>
      </c>
      <c r="F92" s="146">
        <v>0</v>
      </c>
      <c r="G92" s="146">
        <v>1.1771689999999999</v>
      </c>
      <c r="H92" s="146">
        <v>0.95765299999999998</v>
      </c>
      <c r="I92" s="146">
        <v>2.9751430000000001</v>
      </c>
      <c r="J92" s="146">
        <v>3.834768</v>
      </c>
      <c r="K92" s="146">
        <v>2.0925159999999998</v>
      </c>
      <c r="L92" s="146">
        <v>0.98881300000000005</v>
      </c>
      <c r="M92" s="146">
        <v>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v>0</v>
      </c>
      <c r="U92" s="146">
        <v>2.6835830000000001</v>
      </c>
      <c r="V92" s="146">
        <v>4.441192</v>
      </c>
      <c r="W92" s="146">
        <v>4.0858239999999997</v>
      </c>
      <c r="X92" s="146">
        <v>0.904698</v>
      </c>
      <c r="Y92" s="146">
        <v>0</v>
      </c>
      <c r="Z92"/>
    </row>
    <row r="93" spans="1:26" ht="15">
      <c r="A93" s="217"/>
      <c r="B93" s="143" t="s">
        <v>5</v>
      </c>
      <c r="C93" s="146">
        <v>0.27796300000000002</v>
      </c>
      <c r="D93" s="146">
        <v>0.15948300000000001</v>
      </c>
      <c r="E93" s="146">
        <v>0.30611500000000003</v>
      </c>
      <c r="F93" s="146">
        <v>0.29466900000000001</v>
      </c>
      <c r="G93" s="146">
        <v>0.189554</v>
      </c>
      <c r="H93" s="146">
        <v>9.4216999999999995E-2</v>
      </c>
      <c r="I93" s="146">
        <v>0.106017</v>
      </c>
      <c r="J93" s="146">
        <v>0.20128099999999999</v>
      </c>
      <c r="K93" s="146">
        <v>0.27444800000000003</v>
      </c>
      <c r="L93" s="146">
        <v>0.26974799999999999</v>
      </c>
      <c r="M93" s="146">
        <v>6.1364000000000002E-2</v>
      </c>
      <c r="N93" s="146">
        <v>0.10125000000000001</v>
      </c>
      <c r="O93" s="146">
        <v>0.215638</v>
      </c>
      <c r="P93" s="146">
        <v>0.22824</v>
      </c>
      <c r="Q93" s="146">
        <v>0.33845999999999998</v>
      </c>
      <c r="R93" s="146">
        <v>0.239788</v>
      </c>
      <c r="S93" s="146">
        <v>0.16079099999999999</v>
      </c>
      <c r="T93" s="146">
        <v>6.1122000000000003E-2</v>
      </c>
      <c r="U93" s="146">
        <v>3.0289E-2</v>
      </c>
      <c r="V93" s="146">
        <v>3.2219999999999999E-2</v>
      </c>
      <c r="W93" s="146">
        <v>1.2760000000000001E-2</v>
      </c>
      <c r="X93" s="146">
        <v>2.8530000000000001E-3</v>
      </c>
      <c r="Y93" s="146">
        <v>3.4130000000000001E-2</v>
      </c>
      <c r="Z93"/>
    </row>
    <row r="94" spans="1:26" ht="15">
      <c r="A94" s="217"/>
      <c r="B94" s="143" t="s">
        <v>4</v>
      </c>
      <c r="C94" s="146">
        <v>8.5897050000000004</v>
      </c>
      <c r="D94" s="146">
        <v>9.5130970000000001</v>
      </c>
      <c r="E94" s="146">
        <v>13.295218999999999</v>
      </c>
      <c r="F94" s="146">
        <v>14.71546</v>
      </c>
      <c r="G94" s="146">
        <v>22.208131999999999</v>
      </c>
      <c r="H94" s="146">
        <v>21.169705</v>
      </c>
      <c r="I94" s="146">
        <v>22.969892999999999</v>
      </c>
      <c r="J94" s="146">
        <v>21.414781000000001</v>
      </c>
      <c r="K94" s="146">
        <v>17.676382</v>
      </c>
      <c r="L94" s="146">
        <v>16.811540000000001</v>
      </c>
      <c r="M94" s="146">
        <v>8.8178920000000005</v>
      </c>
      <c r="N94" s="146">
        <v>11.153282000000001</v>
      </c>
      <c r="O94" s="146">
        <v>14.434640999999999</v>
      </c>
      <c r="P94" s="146">
        <v>17.856766</v>
      </c>
      <c r="Q94" s="146">
        <v>13.718254</v>
      </c>
      <c r="R94" s="146">
        <v>22.081204</v>
      </c>
      <c r="S94" s="146">
        <v>27.327051999999998</v>
      </c>
      <c r="T94" s="146">
        <v>29.225902000000001</v>
      </c>
      <c r="U94" s="146">
        <v>33.049942999999999</v>
      </c>
      <c r="V94" s="146">
        <v>28.239802000000001</v>
      </c>
      <c r="W94" s="146">
        <v>24.348155999999999</v>
      </c>
      <c r="X94" s="146">
        <v>23.236149000000001</v>
      </c>
      <c r="Y94" s="146">
        <v>9.3360599999999998</v>
      </c>
      <c r="Z94"/>
    </row>
    <row r="95" spans="1:26" ht="15">
      <c r="A95" s="217"/>
      <c r="B95" s="143" t="s">
        <v>22</v>
      </c>
      <c r="C95" s="146">
        <v>5.7757000000000003E-2</v>
      </c>
      <c r="D95" s="146">
        <v>7.6887999999999998E-2</v>
      </c>
      <c r="E95" s="146">
        <v>0.13778699999999999</v>
      </c>
      <c r="F95" s="146">
        <v>0.10574</v>
      </c>
      <c r="G95" s="146">
        <v>0.118546</v>
      </c>
      <c r="H95" s="146">
        <v>0.10044400000000001</v>
      </c>
      <c r="I95" s="146">
        <v>9.6151E-2</v>
      </c>
      <c r="J95" s="146">
        <v>8.4413000000000002E-2</v>
      </c>
      <c r="K95" s="146">
        <v>8.1381999999999996E-2</v>
      </c>
      <c r="L95" s="146">
        <v>0.243059</v>
      </c>
      <c r="M95" s="146">
        <v>0.24007600000000001</v>
      </c>
      <c r="N95" s="146">
        <v>0.230462</v>
      </c>
      <c r="O95" s="146">
        <v>0.285244</v>
      </c>
      <c r="P95" s="146">
        <v>0.28095199999999998</v>
      </c>
      <c r="Q95" s="146">
        <v>0.29118100000000002</v>
      </c>
      <c r="R95" s="146">
        <v>0.16531499999999999</v>
      </c>
      <c r="S95" s="146">
        <v>0.166327</v>
      </c>
      <c r="T95" s="146">
        <v>0.111179</v>
      </c>
      <c r="U95" s="146">
        <v>9.5128000000000004E-2</v>
      </c>
      <c r="V95" s="146">
        <v>5.6752999999999998E-2</v>
      </c>
      <c r="W95" s="146">
        <v>7.1822999999999998E-2</v>
      </c>
      <c r="X95" s="146">
        <v>9.6991999999999995E-2</v>
      </c>
      <c r="Y95" s="146">
        <v>4.8500000000000001E-2</v>
      </c>
      <c r="Z95"/>
    </row>
    <row r="96" spans="1:26" ht="15">
      <c r="A96" s="217"/>
      <c r="B96" s="143" t="s">
        <v>23</v>
      </c>
      <c r="C96" s="146">
        <v>4.0659429999999999</v>
      </c>
      <c r="D96" s="146">
        <v>3.641699</v>
      </c>
      <c r="E96" s="146">
        <v>3.9954990000000001</v>
      </c>
      <c r="F96" s="146">
        <v>3.2208809999999999</v>
      </c>
      <c r="G96" s="146">
        <v>2.5715810000000001</v>
      </c>
      <c r="H96" s="146">
        <v>3.062163</v>
      </c>
      <c r="I96" s="146">
        <v>4.0856940000000002</v>
      </c>
      <c r="J96" s="146">
        <v>3.9309270000000001</v>
      </c>
      <c r="K96" s="146">
        <v>4.2582789999999999</v>
      </c>
      <c r="L96" s="146">
        <v>4.173934</v>
      </c>
      <c r="M96" s="146">
        <v>1.4121680000000001</v>
      </c>
      <c r="N96" s="146">
        <v>3.5189080000000001</v>
      </c>
      <c r="O96" s="146">
        <v>3.4010050000000001</v>
      </c>
      <c r="P96" s="146">
        <v>3.0684070000000001</v>
      </c>
      <c r="Q96" s="146">
        <v>3.993204</v>
      </c>
      <c r="R96" s="146">
        <v>1.8386769999999999</v>
      </c>
      <c r="S96" s="146">
        <v>1.9461250000000001</v>
      </c>
      <c r="T96" s="146">
        <v>1.5363420000000001</v>
      </c>
      <c r="U96" s="146">
        <v>1.1719729999999999</v>
      </c>
      <c r="V96" s="146">
        <v>5.1333999999999998E-2</v>
      </c>
      <c r="W96" s="146">
        <v>2.0373130000000002</v>
      </c>
      <c r="X96" s="146">
        <v>1.826864</v>
      </c>
      <c r="Y96" s="146">
        <v>1.1676899999999999</v>
      </c>
      <c r="Z96"/>
    </row>
    <row r="97" spans="1:26" ht="15">
      <c r="A97" s="217"/>
      <c r="B97" s="143" t="s">
        <v>54</v>
      </c>
      <c r="C97" s="146">
        <v>7.1515275000000003</v>
      </c>
      <c r="D97" s="146">
        <v>10.723705000000001</v>
      </c>
      <c r="E97" s="146">
        <v>10.093087499999999</v>
      </c>
      <c r="F97" s="146">
        <v>7.5393055000000002</v>
      </c>
      <c r="G97" s="146">
        <v>6.0236640000000001</v>
      </c>
      <c r="H97" s="146">
        <v>13.481942</v>
      </c>
      <c r="I97" s="146">
        <v>11.473026000000001</v>
      </c>
      <c r="J97" s="146">
        <v>13.3199895</v>
      </c>
      <c r="K97" s="146">
        <v>11.972504499999999</v>
      </c>
      <c r="L97" s="146">
        <v>6.4146000000000001</v>
      </c>
      <c r="M97" s="146">
        <v>13.8683715</v>
      </c>
      <c r="N97" s="146">
        <v>8.8660929999999993</v>
      </c>
      <c r="O97" s="146">
        <v>9.8711500000000001</v>
      </c>
      <c r="P97" s="146">
        <v>5.4414375000000001</v>
      </c>
      <c r="Q97" s="146">
        <v>9.6633200000000006</v>
      </c>
      <c r="R97" s="146">
        <v>7.8050050000000004</v>
      </c>
      <c r="S97" s="146">
        <v>11.846121999999999</v>
      </c>
      <c r="T97" s="146">
        <v>13.186323</v>
      </c>
      <c r="U97" s="146">
        <v>16.1606655</v>
      </c>
      <c r="V97" s="146">
        <v>13.6723105</v>
      </c>
      <c r="W97" s="146">
        <v>13.5816645</v>
      </c>
      <c r="X97" s="146">
        <v>11.230755</v>
      </c>
      <c r="Y97" s="146">
        <v>5.2165499999999998</v>
      </c>
      <c r="Z97"/>
    </row>
    <row r="98" spans="1:26" ht="15">
      <c r="A98" s="217"/>
      <c r="B98" s="143" t="s">
        <v>55</v>
      </c>
      <c r="C98" s="146">
        <v>7.1515275000000003</v>
      </c>
      <c r="D98" s="146">
        <v>10.723705000000001</v>
      </c>
      <c r="E98" s="146">
        <v>10.093087499999999</v>
      </c>
      <c r="F98" s="146">
        <v>7.5393055000000002</v>
      </c>
      <c r="G98" s="146">
        <v>6.0236640000000001</v>
      </c>
      <c r="H98" s="146">
        <v>13.481942</v>
      </c>
      <c r="I98" s="146">
        <v>11.473026000000001</v>
      </c>
      <c r="J98" s="146">
        <v>13.3199895</v>
      </c>
      <c r="K98" s="146">
        <v>11.972504499999999</v>
      </c>
      <c r="L98" s="146">
        <v>6.4146000000000001</v>
      </c>
      <c r="M98" s="146">
        <v>13.8683715</v>
      </c>
      <c r="N98" s="146">
        <v>8.8660929999999993</v>
      </c>
      <c r="O98" s="146">
        <v>9.8711500000000001</v>
      </c>
      <c r="P98" s="146">
        <v>5.4414375000000001</v>
      </c>
      <c r="Q98" s="146">
        <v>9.6633200000000006</v>
      </c>
      <c r="R98" s="146">
        <v>7.8050050000000004</v>
      </c>
      <c r="S98" s="146">
        <v>11.846121999999999</v>
      </c>
      <c r="T98" s="146">
        <v>13.186323</v>
      </c>
      <c r="U98" s="146">
        <v>16.1606655</v>
      </c>
      <c r="V98" s="146">
        <v>13.6723105</v>
      </c>
      <c r="W98" s="146">
        <v>13.5816645</v>
      </c>
      <c r="X98" s="146">
        <v>11.230755</v>
      </c>
      <c r="Y98" s="146">
        <v>5.2165499999999998</v>
      </c>
      <c r="Z98"/>
    </row>
    <row r="99" spans="1:26" ht="15">
      <c r="A99" s="217"/>
      <c r="B99" s="148" t="s">
        <v>2</v>
      </c>
      <c r="C99" s="149">
        <v>332.67321299999998</v>
      </c>
      <c r="D99" s="149">
        <v>248.303968</v>
      </c>
      <c r="E99" s="149">
        <v>282.12195200000002</v>
      </c>
      <c r="F99" s="149">
        <v>267.78934099999998</v>
      </c>
      <c r="G99" s="149">
        <v>268.84113400000001</v>
      </c>
      <c r="H99" s="149">
        <v>394.298272</v>
      </c>
      <c r="I99" s="149">
        <v>555.39121399999999</v>
      </c>
      <c r="J99" s="149">
        <v>592.49763099999996</v>
      </c>
      <c r="K99" s="149">
        <v>506.50352099999998</v>
      </c>
      <c r="L99" s="149">
        <v>406.41512899999998</v>
      </c>
      <c r="M99" s="149">
        <v>380.170434</v>
      </c>
      <c r="N99" s="149">
        <v>403.04819300000003</v>
      </c>
      <c r="O99" s="149">
        <v>433.75098600000001</v>
      </c>
      <c r="P99" s="149">
        <v>369.66117700000001</v>
      </c>
      <c r="Q99" s="149">
        <v>411.21802100000002</v>
      </c>
      <c r="R99" s="149">
        <v>402.265918</v>
      </c>
      <c r="S99" s="149">
        <v>439.86110200000002</v>
      </c>
      <c r="T99" s="149">
        <v>539.93519300000003</v>
      </c>
      <c r="U99" s="149">
        <v>635.31432500000005</v>
      </c>
      <c r="V99" s="149">
        <v>649.83148200000005</v>
      </c>
      <c r="W99" s="149">
        <v>523.34752200000003</v>
      </c>
      <c r="X99" s="149">
        <v>405.00119899999999</v>
      </c>
      <c r="Y99" s="149">
        <v>156.67335600000001</v>
      </c>
      <c r="Z99"/>
    </row>
    <row r="100" spans="1:26" ht="15">
      <c r="A100" s="217"/>
      <c r="B100" s="143" t="s">
        <v>21</v>
      </c>
      <c r="C100" s="146">
        <v>138.25041200000001</v>
      </c>
      <c r="D100" s="146">
        <v>113.412009</v>
      </c>
      <c r="E100" s="146">
        <v>127.985573</v>
      </c>
      <c r="F100" s="146">
        <v>111.02179700000001</v>
      </c>
      <c r="G100" s="146">
        <v>111.601713</v>
      </c>
      <c r="H100" s="146">
        <v>65.429468</v>
      </c>
      <c r="I100" s="146">
        <v>45.879221000000001</v>
      </c>
      <c r="J100" s="146">
        <v>40.107311000000003</v>
      </c>
      <c r="K100" s="146">
        <v>37.549396999999999</v>
      </c>
      <c r="L100" s="146">
        <v>38.285525</v>
      </c>
      <c r="M100" s="146">
        <v>28.435708999999999</v>
      </c>
      <c r="N100" s="146">
        <v>32.270831999999999</v>
      </c>
      <c r="O100" s="146">
        <v>31.159338999999999</v>
      </c>
      <c r="P100" s="146">
        <v>27.502502</v>
      </c>
      <c r="Q100" s="146">
        <v>30.689281000000001</v>
      </c>
      <c r="R100" s="146">
        <v>33.641058999999998</v>
      </c>
      <c r="S100" s="146">
        <v>32.047055999999998</v>
      </c>
      <c r="T100" s="146">
        <v>35.225064000000003</v>
      </c>
      <c r="U100" s="146">
        <v>67.033137999999994</v>
      </c>
      <c r="V100" s="146">
        <v>77.653036</v>
      </c>
      <c r="W100" s="146">
        <v>70.647335999999996</v>
      </c>
      <c r="X100" s="146">
        <v>61.365385000000003</v>
      </c>
      <c r="Y100" s="146">
        <v>22.972899999999999</v>
      </c>
      <c r="Z100"/>
    </row>
    <row r="101" spans="1:26" ht="15">
      <c r="A101" s="218"/>
      <c r="B101" s="148" t="s">
        <v>79</v>
      </c>
      <c r="C101" s="149">
        <v>470.92362500000002</v>
      </c>
      <c r="D101" s="149">
        <v>361.71597700000001</v>
      </c>
      <c r="E101" s="149">
        <v>410.10752500000001</v>
      </c>
      <c r="F101" s="149">
        <v>378.81113800000003</v>
      </c>
      <c r="G101" s="149">
        <v>380.44284699999997</v>
      </c>
      <c r="H101" s="149">
        <v>459.72773999999998</v>
      </c>
      <c r="I101" s="149">
        <v>601.27043500000002</v>
      </c>
      <c r="J101" s="149">
        <v>632.60494200000005</v>
      </c>
      <c r="K101" s="149">
        <v>544.05291799999998</v>
      </c>
      <c r="L101" s="149">
        <v>444.70065399999999</v>
      </c>
      <c r="M101" s="149">
        <v>408.60614299999997</v>
      </c>
      <c r="N101" s="149">
        <v>435.31902500000001</v>
      </c>
      <c r="O101" s="149">
        <v>464.910325</v>
      </c>
      <c r="P101" s="149">
        <v>397.163679</v>
      </c>
      <c r="Q101" s="149">
        <v>441.90730200000002</v>
      </c>
      <c r="R101" s="149">
        <v>435.90697699999998</v>
      </c>
      <c r="S101" s="149">
        <v>471.90815800000001</v>
      </c>
      <c r="T101" s="149">
        <v>575.160257</v>
      </c>
      <c r="U101" s="149">
        <v>702.34746299999995</v>
      </c>
      <c r="V101" s="149">
        <v>727.48451799999998</v>
      </c>
      <c r="W101" s="149">
        <v>593.99485800000002</v>
      </c>
      <c r="X101" s="149">
        <v>466.36658399999999</v>
      </c>
      <c r="Y101" s="149">
        <v>179.64625599999999</v>
      </c>
      <c r="Z101"/>
    </row>
    <row r="102" spans="1:26" ht="15">
      <c r="A102" s="221" t="s">
        <v>58</v>
      </c>
      <c r="B102" s="143" t="s">
        <v>12</v>
      </c>
      <c r="C102" s="146">
        <v>0.29762100000000002</v>
      </c>
      <c r="D102" s="146">
        <v>0.25852999999999998</v>
      </c>
      <c r="E102" s="146">
        <v>0.28226499999999999</v>
      </c>
      <c r="F102" s="146">
        <v>0.13780600000000001</v>
      </c>
      <c r="G102" s="146">
        <v>0.26783600000000002</v>
      </c>
      <c r="H102" s="146">
        <v>0.28217700000000001</v>
      </c>
      <c r="I102" s="146">
        <v>0.28972599999999998</v>
      </c>
      <c r="J102" s="146">
        <v>0.28065899999999999</v>
      </c>
      <c r="K102" s="146">
        <v>0.27751999999999999</v>
      </c>
      <c r="L102" s="146">
        <v>0.28250700000000001</v>
      </c>
      <c r="M102" s="146">
        <v>0.23125799999999999</v>
      </c>
      <c r="N102" s="146">
        <v>0.15536</v>
      </c>
      <c r="O102" s="146">
        <v>0.294213</v>
      </c>
      <c r="P102" s="146">
        <v>0.25058200000000003</v>
      </c>
      <c r="Q102" s="146">
        <v>0.29644599999999999</v>
      </c>
      <c r="R102" s="146">
        <v>0.27407199999999998</v>
      </c>
      <c r="S102" s="146">
        <v>0.29880499999999999</v>
      </c>
      <c r="T102" s="146">
        <v>0.28138299999999999</v>
      </c>
      <c r="U102" s="146">
        <v>0.29436099999999998</v>
      </c>
      <c r="V102" s="146">
        <v>0.29274699999999998</v>
      </c>
      <c r="W102" s="146">
        <v>0.28892499999999999</v>
      </c>
      <c r="X102" s="146">
        <v>0.29362700000000003</v>
      </c>
      <c r="Y102" s="146">
        <v>0</v>
      </c>
      <c r="Z102"/>
    </row>
    <row r="103" spans="1:26" ht="15">
      <c r="A103" s="217"/>
      <c r="B103" s="143" t="s">
        <v>78</v>
      </c>
      <c r="C103" s="146">
        <v>141.05104299999999</v>
      </c>
      <c r="D103" s="146">
        <v>112.359525</v>
      </c>
      <c r="E103" s="146">
        <v>128.50312700000001</v>
      </c>
      <c r="F103" s="146">
        <v>140.012246</v>
      </c>
      <c r="G103" s="146">
        <v>126.338086</v>
      </c>
      <c r="H103" s="146">
        <v>133.47636299999999</v>
      </c>
      <c r="I103" s="146">
        <v>143.30591200000001</v>
      </c>
      <c r="J103" s="146">
        <v>156.76768200000001</v>
      </c>
      <c r="K103" s="146">
        <v>167.979344</v>
      </c>
      <c r="L103" s="146">
        <v>160.017921</v>
      </c>
      <c r="M103" s="146">
        <v>150.66499899999999</v>
      </c>
      <c r="N103" s="146">
        <v>156.43270000000001</v>
      </c>
      <c r="O103" s="146">
        <v>144.976482</v>
      </c>
      <c r="P103" s="146">
        <v>129.27893900000001</v>
      </c>
      <c r="Q103" s="146">
        <v>148.837288</v>
      </c>
      <c r="R103" s="146">
        <v>137.06189800000001</v>
      </c>
      <c r="S103" s="146">
        <v>142.20011299999999</v>
      </c>
      <c r="T103" s="146">
        <v>140.17607899999999</v>
      </c>
      <c r="U103" s="146">
        <v>145.16309200000001</v>
      </c>
      <c r="V103" s="146">
        <v>144.446313</v>
      </c>
      <c r="W103" s="146">
        <v>147.14426599999999</v>
      </c>
      <c r="X103" s="146">
        <v>153.68743499999999</v>
      </c>
      <c r="Y103" s="146">
        <v>83.098618999999999</v>
      </c>
      <c r="Z103"/>
    </row>
    <row r="104" spans="1:26" ht="15">
      <c r="A104" s="217"/>
      <c r="B104" s="143" t="s">
        <v>9</v>
      </c>
      <c r="C104" s="146">
        <v>10.157844000000001</v>
      </c>
      <c r="D104" s="146">
        <v>10.355027</v>
      </c>
      <c r="E104" s="146">
        <v>14.760713000000001</v>
      </c>
      <c r="F104" s="146">
        <v>16.229486999999999</v>
      </c>
      <c r="G104" s="146">
        <v>17.203126999999999</v>
      </c>
      <c r="H104" s="146">
        <v>15.24977</v>
      </c>
      <c r="I104" s="146">
        <v>13.198846</v>
      </c>
      <c r="J104" s="146">
        <v>9.7369489999999992</v>
      </c>
      <c r="K104" s="146">
        <v>32.625577999999997</v>
      </c>
      <c r="L104" s="146">
        <v>27.415593999999999</v>
      </c>
      <c r="M104" s="146">
        <v>14.576164</v>
      </c>
      <c r="N104" s="146">
        <v>17.516617</v>
      </c>
      <c r="O104" s="146">
        <v>20.123602000000002</v>
      </c>
      <c r="P104" s="146">
        <v>22.305457000000001</v>
      </c>
      <c r="Q104" s="146">
        <v>22.266978999999999</v>
      </c>
      <c r="R104" s="146">
        <v>17.593667</v>
      </c>
      <c r="S104" s="146">
        <v>15.375764</v>
      </c>
      <c r="T104" s="146">
        <v>14.745189</v>
      </c>
      <c r="U104" s="146">
        <v>19.947948</v>
      </c>
      <c r="V104" s="146">
        <v>17.951955999999999</v>
      </c>
      <c r="W104" s="146">
        <v>27.959973000000002</v>
      </c>
      <c r="X104" s="146">
        <v>36.672798</v>
      </c>
      <c r="Y104" s="146">
        <v>10.003050999999999</v>
      </c>
      <c r="Z104"/>
    </row>
    <row r="105" spans="1:26" ht="15">
      <c r="A105" s="217"/>
      <c r="B105" s="143" t="s">
        <v>8</v>
      </c>
      <c r="C105" s="146">
        <v>116.282053</v>
      </c>
      <c r="D105" s="146">
        <v>104.960847</v>
      </c>
      <c r="E105" s="146">
        <v>100.758259</v>
      </c>
      <c r="F105" s="146">
        <v>70.652975999999995</v>
      </c>
      <c r="G105" s="146">
        <v>62.41677</v>
      </c>
      <c r="H105" s="146">
        <v>33.486941999999999</v>
      </c>
      <c r="I105" s="146">
        <v>66.134209999999996</v>
      </c>
      <c r="J105" s="146">
        <v>99.644189999999995</v>
      </c>
      <c r="K105" s="146">
        <v>113.210213</v>
      </c>
      <c r="L105" s="146">
        <v>112.484255</v>
      </c>
      <c r="M105" s="146">
        <v>115.10902299999999</v>
      </c>
      <c r="N105" s="146">
        <v>112.916219</v>
      </c>
      <c r="O105" s="146">
        <v>117.422501</v>
      </c>
      <c r="P105" s="146">
        <v>102.630663</v>
      </c>
      <c r="Q105" s="146">
        <v>114.410944</v>
      </c>
      <c r="R105" s="146">
        <v>103.636366</v>
      </c>
      <c r="S105" s="146">
        <v>86.849653000000004</v>
      </c>
      <c r="T105" s="146">
        <v>60.625902000000004</v>
      </c>
      <c r="U105" s="146">
        <v>73.213599000000002</v>
      </c>
      <c r="V105" s="146">
        <v>102.417012</v>
      </c>
      <c r="W105" s="146">
        <v>110.953991</v>
      </c>
      <c r="X105" s="146">
        <v>118.59882</v>
      </c>
      <c r="Y105" s="146">
        <v>45.508349000000003</v>
      </c>
      <c r="Z105"/>
    </row>
    <row r="106" spans="1:26" ht="15">
      <c r="A106" s="217"/>
      <c r="B106" s="143" t="s">
        <v>25</v>
      </c>
      <c r="C106" s="146">
        <v>280.66014899999999</v>
      </c>
      <c r="D106" s="146">
        <v>269.76136200000002</v>
      </c>
      <c r="E106" s="146">
        <v>284.19602200000003</v>
      </c>
      <c r="F106" s="146">
        <v>311.21022299999998</v>
      </c>
      <c r="G106" s="146">
        <v>236.28277700000001</v>
      </c>
      <c r="H106" s="146">
        <v>276.61590899999999</v>
      </c>
      <c r="I106" s="146">
        <v>284.60979800000001</v>
      </c>
      <c r="J106" s="146">
        <v>284.30052499999999</v>
      </c>
      <c r="K106" s="146">
        <v>278.88830000000002</v>
      </c>
      <c r="L106" s="146">
        <v>288.42916700000001</v>
      </c>
      <c r="M106" s="146">
        <v>314.27644400000003</v>
      </c>
      <c r="N106" s="146">
        <v>321.03092800000002</v>
      </c>
      <c r="O106" s="146">
        <v>350.31383599999998</v>
      </c>
      <c r="P106" s="146">
        <v>285.33313399999997</v>
      </c>
      <c r="Q106" s="146">
        <v>288.52109999999999</v>
      </c>
      <c r="R106" s="146">
        <v>265.37271800000002</v>
      </c>
      <c r="S106" s="146">
        <v>303.45663500000001</v>
      </c>
      <c r="T106" s="146">
        <v>283.58392400000002</v>
      </c>
      <c r="U106" s="146">
        <v>295.51749599999999</v>
      </c>
      <c r="V106" s="146">
        <v>269.79137200000002</v>
      </c>
      <c r="W106" s="146">
        <v>285.29845599999999</v>
      </c>
      <c r="X106" s="146">
        <v>305.38632699999999</v>
      </c>
      <c r="Y106" s="146">
        <v>171.53975700000001</v>
      </c>
      <c r="Z106"/>
    </row>
    <row r="107" spans="1:26" ht="15">
      <c r="A107" s="217"/>
      <c r="B107" s="143" t="s">
        <v>24</v>
      </c>
      <c r="C107" s="146">
        <v>0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146">
        <v>0</v>
      </c>
      <c r="J107" s="146">
        <v>0</v>
      </c>
      <c r="K107" s="146">
        <v>0</v>
      </c>
      <c r="L107" s="146">
        <v>0</v>
      </c>
      <c r="M107" s="146">
        <v>0</v>
      </c>
      <c r="N107" s="146">
        <v>0</v>
      </c>
      <c r="O107" s="146">
        <v>0</v>
      </c>
      <c r="P107" s="146">
        <v>0</v>
      </c>
      <c r="Q107" s="146">
        <v>0</v>
      </c>
      <c r="R107" s="146">
        <v>0</v>
      </c>
      <c r="S107" s="146">
        <v>0</v>
      </c>
      <c r="T107" s="146">
        <v>0</v>
      </c>
      <c r="U107" s="146">
        <v>-7.7730000000000004E-3</v>
      </c>
      <c r="V107" s="146">
        <v>-1.2208999999999999E-2</v>
      </c>
      <c r="W107" s="146">
        <v>-1.1861999999999999E-2</v>
      </c>
      <c r="X107" s="146">
        <v>-7.5659999999999998E-3</v>
      </c>
      <c r="Y107" s="146">
        <v>0</v>
      </c>
      <c r="Z107"/>
    </row>
    <row r="108" spans="1:26" ht="15">
      <c r="A108" s="217"/>
      <c r="B108" s="143" t="s">
        <v>6</v>
      </c>
      <c r="C108" s="146">
        <v>0.99317</v>
      </c>
      <c r="D108" s="146">
        <v>1.226483</v>
      </c>
      <c r="E108" s="146">
        <v>1.921443</v>
      </c>
      <c r="F108" s="146">
        <v>0.83590799999999998</v>
      </c>
      <c r="G108" s="146">
        <v>3.227077</v>
      </c>
      <c r="H108" s="146">
        <v>3.0020419999999999</v>
      </c>
      <c r="I108" s="146">
        <v>3.5782180000000001</v>
      </c>
      <c r="J108" s="146">
        <v>2.663478</v>
      </c>
      <c r="K108" s="146">
        <v>1.429314</v>
      </c>
      <c r="L108" s="146">
        <v>1.8534550000000001</v>
      </c>
      <c r="M108" s="146">
        <v>1.1397900000000001</v>
      </c>
      <c r="N108" s="146">
        <v>1.2278610000000001</v>
      </c>
      <c r="O108" s="146">
        <v>1.110916</v>
      </c>
      <c r="P108" s="146">
        <v>1.4820450000000001</v>
      </c>
      <c r="Q108" s="146">
        <v>2.1263230000000002</v>
      </c>
      <c r="R108" s="146">
        <v>1.7525280000000001</v>
      </c>
      <c r="S108" s="146">
        <v>1.9171739999999999</v>
      </c>
      <c r="T108" s="146">
        <v>2.44956</v>
      </c>
      <c r="U108" s="146">
        <v>3.5629430000000002</v>
      </c>
      <c r="V108" s="146">
        <v>3.5176750000000001</v>
      </c>
      <c r="W108" s="146">
        <v>2.0750950000000001</v>
      </c>
      <c r="X108" s="146">
        <v>1.3500719999999999</v>
      </c>
      <c r="Y108" s="146">
        <v>0.41720499999999999</v>
      </c>
      <c r="Z108"/>
    </row>
    <row r="109" spans="1:26" ht="15">
      <c r="A109" s="217"/>
      <c r="B109" s="143" t="s">
        <v>5</v>
      </c>
      <c r="C109" s="146">
        <v>81.695520000000002</v>
      </c>
      <c r="D109" s="146">
        <v>58.777921999999997</v>
      </c>
      <c r="E109" s="146">
        <v>84.883152999999993</v>
      </c>
      <c r="F109" s="146">
        <v>53.035682999999999</v>
      </c>
      <c r="G109" s="146">
        <v>164.67089200000001</v>
      </c>
      <c r="H109" s="146">
        <v>150.39278999999999</v>
      </c>
      <c r="I109" s="146">
        <v>162.25347199999999</v>
      </c>
      <c r="J109" s="146">
        <v>148.350357</v>
      </c>
      <c r="K109" s="146">
        <v>107.87259299999999</v>
      </c>
      <c r="L109" s="146">
        <v>122.01863400000001</v>
      </c>
      <c r="M109" s="146">
        <v>91.768507</v>
      </c>
      <c r="N109" s="146">
        <v>92.741405999999998</v>
      </c>
      <c r="O109" s="146">
        <v>60.136758999999998</v>
      </c>
      <c r="P109" s="146">
        <v>88.970084999999997</v>
      </c>
      <c r="Q109" s="146">
        <v>109.414616</v>
      </c>
      <c r="R109" s="146">
        <v>120.763114</v>
      </c>
      <c r="S109" s="146">
        <v>116.774248</v>
      </c>
      <c r="T109" s="146">
        <v>159.50470799999999</v>
      </c>
      <c r="U109" s="146">
        <v>180.96485300000001</v>
      </c>
      <c r="V109" s="146">
        <v>183.67649499999999</v>
      </c>
      <c r="W109" s="146">
        <v>123.261465</v>
      </c>
      <c r="X109" s="146">
        <v>85.114315000000005</v>
      </c>
      <c r="Y109" s="146">
        <v>39.046536000000003</v>
      </c>
      <c r="Z109"/>
    </row>
    <row r="110" spans="1:26" ht="15">
      <c r="A110" s="217"/>
      <c r="B110" s="143" t="s">
        <v>4</v>
      </c>
      <c r="C110" s="146">
        <v>16.647461</v>
      </c>
      <c r="D110" s="146">
        <v>18.033656000000001</v>
      </c>
      <c r="E110" s="146">
        <v>24.504390000000001</v>
      </c>
      <c r="F110" s="146">
        <v>22.758417999999999</v>
      </c>
      <c r="G110" s="146">
        <v>27.092843999999999</v>
      </c>
      <c r="H110" s="146">
        <v>24.760269999999998</v>
      </c>
      <c r="I110" s="146">
        <v>27.953648999999999</v>
      </c>
      <c r="J110" s="146">
        <v>26.132583</v>
      </c>
      <c r="K110" s="146">
        <v>21.642745000000001</v>
      </c>
      <c r="L110" s="146">
        <v>21.049275999999999</v>
      </c>
      <c r="M110" s="146">
        <v>15.037381999999999</v>
      </c>
      <c r="N110" s="146">
        <v>17.045500000000001</v>
      </c>
      <c r="O110" s="146">
        <v>18.038699999999999</v>
      </c>
      <c r="P110" s="146">
        <v>18.864350999999999</v>
      </c>
      <c r="Q110" s="146">
        <v>25.047723999999999</v>
      </c>
      <c r="R110" s="146">
        <v>25.164787</v>
      </c>
      <c r="S110" s="146">
        <v>32.867409000000002</v>
      </c>
      <c r="T110" s="146">
        <v>30.72391</v>
      </c>
      <c r="U110" s="146">
        <v>34.258988000000002</v>
      </c>
      <c r="V110" s="146">
        <v>31.953105999999998</v>
      </c>
      <c r="W110" s="146">
        <v>26.440342000000001</v>
      </c>
      <c r="X110" s="146">
        <v>26.61814</v>
      </c>
      <c r="Y110" s="146">
        <v>12.612466</v>
      </c>
      <c r="Z110"/>
    </row>
    <row r="111" spans="1:26" ht="15">
      <c r="A111" s="217"/>
      <c r="B111" s="143" t="s">
        <v>22</v>
      </c>
      <c r="C111" s="146">
        <v>0.35872300000000001</v>
      </c>
      <c r="D111" s="146">
        <v>0.69978200000000002</v>
      </c>
      <c r="E111" s="146">
        <v>0.79178499999999996</v>
      </c>
      <c r="F111" s="146">
        <v>0.72202100000000002</v>
      </c>
      <c r="G111" s="146">
        <v>0.72256799999999999</v>
      </c>
      <c r="H111" s="146">
        <v>0.72395900000000002</v>
      </c>
      <c r="I111" s="146">
        <v>0.73402900000000004</v>
      </c>
      <c r="J111" s="146">
        <v>0.56980699999999995</v>
      </c>
      <c r="K111" s="146">
        <v>0.40013300000000002</v>
      </c>
      <c r="L111" s="146">
        <v>0.75599700000000003</v>
      </c>
      <c r="M111" s="146">
        <v>0.75323799999999996</v>
      </c>
      <c r="N111" s="146">
        <v>0.82663799999999998</v>
      </c>
      <c r="O111" s="146">
        <v>0.86053100000000005</v>
      </c>
      <c r="P111" s="146">
        <v>0.72069799999999995</v>
      </c>
      <c r="Q111" s="146">
        <v>0.90984399999999999</v>
      </c>
      <c r="R111" s="146">
        <v>0.61352399999999996</v>
      </c>
      <c r="S111" s="146">
        <v>0.72146399999999999</v>
      </c>
      <c r="T111" s="146">
        <v>0.696106</v>
      </c>
      <c r="U111" s="146">
        <v>0.688222</v>
      </c>
      <c r="V111" s="146">
        <v>0.71531400000000001</v>
      </c>
      <c r="W111" s="146">
        <v>0.714812</v>
      </c>
      <c r="X111" s="146">
        <v>0.73132799999999998</v>
      </c>
      <c r="Y111" s="146">
        <v>0</v>
      </c>
      <c r="Z111"/>
    </row>
    <row r="112" spans="1:26" ht="15">
      <c r="A112" s="217"/>
      <c r="B112" s="148" t="s">
        <v>2</v>
      </c>
      <c r="C112" s="149">
        <v>648.14358400000003</v>
      </c>
      <c r="D112" s="149">
        <v>576.433134</v>
      </c>
      <c r="E112" s="149">
        <v>640.60115699999994</v>
      </c>
      <c r="F112" s="149">
        <v>615.59476800000004</v>
      </c>
      <c r="G112" s="149">
        <v>638.22197700000004</v>
      </c>
      <c r="H112" s="149">
        <v>637.99022200000002</v>
      </c>
      <c r="I112" s="149">
        <v>702.05786000000001</v>
      </c>
      <c r="J112" s="149">
        <v>728.44623000000001</v>
      </c>
      <c r="K112" s="149">
        <v>724.32574</v>
      </c>
      <c r="L112" s="149">
        <v>734.30680600000005</v>
      </c>
      <c r="M112" s="149">
        <v>703.55680500000005</v>
      </c>
      <c r="N112" s="149">
        <v>719.89322900000002</v>
      </c>
      <c r="O112" s="149">
        <v>713.27754000000004</v>
      </c>
      <c r="P112" s="149">
        <v>649.83595400000002</v>
      </c>
      <c r="Q112" s="149">
        <v>711.83126400000003</v>
      </c>
      <c r="R112" s="149">
        <v>672.23267399999997</v>
      </c>
      <c r="S112" s="149">
        <v>700.46126500000003</v>
      </c>
      <c r="T112" s="149">
        <v>692.78676099999996</v>
      </c>
      <c r="U112" s="149">
        <v>753.60372900000004</v>
      </c>
      <c r="V112" s="149">
        <v>754.74978099999998</v>
      </c>
      <c r="W112" s="149">
        <v>724.12546299999997</v>
      </c>
      <c r="X112" s="149">
        <v>728.44529599999998</v>
      </c>
      <c r="Y112" s="149">
        <v>362.22598299999999</v>
      </c>
      <c r="Z112"/>
    </row>
    <row r="113" spans="1:25">
      <c r="A113" s="218"/>
      <c r="B113" s="148" t="s">
        <v>79</v>
      </c>
      <c r="C113" s="149">
        <v>648.14358400000003</v>
      </c>
      <c r="D113" s="149">
        <v>576.433134</v>
      </c>
      <c r="E113" s="149">
        <v>640.60115699999994</v>
      </c>
      <c r="F113" s="149">
        <v>615.59476800000004</v>
      </c>
      <c r="G113" s="149">
        <v>638.22197700000004</v>
      </c>
      <c r="H113" s="149">
        <v>637.99022200000002</v>
      </c>
      <c r="I113" s="149">
        <v>702.05786000000001</v>
      </c>
      <c r="J113" s="149">
        <v>728.44623000000001</v>
      </c>
      <c r="K113" s="149">
        <v>724.32574</v>
      </c>
      <c r="L113" s="149">
        <v>734.30680600000005</v>
      </c>
      <c r="M113" s="149">
        <v>703.55680500000005</v>
      </c>
      <c r="N113" s="149">
        <v>719.89322900000002</v>
      </c>
      <c r="O113" s="149">
        <v>713.27754000000004</v>
      </c>
      <c r="P113" s="149">
        <v>649.83595400000002</v>
      </c>
      <c r="Q113" s="149">
        <v>711.83126400000003</v>
      </c>
      <c r="R113" s="149">
        <v>672.23267399999997</v>
      </c>
      <c r="S113" s="149">
        <v>700.46126500000003</v>
      </c>
      <c r="T113" s="149">
        <v>692.78676099999996</v>
      </c>
      <c r="U113" s="149">
        <v>753.60372900000004</v>
      </c>
      <c r="V113" s="149">
        <v>754.74978099999998</v>
      </c>
      <c r="W113" s="149">
        <v>724.12546299999997</v>
      </c>
      <c r="X113" s="149">
        <v>728.44529599999998</v>
      </c>
      <c r="Y113" s="149">
        <v>362.22598299999999</v>
      </c>
    </row>
    <row r="114" spans="1:25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25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5">
      <c r="B117" s="214" t="s">
        <v>73</v>
      </c>
      <c r="C117" s="120" t="str">
        <f>TEXT(EDATE(D117,-1),"mmmm aaaa")</f>
        <v>octubre 2021</v>
      </c>
      <c r="D117" s="120" t="str">
        <f t="shared" ref="D117:M117" si="6">TEXT(EDATE(E117,-1),"mmmm aaaa")</f>
        <v>noviembre 2021</v>
      </c>
      <c r="E117" s="120" t="str">
        <f t="shared" si="6"/>
        <v>diciembre 2021</v>
      </c>
      <c r="F117" s="120" t="str">
        <f t="shared" si="6"/>
        <v>enero 2022</v>
      </c>
      <c r="G117" s="120" t="str">
        <f t="shared" si="6"/>
        <v>febrero 2022</v>
      </c>
      <c r="H117" s="120" t="str">
        <f t="shared" si="6"/>
        <v>marzo 2022</v>
      </c>
      <c r="I117" s="120" t="str">
        <f t="shared" si="6"/>
        <v>abril 2022</v>
      </c>
      <c r="J117" s="120" t="str">
        <f t="shared" si="6"/>
        <v>mayo 2022</v>
      </c>
      <c r="K117" s="120" t="str">
        <f t="shared" si="6"/>
        <v>junio 2022</v>
      </c>
      <c r="L117" s="120" t="str">
        <f t="shared" si="6"/>
        <v>julio 2022</v>
      </c>
      <c r="M117" s="120" t="str">
        <f t="shared" si="6"/>
        <v>agosto 2022</v>
      </c>
      <c r="N117" s="120" t="str">
        <f>TEXT(EDATE(O117,-1),"mmmm aaaa")</f>
        <v>septiembre 2022</v>
      </c>
      <c r="O117" s="121" t="str">
        <f>A2</f>
        <v>Octubre 2022</v>
      </c>
    </row>
    <row r="118" spans="1:25">
      <c r="B118" s="215"/>
      <c r="C118" s="131" t="str">
        <f>TEXT(EDATE($A$2,-12),"mmm")&amp;".-"&amp;TEXT(EDATE($A$2,-12),"aa")</f>
        <v>oct.-21</v>
      </c>
      <c r="D118" s="131" t="str">
        <f>TEXT(EDATE($A$2,-11),"mmm")&amp;".-"&amp;TEXT(EDATE($A$2,-11),"aa")</f>
        <v>nov.-21</v>
      </c>
      <c r="E118" s="131" t="str">
        <f>TEXT(EDATE($A$2,-10),"mmm")&amp;".-"&amp;TEXT(EDATE($A$2,-10),"aa")</f>
        <v>dic.-21</v>
      </c>
      <c r="F118" s="131" t="str">
        <f>TEXT(EDATE($A$2,-9),"mmm")&amp;".-"&amp;TEXT(EDATE($A$2,-9),"aa")</f>
        <v>ene.-22</v>
      </c>
      <c r="G118" s="131" t="str">
        <f>TEXT(EDATE($A$2,-8),"mmm")&amp;".-"&amp;TEXT(EDATE($A$2,-8),"aa")</f>
        <v>feb.-22</v>
      </c>
      <c r="H118" s="131" t="str">
        <f>TEXT(EDATE($A$2,-7),"mmm")&amp;".-"&amp;TEXT(EDATE($A$2,-7),"aa")</f>
        <v>mar.-22</v>
      </c>
      <c r="I118" s="131" t="str">
        <f>TEXT(EDATE($A$2,-6),"mmm")&amp;".-"&amp;TEXT(EDATE($A$2,-6),"aa")</f>
        <v>abr.-22</v>
      </c>
      <c r="J118" s="131" t="str">
        <f>TEXT(EDATE($A$2,-5),"mmm")&amp;".-"&amp;TEXT(EDATE($A$2,-5),"aa")</f>
        <v>may.-22</v>
      </c>
      <c r="K118" s="131" t="str">
        <f>TEXT(EDATE($A$2,-4),"mmm")&amp;".-"&amp;TEXT(EDATE($A$2,-4),"aa")</f>
        <v>jun.-22</v>
      </c>
      <c r="L118" s="131" t="str">
        <f>TEXT(EDATE($A$2,-3),"mmm")&amp;".-"&amp;TEXT(EDATE($A$2,-3),"aa")</f>
        <v>jul.-22</v>
      </c>
      <c r="M118" s="131" t="str">
        <f>TEXT(EDATE($A$2,-2),"mmm")&amp;".-"&amp;TEXT(EDATE($A$2,-2),"aa")</f>
        <v>ago.-22</v>
      </c>
      <c r="N118" s="131" t="str">
        <f>TEXT(EDATE($A$2,-1),"mmm")&amp;".-"&amp;TEXT(EDATE($A$2,-1),"aa")</f>
        <v>sep.-22</v>
      </c>
      <c r="O118" s="159" t="str">
        <f>TEXT($A$2,"mmm")&amp;".-"&amp;TEXT($A$2,"aa")</f>
        <v>oct.-22</v>
      </c>
    </row>
    <row r="119" spans="1:25">
      <c r="A119" s="211" t="s">
        <v>76</v>
      </c>
      <c r="B119" s="132" t="s">
        <v>11</v>
      </c>
      <c r="C119" s="133">
        <f>HLOOKUP(C$117,$86:$101,3,FALSE)</f>
        <v>-0.58327700000000005</v>
      </c>
      <c r="D119" s="133">
        <f t="shared" ref="D119:N119" si="7">HLOOKUP(D$117,$86:$101,3,FALSE)</f>
        <v>-0.582067</v>
      </c>
      <c r="E119" s="133">
        <f t="shared" si="7"/>
        <v>-0.61424800000000002</v>
      </c>
      <c r="F119" s="133">
        <f t="shared" si="7"/>
        <v>-0.627467</v>
      </c>
      <c r="G119" s="133">
        <f t="shared" si="7"/>
        <v>-0.58012699999999995</v>
      </c>
      <c r="H119" s="133">
        <f t="shared" si="7"/>
        <v>-0.66887300000000005</v>
      </c>
      <c r="I119" s="133">
        <f t="shared" si="7"/>
        <v>-0.60498099999999999</v>
      </c>
      <c r="J119" s="133">
        <f t="shared" si="7"/>
        <v>-1.0302370000000001</v>
      </c>
      <c r="K119" s="133">
        <f t="shared" si="7"/>
        <v>29.141857000000002</v>
      </c>
      <c r="L119" s="133">
        <f t="shared" si="7"/>
        <v>50.189168000000002</v>
      </c>
      <c r="M119" s="133">
        <f t="shared" si="7"/>
        <v>5.2653150000000002</v>
      </c>
      <c r="N119" s="133">
        <f t="shared" si="7"/>
        <v>-0.60380599999999995</v>
      </c>
      <c r="O119" s="134">
        <f>HLOOKUP(O$117,$86:$101,3,FALSE)</f>
        <v>-0.613232</v>
      </c>
    </row>
    <row r="120" spans="1:25">
      <c r="A120" s="212"/>
      <c r="B120" s="122" t="s">
        <v>10</v>
      </c>
      <c r="C120" s="116">
        <f>HLOOKUP(C$117,$86:$101,4,FALSE)</f>
        <v>40.707250000000002</v>
      </c>
      <c r="D120" s="116">
        <f t="shared" ref="D120:O120" si="8">HLOOKUP(D$117,$86:$101,4,FALSE)</f>
        <v>21.566172999999999</v>
      </c>
      <c r="E120" s="116">
        <f t="shared" si="8"/>
        <v>26.795767999999999</v>
      </c>
      <c r="F120" s="116">
        <f t="shared" si="8"/>
        <v>31.928764000000001</v>
      </c>
      <c r="G120" s="116">
        <f t="shared" si="8"/>
        <v>27.285081000000002</v>
      </c>
      <c r="H120" s="116">
        <f t="shared" si="8"/>
        <v>26.627289999999999</v>
      </c>
      <c r="I120" s="116">
        <f t="shared" si="8"/>
        <v>38.583128000000002</v>
      </c>
      <c r="J120" s="116">
        <f t="shared" si="8"/>
        <v>43.134320000000002</v>
      </c>
      <c r="K120" s="116">
        <f t="shared" si="8"/>
        <v>52.984195999999997</v>
      </c>
      <c r="L120" s="116">
        <f t="shared" si="8"/>
        <v>59.042844000000002</v>
      </c>
      <c r="M120" s="116">
        <f t="shared" si="8"/>
        <v>60.455578000000003</v>
      </c>
      <c r="N120" s="116">
        <f t="shared" si="8"/>
        <v>32.713324999999998</v>
      </c>
      <c r="O120" s="134">
        <f t="shared" si="8"/>
        <v>17.166284999999998</v>
      </c>
    </row>
    <row r="121" spans="1:25">
      <c r="A121" s="212"/>
      <c r="B121" s="122" t="s">
        <v>9</v>
      </c>
      <c r="C121" s="116">
        <f>HLOOKUP(C$117,$86:$101,5,FALSE)</f>
        <v>18.871455999999998</v>
      </c>
      <c r="D121" s="116">
        <f t="shared" ref="D121:O121" si="9">HLOOKUP(D$117,$86:$101,5,FALSE)</f>
        <v>15.48057</v>
      </c>
      <c r="E121" s="116">
        <f t="shared" si="9"/>
        <v>11.539384</v>
      </c>
      <c r="F121" s="116">
        <f t="shared" si="9"/>
        <v>14.287936</v>
      </c>
      <c r="G121" s="116">
        <f t="shared" si="9"/>
        <v>12.016398000000001</v>
      </c>
      <c r="H121" s="116">
        <f t="shared" si="9"/>
        <v>16.590530000000001</v>
      </c>
      <c r="I121" s="116">
        <f t="shared" si="9"/>
        <v>16.923745</v>
      </c>
      <c r="J121" s="116">
        <f t="shared" si="9"/>
        <v>26.908525000000001</v>
      </c>
      <c r="K121" s="116">
        <f t="shared" si="9"/>
        <v>32.914068</v>
      </c>
      <c r="L121" s="116">
        <f t="shared" si="9"/>
        <v>59.770274999999998</v>
      </c>
      <c r="M121" s="116">
        <f t="shared" si="9"/>
        <v>67.567459999999997</v>
      </c>
      <c r="N121" s="116">
        <f t="shared" si="9"/>
        <v>56.444971000000002</v>
      </c>
      <c r="O121" s="134">
        <f t="shared" si="9"/>
        <v>42.597769999999997</v>
      </c>
    </row>
    <row r="122" spans="1:25" ht="14.25">
      <c r="A122" s="212"/>
      <c r="B122" s="122" t="s">
        <v>74</v>
      </c>
      <c r="C122" s="116">
        <f>HLOOKUP(C$117,$86:$101,6,FALSE)</f>
        <v>312.10340600000001</v>
      </c>
      <c r="D122" s="116">
        <f t="shared" ref="D122:O122" si="10">HLOOKUP(D$117,$86:$101,6,FALSE)</f>
        <v>305.43751500000002</v>
      </c>
      <c r="E122" s="116">
        <f t="shared" si="10"/>
        <v>332.59120100000001</v>
      </c>
      <c r="F122" s="116">
        <f t="shared" si="10"/>
        <v>350.08292499999999</v>
      </c>
      <c r="G122" s="116">
        <f t="shared" si="10"/>
        <v>298.62258500000002</v>
      </c>
      <c r="H122" s="116">
        <f t="shared" si="10"/>
        <v>331.00133499999998</v>
      </c>
      <c r="I122" s="116">
        <f t="shared" si="10"/>
        <v>307.42903200000001</v>
      </c>
      <c r="J122" s="116">
        <f t="shared" si="10"/>
        <v>317.55595499999998</v>
      </c>
      <c r="K122" s="116">
        <f t="shared" si="10"/>
        <v>367.58788099999998</v>
      </c>
      <c r="L122" s="116">
        <f t="shared" si="10"/>
        <v>396.959791</v>
      </c>
      <c r="M122" s="116">
        <f t="shared" si="10"/>
        <v>456.377207</v>
      </c>
      <c r="N122" s="116">
        <f t="shared" si="10"/>
        <v>377.07382699999999</v>
      </c>
      <c r="O122" s="134">
        <f t="shared" si="10"/>
        <v>297.32130999999998</v>
      </c>
    </row>
    <row r="123" spans="1:25">
      <c r="A123" s="212"/>
      <c r="B123" s="122" t="s">
        <v>24</v>
      </c>
      <c r="C123" s="116">
        <f>HLOOKUP(C$117,$86:$101,7,FALSE)</f>
        <v>0.98881300000000005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2.6835830000000001</v>
      </c>
      <c r="M123" s="116">
        <f t="shared" si="11"/>
        <v>4.441192</v>
      </c>
      <c r="N123" s="116">
        <f t="shared" si="11"/>
        <v>4.0858239999999997</v>
      </c>
      <c r="O123" s="134">
        <f t="shared" si="11"/>
        <v>0.904698</v>
      </c>
    </row>
    <row r="124" spans="1:25">
      <c r="A124" s="212"/>
      <c r="B124" s="122" t="s">
        <v>5</v>
      </c>
      <c r="C124" s="116">
        <f>HLOOKUP(C$117,$86:$102,8,FALSE)</f>
        <v>0.26974799999999999</v>
      </c>
      <c r="D124" s="116">
        <f t="shared" ref="D124:O124" si="12">HLOOKUP(D$117,$86:$102,8,FALSE)</f>
        <v>6.1364000000000002E-2</v>
      </c>
      <c r="E124" s="116">
        <f t="shared" si="12"/>
        <v>0.10125000000000001</v>
      </c>
      <c r="F124" s="116">
        <f t="shared" si="12"/>
        <v>0.215638</v>
      </c>
      <c r="G124" s="116">
        <f t="shared" si="12"/>
        <v>0.22824</v>
      </c>
      <c r="H124" s="116">
        <f t="shared" si="12"/>
        <v>0.33845999999999998</v>
      </c>
      <c r="I124" s="116">
        <f t="shared" si="12"/>
        <v>0.239788</v>
      </c>
      <c r="J124" s="116">
        <f t="shared" si="12"/>
        <v>0.16079099999999999</v>
      </c>
      <c r="K124" s="116">
        <f t="shared" si="12"/>
        <v>6.1122000000000003E-2</v>
      </c>
      <c r="L124" s="116">
        <f t="shared" si="12"/>
        <v>3.0289E-2</v>
      </c>
      <c r="M124" s="116">
        <f t="shared" si="12"/>
        <v>3.2219999999999999E-2</v>
      </c>
      <c r="N124" s="116">
        <f t="shared" si="12"/>
        <v>1.2760000000000001E-2</v>
      </c>
      <c r="O124" s="134">
        <f t="shared" si="12"/>
        <v>2.8530000000000001E-3</v>
      </c>
    </row>
    <row r="125" spans="1:25">
      <c r="A125" s="212"/>
      <c r="B125" s="122" t="s">
        <v>4</v>
      </c>
      <c r="C125" s="116">
        <f>HLOOKUP(C$117,$86:$102,9,FALSE)</f>
        <v>16.811540000000001</v>
      </c>
      <c r="D125" s="116">
        <f t="shared" ref="D125:O125" si="13">HLOOKUP(D$117,$86:$102,9,FALSE)</f>
        <v>8.8178920000000005</v>
      </c>
      <c r="E125" s="116">
        <f t="shared" si="13"/>
        <v>11.153282000000001</v>
      </c>
      <c r="F125" s="116">
        <f t="shared" si="13"/>
        <v>14.434640999999999</v>
      </c>
      <c r="G125" s="116">
        <f t="shared" si="13"/>
        <v>17.856766</v>
      </c>
      <c r="H125" s="116">
        <f t="shared" si="13"/>
        <v>13.718254</v>
      </c>
      <c r="I125" s="116">
        <f t="shared" si="13"/>
        <v>22.081204</v>
      </c>
      <c r="J125" s="116">
        <f t="shared" si="13"/>
        <v>27.327051999999998</v>
      </c>
      <c r="K125" s="116">
        <f t="shared" si="13"/>
        <v>29.225902000000001</v>
      </c>
      <c r="L125" s="116">
        <f t="shared" si="13"/>
        <v>33.049942999999999</v>
      </c>
      <c r="M125" s="116">
        <f t="shared" si="13"/>
        <v>28.239802000000001</v>
      </c>
      <c r="N125" s="116">
        <f t="shared" si="13"/>
        <v>24.348155999999999</v>
      </c>
      <c r="O125" s="134">
        <f t="shared" si="13"/>
        <v>23.236149000000001</v>
      </c>
    </row>
    <row r="126" spans="1:25">
      <c r="A126" s="212"/>
      <c r="B126" s="123" t="s">
        <v>22</v>
      </c>
      <c r="C126" s="116">
        <f>HLOOKUP(C$117,$86:$102,10,FALSE)</f>
        <v>0.243059</v>
      </c>
      <c r="D126" s="116">
        <f t="shared" ref="D126:O126" si="14">HLOOKUP(D$117,$86:$102,10,FALSE)</f>
        <v>0.24007600000000001</v>
      </c>
      <c r="E126" s="116">
        <f t="shared" si="14"/>
        <v>0.230462</v>
      </c>
      <c r="F126" s="116">
        <f t="shared" si="14"/>
        <v>0.285244</v>
      </c>
      <c r="G126" s="116">
        <f t="shared" si="14"/>
        <v>0.28095199999999998</v>
      </c>
      <c r="H126" s="116">
        <f t="shared" si="14"/>
        <v>0.29118100000000002</v>
      </c>
      <c r="I126" s="116">
        <f t="shared" si="14"/>
        <v>0.16531499999999999</v>
      </c>
      <c r="J126" s="116">
        <f t="shared" si="14"/>
        <v>0.166327</v>
      </c>
      <c r="K126" s="116">
        <f t="shared" si="14"/>
        <v>0.111179</v>
      </c>
      <c r="L126" s="116">
        <f t="shared" si="14"/>
        <v>9.5128000000000004E-2</v>
      </c>
      <c r="M126" s="116">
        <f t="shared" si="14"/>
        <v>5.6752999999999998E-2</v>
      </c>
      <c r="N126" s="116">
        <f t="shared" si="14"/>
        <v>7.1822999999999998E-2</v>
      </c>
      <c r="O126" s="134">
        <f t="shared" si="14"/>
        <v>9.6991999999999995E-2</v>
      </c>
    </row>
    <row r="127" spans="1:25">
      <c r="A127" s="212"/>
      <c r="B127" s="123" t="s">
        <v>23</v>
      </c>
      <c r="C127" s="116">
        <f>HLOOKUP(C$117,$86:$102,11,FALSE)</f>
        <v>4.173934</v>
      </c>
      <c r="D127" s="116">
        <f t="shared" ref="D127:O127" si="15">HLOOKUP(D$117,$86:$102,11,FALSE)</f>
        <v>1.4121680000000001</v>
      </c>
      <c r="E127" s="116">
        <f t="shared" si="15"/>
        <v>3.5189080000000001</v>
      </c>
      <c r="F127" s="116">
        <f t="shared" si="15"/>
        <v>3.4010050000000001</v>
      </c>
      <c r="G127" s="116">
        <f t="shared" si="15"/>
        <v>3.0684070000000001</v>
      </c>
      <c r="H127" s="116">
        <f t="shared" si="15"/>
        <v>3.993204</v>
      </c>
      <c r="I127" s="116">
        <f t="shared" si="15"/>
        <v>1.8386769999999999</v>
      </c>
      <c r="J127" s="116">
        <f t="shared" si="15"/>
        <v>1.9461250000000001</v>
      </c>
      <c r="K127" s="116">
        <f t="shared" si="15"/>
        <v>1.5363420000000001</v>
      </c>
      <c r="L127" s="116">
        <f t="shared" si="15"/>
        <v>1.1719729999999999</v>
      </c>
      <c r="M127" s="116">
        <f t="shared" si="15"/>
        <v>5.1333999999999998E-2</v>
      </c>
      <c r="N127" s="116">
        <f t="shared" si="15"/>
        <v>2.0373130000000002</v>
      </c>
      <c r="O127" s="134">
        <f t="shared" si="15"/>
        <v>1.826864</v>
      </c>
    </row>
    <row r="128" spans="1:25">
      <c r="A128" s="212"/>
      <c r="B128" s="122" t="s">
        <v>55</v>
      </c>
      <c r="C128" s="116">
        <f t="shared" ref="C128:O128" si="16">HLOOKUP(C$117,$86:$102,13,FALSE)</f>
        <v>6.4146000000000001</v>
      </c>
      <c r="D128" s="116">
        <f t="shared" si="16"/>
        <v>13.8683715</v>
      </c>
      <c r="E128" s="116">
        <f t="shared" si="16"/>
        <v>8.8660929999999993</v>
      </c>
      <c r="F128" s="116">
        <f t="shared" si="16"/>
        <v>9.8711500000000001</v>
      </c>
      <c r="G128" s="116">
        <f t="shared" si="16"/>
        <v>5.4414375000000001</v>
      </c>
      <c r="H128" s="116">
        <f t="shared" si="16"/>
        <v>9.6633200000000006</v>
      </c>
      <c r="I128" s="116">
        <f t="shared" si="16"/>
        <v>7.8050050000000004</v>
      </c>
      <c r="J128" s="116">
        <f t="shared" si="16"/>
        <v>11.846121999999999</v>
      </c>
      <c r="K128" s="116">
        <f t="shared" si="16"/>
        <v>13.186323</v>
      </c>
      <c r="L128" s="116">
        <f t="shared" si="16"/>
        <v>16.1606655</v>
      </c>
      <c r="M128" s="116">
        <f t="shared" si="16"/>
        <v>13.6723105</v>
      </c>
      <c r="N128" s="116">
        <f t="shared" si="16"/>
        <v>13.5816645</v>
      </c>
      <c r="O128" s="134">
        <f t="shared" si="16"/>
        <v>11.230755</v>
      </c>
    </row>
    <row r="129" spans="1:15">
      <c r="A129" s="212"/>
      <c r="B129" s="122" t="s">
        <v>54</v>
      </c>
      <c r="C129" s="116">
        <f>HLOOKUP(C$117,$86:$102,12,FALSE)</f>
        <v>6.4146000000000001</v>
      </c>
      <c r="D129" s="116">
        <f t="shared" ref="D129:O129" si="17">HLOOKUP(D$117,$86:$102,12,FALSE)</f>
        <v>13.8683715</v>
      </c>
      <c r="E129" s="116">
        <f t="shared" si="17"/>
        <v>8.8660929999999993</v>
      </c>
      <c r="F129" s="116">
        <f t="shared" si="17"/>
        <v>9.8711500000000001</v>
      </c>
      <c r="G129" s="116">
        <f t="shared" si="17"/>
        <v>5.4414375000000001</v>
      </c>
      <c r="H129" s="116">
        <f t="shared" si="17"/>
        <v>9.6633200000000006</v>
      </c>
      <c r="I129" s="116">
        <f t="shared" si="17"/>
        <v>7.8050050000000004</v>
      </c>
      <c r="J129" s="116">
        <f t="shared" si="17"/>
        <v>11.846121999999999</v>
      </c>
      <c r="K129" s="116">
        <f t="shared" si="17"/>
        <v>13.186323</v>
      </c>
      <c r="L129" s="116">
        <f t="shared" si="17"/>
        <v>16.1606655</v>
      </c>
      <c r="M129" s="116">
        <f t="shared" si="17"/>
        <v>13.6723105</v>
      </c>
      <c r="N129" s="116">
        <f t="shared" si="17"/>
        <v>13.5816645</v>
      </c>
      <c r="O129" s="134">
        <f t="shared" si="17"/>
        <v>11.230755</v>
      </c>
    </row>
    <row r="130" spans="1:15">
      <c r="A130" s="212"/>
      <c r="B130" s="124" t="s">
        <v>2</v>
      </c>
      <c r="C130" s="125">
        <f>HLOOKUP(C$117,$86:$102,14,FALSE)</f>
        <v>406.41512899999998</v>
      </c>
      <c r="D130" s="125">
        <f t="shared" ref="D130:O130" si="18">HLOOKUP(D$117,$86:$102,14,FALSE)</f>
        <v>380.170434</v>
      </c>
      <c r="E130" s="125">
        <f t="shared" si="18"/>
        <v>403.04819300000003</v>
      </c>
      <c r="F130" s="125">
        <f t="shared" si="18"/>
        <v>433.75098600000001</v>
      </c>
      <c r="G130" s="125">
        <f t="shared" si="18"/>
        <v>369.66117700000001</v>
      </c>
      <c r="H130" s="125">
        <f t="shared" si="18"/>
        <v>411.21802100000002</v>
      </c>
      <c r="I130" s="125">
        <f t="shared" si="18"/>
        <v>402.265918</v>
      </c>
      <c r="J130" s="125">
        <f t="shared" si="18"/>
        <v>439.86110200000002</v>
      </c>
      <c r="K130" s="125">
        <f t="shared" si="18"/>
        <v>539.93519300000003</v>
      </c>
      <c r="L130" s="125">
        <f t="shared" si="18"/>
        <v>635.31432500000005</v>
      </c>
      <c r="M130" s="125">
        <f t="shared" si="18"/>
        <v>649.83148200000005</v>
      </c>
      <c r="N130" s="125">
        <f t="shared" si="18"/>
        <v>523.34752200000003</v>
      </c>
      <c r="O130" s="135">
        <f t="shared" si="18"/>
        <v>405.00119899999999</v>
      </c>
    </row>
    <row r="131" spans="1:15">
      <c r="A131" s="212"/>
      <c r="B131" s="122" t="s">
        <v>21</v>
      </c>
      <c r="C131" s="126">
        <f>HLOOKUP(C$117,$86:$102,15,FALSE)</f>
        <v>38.285525</v>
      </c>
      <c r="D131" s="126">
        <f t="shared" ref="D131:O131" si="19">HLOOKUP(D$117,$86:$102,15,FALSE)</f>
        <v>28.435708999999999</v>
      </c>
      <c r="E131" s="126">
        <f t="shared" si="19"/>
        <v>32.270831999999999</v>
      </c>
      <c r="F131" s="126">
        <f t="shared" si="19"/>
        <v>31.159338999999999</v>
      </c>
      <c r="G131" s="126">
        <f t="shared" si="19"/>
        <v>27.502502</v>
      </c>
      <c r="H131" s="126">
        <f t="shared" si="19"/>
        <v>30.689281000000001</v>
      </c>
      <c r="I131" s="126">
        <f t="shared" si="19"/>
        <v>33.641058999999998</v>
      </c>
      <c r="J131" s="126">
        <f t="shared" si="19"/>
        <v>32.047055999999998</v>
      </c>
      <c r="K131" s="126">
        <f t="shared" si="19"/>
        <v>35.225064000000003</v>
      </c>
      <c r="L131" s="126">
        <f t="shared" si="19"/>
        <v>67.033137999999994</v>
      </c>
      <c r="M131" s="126">
        <f t="shared" si="19"/>
        <v>77.653036</v>
      </c>
      <c r="N131" s="126">
        <f t="shared" si="19"/>
        <v>70.647335999999996</v>
      </c>
      <c r="O131" s="126">
        <f t="shared" si="19"/>
        <v>61.365385000000003</v>
      </c>
    </row>
    <row r="132" spans="1:15">
      <c r="A132" s="212"/>
      <c r="B132" s="127" t="s">
        <v>1</v>
      </c>
      <c r="C132" s="128">
        <f>HLOOKUP(C$117,$86:$102,16,FALSE)</f>
        <v>444.70065399999999</v>
      </c>
      <c r="D132" s="128">
        <f t="shared" ref="D132:O132" si="20">HLOOKUP(D$117,$86:$102,16,FALSE)</f>
        <v>408.60614299999997</v>
      </c>
      <c r="E132" s="128">
        <f t="shared" si="20"/>
        <v>435.31902500000001</v>
      </c>
      <c r="F132" s="128">
        <f t="shared" si="20"/>
        <v>464.910325</v>
      </c>
      <c r="G132" s="128">
        <f t="shared" si="20"/>
        <v>397.163679</v>
      </c>
      <c r="H132" s="128">
        <f t="shared" si="20"/>
        <v>441.90730200000002</v>
      </c>
      <c r="I132" s="128">
        <f t="shared" si="20"/>
        <v>435.90697699999998</v>
      </c>
      <c r="J132" s="128">
        <f t="shared" si="20"/>
        <v>471.90815800000001</v>
      </c>
      <c r="K132" s="128">
        <f t="shared" si="20"/>
        <v>575.160257</v>
      </c>
      <c r="L132" s="128">
        <f t="shared" si="20"/>
        <v>702.34746299999995</v>
      </c>
      <c r="M132" s="128">
        <f t="shared" si="20"/>
        <v>727.48451799999998</v>
      </c>
      <c r="N132" s="128">
        <f t="shared" si="20"/>
        <v>593.99485800000002</v>
      </c>
      <c r="O132" s="128">
        <f t="shared" si="20"/>
        <v>466.36658399999999</v>
      </c>
    </row>
    <row r="133" spans="1:15" ht="14.25">
      <c r="A133" s="213"/>
      <c r="B133" s="136" t="s">
        <v>75</v>
      </c>
      <c r="C133" s="137">
        <f>C120+C121+C123</f>
        <v>60.567518999999997</v>
      </c>
      <c r="D133" s="137">
        <f>D120+D121+D123</f>
        <v>37.046742999999999</v>
      </c>
      <c r="E133" s="137">
        <f t="shared" ref="E133:O133" si="21">E120+E121+E123</f>
        <v>38.335152000000001</v>
      </c>
      <c r="F133" s="137">
        <f t="shared" si="21"/>
        <v>46.216700000000003</v>
      </c>
      <c r="G133" s="137">
        <f t="shared" si="21"/>
        <v>39.301479</v>
      </c>
      <c r="H133" s="137">
        <f t="shared" si="21"/>
        <v>43.217820000000003</v>
      </c>
      <c r="I133" s="137">
        <f t="shared" si="21"/>
        <v>55.506872999999999</v>
      </c>
      <c r="J133" s="137">
        <f t="shared" si="21"/>
        <v>70.042845</v>
      </c>
      <c r="K133" s="137">
        <f t="shared" si="21"/>
        <v>85.898263999999998</v>
      </c>
      <c r="L133" s="137">
        <f t="shared" si="21"/>
        <v>121.496702</v>
      </c>
      <c r="M133" s="137">
        <f t="shared" si="21"/>
        <v>132.46422999999999</v>
      </c>
      <c r="N133" s="137">
        <f t="shared" si="21"/>
        <v>93.244120000000009</v>
      </c>
      <c r="O133" s="137">
        <f t="shared" si="21"/>
        <v>60.668753000000002</v>
      </c>
    </row>
    <row r="134" spans="1:15">
      <c r="A134" s="211" t="s">
        <v>77</v>
      </c>
      <c r="B134" s="138" t="s">
        <v>73</v>
      </c>
      <c r="C134" s="120" t="str">
        <f>TEXT(EDATE($A$2,-12),"mmm")&amp;".-"&amp;TEXT(EDATE($A$2,-12),"aa")</f>
        <v>oct.-21</v>
      </c>
      <c r="D134" s="120" t="str">
        <f>TEXT(EDATE($A$2,-11),"mmm")&amp;".-"&amp;TEXT(EDATE($A$2,-11),"aa")</f>
        <v>nov.-21</v>
      </c>
      <c r="E134" s="120" t="str">
        <f>TEXT(EDATE($A$2,-10),"mmm")&amp;".-"&amp;TEXT(EDATE($A$2,-10),"aa")</f>
        <v>dic.-21</v>
      </c>
      <c r="F134" s="120" t="str">
        <f>TEXT(EDATE($A$2,-9),"mmm")&amp;".-"&amp;TEXT(EDATE($A$2,-9),"aa")</f>
        <v>ene.-22</v>
      </c>
      <c r="G134" s="120" t="str">
        <f>TEXT(EDATE($A$2,-8),"mmm")&amp;".-"&amp;TEXT(EDATE($A$2,-8),"aa")</f>
        <v>feb.-22</v>
      </c>
      <c r="H134" s="120" t="str">
        <f>TEXT(EDATE($A$2,-7),"mmm")&amp;".-"&amp;TEXT(EDATE($A$2,-7),"aa")</f>
        <v>mar.-22</v>
      </c>
      <c r="I134" s="120" t="str">
        <f>TEXT(EDATE($A$2,-6),"mmm")&amp;".-"&amp;TEXT(EDATE($A$2,-6),"aa")</f>
        <v>abr.-22</v>
      </c>
      <c r="J134" s="120" t="str">
        <f>TEXT(EDATE($A$2,-5),"mmm")&amp;".-"&amp;TEXT(EDATE($A$2,-5),"aa")</f>
        <v>may.-22</v>
      </c>
      <c r="K134" s="120" t="str">
        <f>TEXT(EDATE($A$2,-4),"mmm")&amp;".-"&amp;TEXT(EDATE($A$2,-4),"aa")</f>
        <v>jun.-22</v>
      </c>
      <c r="L134" s="120" t="str">
        <f>TEXT(EDATE($A$2,-3),"mmm")&amp;".-"&amp;TEXT(EDATE($A$2,-3),"aa")</f>
        <v>jul.-22</v>
      </c>
      <c r="M134" s="120" t="str">
        <f>TEXT(EDATE($A$2,-2),"mmm")&amp;".-"&amp;TEXT(EDATE($A$2,-2),"aa")</f>
        <v>ago.-22</v>
      </c>
      <c r="N134" s="120" t="str">
        <f>TEXT(EDATE($A$2,-1),"mmm")&amp;".-"&amp;TEXT(EDATE($A$2,-1),"aa")</f>
        <v>sep.-22</v>
      </c>
      <c r="O134" s="121" t="str">
        <f>TEXT($A$2,"mmm")&amp;".-"&amp;TEXT($A$2,"aa")</f>
        <v>oct.-22</v>
      </c>
    </row>
    <row r="135" spans="1:15" ht="15" customHeight="1">
      <c r="A135" s="212"/>
      <c r="B135" s="122" t="s">
        <v>12</v>
      </c>
      <c r="C135" s="116">
        <f>HLOOKUP(C$117,$86:$115,17,FALSE)</f>
        <v>0.28250700000000001</v>
      </c>
      <c r="D135" s="116">
        <f t="shared" ref="D135:N135" si="22">HLOOKUP(D$117,$86:$115,17,FALSE)</f>
        <v>0.23125799999999999</v>
      </c>
      <c r="E135" s="116">
        <f t="shared" si="22"/>
        <v>0.15536</v>
      </c>
      <c r="F135" s="116">
        <f t="shared" si="22"/>
        <v>0.294213</v>
      </c>
      <c r="G135" s="116">
        <f t="shared" si="22"/>
        <v>0.25058200000000003</v>
      </c>
      <c r="H135" s="116">
        <f t="shared" si="22"/>
        <v>0.29644599999999999</v>
      </c>
      <c r="I135" s="116">
        <f t="shared" si="22"/>
        <v>0.27407199999999998</v>
      </c>
      <c r="J135" s="116">
        <f t="shared" si="22"/>
        <v>0.29880499999999999</v>
      </c>
      <c r="K135" s="116">
        <f t="shared" si="22"/>
        <v>0.28138299999999999</v>
      </c>
      <c r="L135" s="116">
        <f t="shared" si="22"/>
        <v>0.29436099999999998</v>
      </c>
      <c r="M135" s="116">
        <f t="shared" si="22"/>
        <v>0.29274699999999998</v>
      </c>
      <c r="N135" s="116">
        <f t="shared" si="22"/>
        <v>0.28892499999999999</v>
      </c>
      <c r="O135" s="160">
        <f>HLOOKUP(O$117,$86:$115,17,FALSE)</f>
        <v>0.29362700000000003</v>
      </c>
    </row>
    <row r="136" spans="1:15">
      <c r="A136" s="212"/>
      <c r="B136" s="122" t="s">
        <v>10</v>
      </c>
      <c r="C136" s="116">
        <f>HLOOKUP(C$117,$86:$115,18,FALSE)+HLOOKUP(C$117,$86:$115,22,FALSE)</f>
        <v>160.017921</v>
      </c>
      <c r="D136" s="116">
        <f>HLOOKUP(D$117,$86:$115,18,FALSE)+HLOOKUP(D$117,$86:$115,22,FALSE)</f>
        <v>150.66499899999999</v>
      </c>
      <c r="E136" s="116">
        <f t="shared" ref="E136:N136" si="23">HLOOKUP(E$117,$86:$115,18,FALSE)+HLOOKUP(E$117,$86:$115,22,FALSE)</f>
        <v>156.43270000000001</v>
      </c>
      <c r="F136" s="116">
        <f t="shared" si="23"/>
        <v>144.976482</v>
      </c>
      <c r="G136" s="116">
        <f t="shared" si="23"/>
        <v>129.27893900000001</v>
      </c>
      <c r="H136" s="116">
        <f t="shared" si="23"/>
        <v>148.837288</v>
      </c>
      <c r="I136" s="116">
        <f t="shared" si="23"/>
        <v>137.06189800000001</v>
      </c>
      <c r="J136" s="116">
        <f t="shared" si="23"/>
        <v>142.20011299999999</v>
      </c>
      <c r="K136" s="116">
        <f t="shared" si="23"/>
        <v>140.17607899999999</v>
      </c>
      <c r="L136" s="116">
        <f t="shared" si="23"/>
        <v>145.15531900000002</v>
      </c>
      <c r="M136" s="116">
        <f t="shared" si="23"/>
        <v>144.43410399999999</v>
      </c>
      <c r="N136" s="116">
        <f t="shared" si="23"/>
        <v>147.13240399999998</v>
      </c>
      <c r="O136" s="134">
        <f>HLOOKUP(O$117,$86:$115,18,FALSE)+HLOOKUP(O$117,$86:$115,22,FALSE)</f>
        <v>153.679869</v>
      </c>
    </row>
    <row r="137" spans="1:15">
      <c r="A137" s="212"/>
      <c r="B137" s="122" t="s">
        <v>9</v>
      </c>
      <c r="C137" s="116">
        <f>HLOOKUP(C$117,$86:$115,19,FALSE)</f>
        <v>27.415593999999999</v>
      </c>
      <c r="D137" s="116">
        <f t="shared" ref="D137:O137" si="24">HLOOKUP(D$117,$86:$115,19,FALSE)</f>
        <v>14.576164</v>
      </c>
      <c r="E137" s="116">
        <f t="shared" si="24"/>
        <v>17.516617</v>
      </c>
      <c r="F137" s="116">
        <f t="shared" si="24"/>
        <v>20.123602000000002</v>
      </c>
      <c r="G137" s="116">
        <f t="shared" si="24"/>
        <v>22.305457000000001</v>
      </c>
      <c r="H137" s="116">
        <f t="shared" si="24"/>
        <v>22.266978999999999</v>
      </c>
      <c r="I137" s="116">
        <f t="shared" si="24"/>
        <v>17.593667</v>
      </c>
      <c r="J137" s="116">
        <f t="shared" si="24"/>
        <v>15.375764</v>
      </c>
      <c r="K137" s="116">
        <f t="shared" si="24"/>
        <v>14.745189</v>
      </c>
      <c r="L137" s="116">
        <f t="shared" si="24"/>
        <v>19.947948</v>
      </c>
      <c r="M137" s="116">
        <f t="shared" si="24"/>
        <v>17.951955999999999</v>
      </c>
      <c r="N137" s="116">
        <f t="shared" si="24"/>
        <v>27.959973000000002</v>
      </c>
      <c r="O137" s="134">
        <f t="shared" si="24"/>
        <v>36.672798</v>
      </c>
    </row>
    <row r="138" spans="1:15">
      <c r="A138" s="212"/>
      <c r="B138" s="122" t="s">
        <v>8</v>
      </c>
      <c r="C138" s="116">
        <f>HLOOKUP(C$117,$86:$115,20,FALSE)</f>
        <v>112.484255</v>
      </c>
      <c r="D138" s="116">
        <f t="shared" ref="D138:O138" si="25">HLOOKUP(D$117,$86:$115,20,FALSE)</f>
        <v>115.10902299999999</v>
      </c>
      <c r="E138" s="116">
        <f t="shared" si="25"/>
        <v>112.916219</v>
      </c>
      <c r="F138" s="116">
        <f t="shared" si="25"/>
        <v>117.422501</v>
      </c>
      <c r="G138" s="116">
        <f t="shared" si="25"/>
        <v>102.630663</v>
      </c>
      <c r="H138" s="116">
        <f t="shared" si="25"/>
        <v>114.410944</v>
      </c>
      <c r="I138" s="116">
        <f t="shared" si="25"/>
        <v>103.636366</v>
      </c>
      <c r="J138" s="116">
        <f t="shared" si="25"/>
        <v>86.849653000000004</v>
      </c>
      <c r="K138" s="116">
        <f t="shared" si="25"/>
        <v>60.625902000000004</v>
      </c>
      <c r="L138" s="116">
        <f t="shared" si="25"/>
        <v>73.213599000000002</v>
      </c>
      <c r="M138" s="116">
        <f t="shared" si="25"/>
        <v>102.417012</v>
      </c>
      <c r="N138" s="116">
        <f t="shared" si="25"/>
        <v>110.953991</v>
      </c>
      <c r="O138" s="134">
        <f t="shared" si="25"/>
        <v>118.59882</v>
      </c>
    </row>
    <row r="139" spans="1:15" ht="14.25">
      <c r="A139" s="212"/>
      <c r="B139" s="122" t="s">
        <v>74</v>
      </c>
      <c r="C139" s="116">
        <f>HLOOKUP(C$117,$86:$115,21,FALSE)</f>
        <v>288.42916700000001</v>
      </c>
      <c r="D139" s="116">
        <f t="shared" ref="D139:O139" si="26">HLOOKUP(D$117,$86:$115,21,FALSE)</f>
        <v>314.27644400000003</v>
      </c>
      <c r="E139" s="116">
        <f t="shared" si="26"/>
        <v>321.03092800000002</v>
      </c>
      <c r="F139" s="116">
        <f t="shared" si="26"/>
        <v>350.31383599999998</v>
      </c>
      <c r="G139" s="116">
        <f t="shared" si="26"/>
        <v>285.33313399999997</v>
      </c>
      <c r="H139" s="116">
        <f t="shared" si="26"/>
        <v>288.52109999999999</v>
      </c>
      <c r="I139" s="116">
        <f t="shared" si="26"/>
        <v>265.37271800000002</v>
      </c>
      <c r="J139" s="116">
        <f t="shared" si="26"/>
        <v>303.45663500000001</v>
      </c>
      <c r="K139" s="116">
        <f t="shared" si="26"/>
        <v>283.58392400000002</v>
      </c>
      <c r="L139" s="116">
        <f t="shared" si="26"/>
        <v>295.51749599999999</v>
      </c>
      <c r="M139" s="116">
        <f t="shared" si="26"/>
        <v>269.79137200000002</v>
      </c>
      <c r="N139" s="116">
        <f t="shared" si="26"/>
        <v>285.29845599999999</v>
      </c>
      <c r="O139" s="134">
        <f t="shared" si="26"/>
        <v>305.38632699999999</v>
      </c>
    </row>
    <row r="140" spans="1:15">
      <c r="A140" s="212"/>
      <c r="B140" s="122" t="s">
        <v>6</v>
      </c>
      <c r="C140" s="116">
        <f>HLOOKUP(C$117,$86:$115,23,FALSE)</f>
        <v>1.8534550000000001</v>
      </c>
      <c r="D140" s="116">
        <f t="shared" ref="D140:O140" si="27">HLOOKUP(D$117,$86:$115,23,FALSE)</f>
        <v>1.1397900000000001</v>
      </c>
      <c r="E140" s="116">
        <f t="shared" si="27"/>
        <v>1.2278610000000001</v>
      </c>
      <c r="F140" s="116">
        <f t="shared" si="27"/>
        <v>1.110916</v>
      </c>
      <c r="G140" s="116">
        <f t="shared" si="27"/>
        <v>1.4820450000000001</v>
      </c>
      <c r="H140" s="116">
        <f t="shared" si="27"/>
        <v>2.1263230000000002</v>
      </c>
      <c r="I140" s="116">
        <f t="shared" si="27"/>
        <v>1.7525280000000001</v>
      </c>
      <c r="J140" s="116">
        <f t="shared" si="27"/>
        <v>1.9171739999999999</v>
      </c>
      <c r="K140" s="116">
        <f t="shared" si="27"/>
        <v>2.44956</v>
      </c>
      <c r="L140" s="116">
        <f t="shared" si="27"/>
        <v>3.5629430000000002</v>
      </c>
      <c r="M140" s="116">
        <f t="shared" si="27"/>
        <v>3.5176750000000001</v>
      </c>
      <c r="N140" s="116">
        <f t="shared" si="27"/>
        <v>2.0750950000000001</v>
      </c>
      <c r="O140" s="134">
        <f t="shared" si="27"/>
        <v>1.3500719999999999</v>
      </c>
    </row>
    <row r="141" spans="1:15">
      <c r="A141" s="212"/>
      <c r="B141" s="122" t="s">
        <v>5</v>
      </c>
      <c r="C141" s="116">
        <f>HLOOKUP(C$117,$86:$115,24,FALSE)</f>
        <v>122.01863400000001</v>
      </c>
      <c r="D141" s="116">
        <f t="shared" ref="D141:O141" si="28">HLOOKUP(D$117,$86:$115,24,FALSE)</f>
        <v>91.768507</v>
      </c>
      <c r="E141" s="116">
        <f t="shared" si="28"/>
        <v>92.741405999999998</v>
      </c>
      <c r="F141" s="116">
        <f t="shared" si="28"/>
        <v>60.136758999999998</v>
      </c>
      <c r="G141" s="116">
        <f t="shared" si="28"/>
        <v>88.970084999999997</v>
      </c>
      <c r="H141" s="116">
        <f t="shared" si="28"/>
        <v>109.414616</v>
      </c>
      <c r="I141" s="116">
        <f t="shared" si="28"/>
        <v>120.763114</v>
      </c>
      <c r="J141" s="116">
        <f t="shared" si="28"/>
        <v>116.774248</v>
      </c>
      <c r="K141" s="116">
        <f t="shared" si="28"/>
        <v>159.50470799999999</v>
      </c>
      <c r="L141" s="116">
        <f t="shared" si="28"/>
        <v>180.96485300000001</v>
      </c>
      <c r="M141" s="116">
        <f t="shared" si="28"/>
        <v>183.67649499999999</v>
      </c>
      <c r="N141" s="116">
        <f t="shared" si="28"/>
        <v>123.261465</v>
      </c>
      <c r="O141" s="134">
        <f t="shared" si="28"/>
        <v>85.114315000000005</v>
      </c>
    </row>
    <row r="142" spans="1:15">
      <c r="A142" s="212"/>
      <c r="B142" s="122" t="s">
        <v>4</v>
      </c>
      <c r="C142" s="116">
        <f>HLOOKUP(C$117,$86:$115,25,FALSE)</f>
        <v>21.049275999999999</v>
      </c>
      <c r="D142" s="116">
        <f t="shared" ref="D142:O142" si="29">HLOOKUP(D$117,$86:$115,25,FALSE)</f>
        <v>15.037381999999999</v>
      </c>
      <c r="E142" s="116">
        <f t="shared" si="29"/>
        <v>17.045500000000001</v>
      </c>
      <c r="F142" s="116">
        <f t="shared" si="29"/>
        <v>18.038699999999999</v>
      </c>
      <c r="G142" s="116">
        <f t="shared" si="29"/>
        <v>18.864350999999999</v>
      </c>
      <c r="H142" s="116">
        <f t="shared" si="29"/>
        <v>25.047723999999999</v>
      </c>
      <c r="I142" s="116">
        <f t="shared" si="29"/>
        <v>25.164787</v>
      </c>
      <c r="J142" s="116">
        <f t="shared" si="29"/>
        <v>32.867409000000002</v>
      </c>
      <c r="K142" s="116">
        <f t="shared" si="29"/>
        <v>30.72391</v>
      </c>
      <c r="L142" s="116">
        <f t="shared" si="29"/>
        <v>34.258988000000002</v>
      </c>
      <c r="M142" s="116">
        <f t="shared" si="29"/>
        <v>31.953105999999998</v>
      </c>
      <c r="N142" s="116">
        <f t="shared" si="29"/>
        <v>26.440342000000001</v>
      </c>
      <c r="O142" s="134">
        <f t="shared" si="29"/>
        <v>26.61814</v>
      </c>
    </row>
    <row r="143" spans="1:15">
      <c r="A143" s="212"/>
      <c r="B143" s="122" t="s">
        <v>22</v>
      </c>
      <c r="C143" s="116">
        <f>HLOOKUP(C$117,$86:$115,26,FALSE)</f>
        <v>0.75599700000000003</v>
      </c>
      <c r="D143" s="116">
        <f t="shared" ref="D143:O143" si="30">HLOOKUP(D$117,$86:$115,26,FALSE)</f>
        <v>0.75323799999999996</v>
      </c>
      <c r="E143" s="116">
        <f t="shared" si="30"/>
        <v>0.82663799999999998</v>
      </c>
      <c r="F143" s="116">
        <f t="shared" si="30"/>
        <v>0.86053100000000005</v>
      </c>
      <c r="G143" s="116">
        <f t="shared" si="30"/>
        <v>0.72069799999999995</v>
      </c>
      <c r="H143" s="116">
        <f t="shared" si="30"/>
        <v>0.90984399999999999</v>
      </c>
      <c r="I143" s="116">
        <f t="shared" si="30"/>
        <v>0.61352399999999996</v>
      </c>
      <c r="J143" s="116">
        <f t="shared" si="30"/>
        <v>0.72146399999999999</v>
      </c>
      <c r="K143" s="116">
        <f t="shared" si="30"/>
        <v>0.696106</v>
      </c>
      <c r="L143" s="116">
        <f t="shared" si="30"/>
        <v>0.688222</v>
      </c>
      <c r="M143" s="116">
        <f t="shared" si="30"/>
        <v>0.71531400000000001</v>
      </c>
      <c r="N143" s="116">
        <f t="shared" si="30"/>
        <v>0.714812</v>
      </c>
      <c r="O143" s="134">
        <f t="shared" si="30"/>
        <v>0.73132799999999998</v>
      </c>
    </row>
    <row r="144" spans="1:15">
      <c r="A144" s="212"/>
      <c r="B144" s="127" t="s">
        <v>1</v>
      </c>
      <c r="C144" s="128">
        <f>HLOOKUP(C$117,$86:$115,27,FALSE)</f>
        <v>734.30680600000005</v>
      </c>
      <c r="D144" s="128">
        <f>HLOOKUP(D$117,$86:$115,27,FALSE)</f>
        <v>703.55680500000005</v>
      </c>
      <c r="E144" s="128">
        <f t="shared" ref="E144:O144" si="31">HLOOKUP(E$117,$86:$115,27,FALSE)</f>
        <v>719.89322900000002</v>
      </c>
      <c r="F144" s="128">
        <f t="shared" si="31"/>
        <v>713.27754000000004</v>
      </c>
      <c r="G144" s="128">
        <f t="shared" si="31"/>
        <v>649.83595400000002</v>
      </c>
      <c r="H144" s="128">
        <f t="shared" si="31"/>
        <v>711.83126400000003</v>
      </c>
      <c r="I144" s="128">
        <f t="shared" si="31"/>
        <v>672.23267399999997</v>
      </c>
      <c r="J144" s="128">
        <f t="shared" si="31"/>
        <v>700.46126500000003</v>
      </c>
      <c r="K144" s="128">
        <f t="shared" si="31"/>
        <v>692.78676099999996</v>
      </c>
      <c r="L144" s="128">
        <f t="shared" si="31"/>
        <v>753.60372900000004</v>
      </c>
      <c r="M144" s="128">
        <f t="shared" si="31"/>
        <v>754.74978099999998</v>
      </c>
      <c r="N144" s="128">
        <f t="shared" si="31"/>
        <v>724.12546299999997</v>
      </c>
      <c r="O144" s="128">
        <f t="shared" si="31"/>
        <v>728.44529599999998</v>
      </c>
    </row>
    <row r="145" spans="1:26">
      <c r="A145" s="212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9"/>
    </row>
    <row r="146" spans="1:26" ht="14.25">
      <c r="A146" s="213"/>
      <c r="B146" s="136" t="s">
        <v>75</v>
      </c>
      <c r="C146" s="140">
        <f>SUM(C136:C138)</f>
        <v>299.91777000000002</v>
      </c>
      <c r="D146" s="140">
        <f t="shared" ref="D146:N146" si="32">SUM(D136:D138)</f>
        <v>280.35018600000001</v>
      </c>
      <c r="E146" s="140">
        <f t="shared" si="32"/>
        <v>286.86553600000002</v>
      </c>
      <c r="F146" s="140">
        <f t="shared" si="32"/>
        <v>282.52258499999999</v>
      </c>
      <c r="G146" s="140">
        <f t="shared" si="32"/>
        <v>254.215059</v>
      </c>
      <c r="H146" s="140">
        <f t="shared" si="32"/>
        <v>285.51521100000002</v>
      </c>
      <c r="I146" s="140">
        <f t="shared" si="32"/>
        <v>258.29193100000003</v>
      </c>
      <c r="J146" s="140">
        <f t="shared" si="32"/>
        <v>244.42552999999998</v>
      </c>
      <c r="K146" s="140">
        <f t="shared" si="32"/>
        <v>215.54716999999999</v>
      </c>
      <c r="L146" s="140">
        <f t="shared" si="32"/>
        <v>238.316866</v>
      </c>
      <c r="M146" s="140">
        <f t="shared" si="32"/>
        <v>264.80307199999999</v>
      </c>
      <c r="N146" s="140">
        <f t="shared" si="32"/>
        <v>286.04636799999997</v>
      </c>
      <c r="O146" s="141">
        <f>SUM(O136:O138)</f>
        <v>308.95148699999999</v>
      </c>
    </row>
    <row r="149" spans="1:26" ht="15">
      <c r="A149" s="173"/>
      <c r="B149" s="173" t="s">
        <v>68</v>
      </c>
      <c r="C149" s="210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3"/>
      <c r="B150" s="173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3" t="s">
        <v>67</v>
      </c>
      <c r="B151" s="173" t="s">
        <v>102</v>
      </c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5" t="s">
        <v>127</v>
      </c>
      <c r="B152" s="175" t="s">
        <v>128</v>
      </c>
      <c r="C152" s="182">
        <v>4.8719999999999999E-2</v>
      </c>
      <c r="D152" s="182">
        <v>7.1000000000000002E-4</v>
      </c>
      <c r="E152" s="182">
        <v>2.3730000000000001E-2</v>
      </c>
      <c r="F152" s="182">
        <v>2.4279999999999999E-2</v>
      </c>
      <c r="G152" s="182">
        <v>0.12655</v>
      </c>
      <c r="H152" s="182">
        <v>2.32E-3</v>
      </c>
      <c r="I152" s="182">
        <v>-4.4999999999999999E-4</v>
      </c>
      <c r="J152" s="182">
        <v>0.12468</v>
      </c>
      <c r="K152" s="182">
        <v>0.11581</v>
      </c>
      <c r="L152" s="182">
        <v>1.8699999999999999E-3</v>
      </c>
      <c r="M152" s="182">
        <v>4.4600000000000004E-3</v>
      </c>
      <c r="N152" s="182">
        <v>0.10947999999999999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3"/>
      <c r="B155" s="173" t="s">
        <v>68</v>
      </c>
      <c r="C155" s="210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3"/>
      <c r="B156" s="173" t="s">
        <v>69</v>
      </c>
      <c r="C156" s="192" t="s">
        <v>90</v>
      </c>
      <c r="D156" s="192" t="s">
        <v>91</v>
      </c>
      <c r="E156" s="192" t="s">
        <v>92</v>
      </c>
      <c r="F156" s="192" t="s">
        <v>93</v>
      </c>
      <c r="G156" s="192" t="s">
        <v>94</v>
      </c>
      <c r="H156" s="192" t="s">
        <v>95</v>
      </c>
      <c r="I156" s="192" t="s">
        <v>96</v>
      </c>
      <c r="J156" s="192" t="s">
        <v>97</v>
      </c>
      <c r="K156" s="192" t="s">
        <v>98</v>
      </c>
      <c r="L156" s="192" t="s">
        <v>99</v>
      </c>
      <c r="M156" s="192" t="s">
        <v>100</v>
      </c>
      <c r="N156" s="192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3" t="s">
        <v>67</v>
      </c>
      <c r="B157" s="173" t="s">
        <v>102</v>
      </c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5" t="s">
        <v>127</v>
      </c>
      <c r="B158" s="175" t="s">
        <v>128</v>
      </c>
      <c r="C158" s="182">
        <v>-7.9799999999999992E-3</v>
      </c>
      <c r="D158" s="182">
        <v>2E-3</v>
      </c>
      <c r="E158" s="182">
        <v>2.9E-4</v>
      </c>
      <c r="F158" s="182">
        <v>-1.027E-2</v>
      </c>
      <c r="G158" s="193">
        <v>6.8500000000000005E-2</v>
      </c>
      <c r="H158" s="182">
        <v>1.42E-3</v>
      </c>
      <c r="I158" s="182">
        <v>1.1000000000000001E-3</v>
      </c>
      <c r="J158" s="182">
        <v>6.5979999999999997E-2</v>
      </c>
      <c r="K158" s="182">
        <v>7.041E-2</v>
      </c>
      <c r="L158" s="182">
        <v>1.1900000000000001E-3</v>
      </c>
      <c r="M158" s="182">
        <v>7.5000000000000002E-4</v>
      </c>
      <c r="N158" s="182">
        <v>6.8470000000000003E-2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Y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F9" sqref="F9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Octubre 2022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466.36658399999999</v>
      </c>
      <c r="G9" s="163">
        <f>Dat_01!T24*100</f>
        <v>4.8720256700000002</v>
      </c>
      <c r="H9" s="83">
        <f>Dat_01!U24/1000</f>
        <v>5277.1501210000006</v>
      </c>
      <c r="I9" s="163">
        <f>Dat_01!W24*100</f>
        <v>12.654719070000001</v>
      </c>
      <c r="J9" s="83">
        <f>Dat_01!X24/1000</f>
        <v>6121.0752889999994</v>
      </c>
      <c r="K9" s="163">
        <f>Dat_01!Y24*100</f>
        <v>11.580729770000001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7.1000000000000008E-2</v>
      </c>
      <c r="H12" s="103"/>
      <c r="I12" s="103">
        <f>Dat_01!H152*100</f>
        <v>0.23200000000000001</v>
      </c>
      <c r="J12" s="103"/>
      <c r="K12" s="103">
        <f>Dat_01!L152*100</f>
        <v>0.187</v>
      </c>
    </row>
    <row r="13" spans="3:12">
      <c r="E13" s="85" t="s">
        <v>42</v>
      </c>
      <c r="F13" s="84"/>
      <c r="G13" s="103">
        <f>Dat_01!E152*100</f>
        <v>2.3730000000000002</v>
      </c>
      <c r="H13" s="103"/>
      <c r="I13" s="103">
        <f>Dat_01!I152*100</f>
        <v>-4.4999999999999998E-2</v>
      </c>
      <c r="J13" s="103"/>
      <c r="K13" s="103">
        <f>Dat_01!M152*100</f>
        <v>0.44600000000000006</v>
      </c>
    </row>
    <row r="14" spans="3:12">
      <c r="E14" s="86" t="s">
        <v>43</v>
      </c>
      <c r="F14" s="87"/>
      <c r="G14" s="104">
        <f>Dat_01!F152*100</f>
        <v>2.4279999999999999</v>
      </c>
      <c r="H14" s="104"/>
      <c r="I14" s="104">
        <f>Dat_01!J152*100</f>
        <v>12.468</v>
      </c>
      <c r="J14" s="104"/>
      <c r="K14" s="104">
        <f>Dat_01!N152*100</f>
        <v>10.947999999999999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  <row r="22" spans="7:11">
      <c r="G22" s="176"/>
      <c r="H22" s="176"/>
      <c r="I22" s="176"/>
      <c r="J22" s="176"/>
      <c r="K22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H22" sqref="H2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Octubre 2022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728.44529599999998</v>
      </c>
      <c r="G9" s="163">
        <f>Dat_01!AB24*100</f>
        <v>-0.79823719000000004</v>
      </c>
      <c r="H9" s="83">
        <f>Dat_01!AC24/1000</f>
        <v>7101.3497269999998</v>
      </c>
      <c r="I9" s="163">
        <f>Dat_01!AE24*100</f>
        <v>6.8495324799999997</v>
      </c>
      <c r="J9" s="83">
        <f>Dat_01!AF24/1000</f>
        <v>8524.7997610000002</v>
      </c>
      <c r="K9" s="163">
        <f>Dat_01!AG24*100</f>
        <v>7.0410668800000007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0.2</v>
      </c>
      <c r="H12" s="103"/>
      <c r="I12" s="103">
        <f>Dat_01!H158*100</f>
        <v>0.14200000000000002</v>
      </c>
      <c r="J12" s="103"/>
      <c r="K12" s="103">
        <f>Dat_01!L158*100</f>
        <v>0.11900000000000001</v>
      </c>
    </row>
    <row r="13" spans="3:12">
      <c r="E13" s="85" t="s">
        <v>42</v>
      </c>
      <c r="F13" s="84"/>
      <c r="G13" s="103">
        <f>Dat_01!E158*100</f>
        <v>2.9000000000000001E-2</v>
      </c>
      <c r="H13" s="103"/>
      <c r="I13" s="103">
        <f>Dat_01!I158*100</f>
        <v>0.11</v>
      </c>
      <c r="J13" s="103"/>
      <c r="K13" s="103">
        <f>Dat_01!M158*100</f>
        <v>7.4999999999999997E-2</v>
      </c>
    </row>
    <row r="14" spans="3:12">
      <c r="E14" s="86" t="s">
        <v>43</v>
      </c>
      <c r="F14" s="87"/>
      <c r="G14" s="104">
        <f>Dat_01!F158*100</f>
        <v>-1.0269999999999999</v>
      </c>
      <c r="H14" s="104"/>
      <c r="I14" s="104">
        <f>Dat_01!J158*100</f>
        <v>6.5979999999999999</v>
      </c>
      <c r="J14" s="104"/>
      <c r="K14" s="104">
        <f>Dat_01!N158*100</f>
        <v>6.8470000000000004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6"/>
      <c r="H19" s="176"/>
      <c r="I19" s="176"/>
      <c r="J19" s="176"/>
      <c r="K19" s="176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134</v>
      </c>
    </row>
    <row r="2" spans="1:2">
      <c r="A2" t="s">
        <v>129</v>
      </c>
    </row>
    <row r="3" spans="1:2">
      <c r="A3" t="s">
        <v>131</v>
      </c>
    </row>
    <row r="4" spans="1:2">
      <c r="A4" t="s">
        <v>132</v>
      </c>
    </row>
    <row r="5" spans="1:2">
      <c r="A5" t="s">
        <v>133</v>
      </c>
    </row>
    <row r="6" spans="1:2">
      <c r="A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Octubre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2" t="s">
        <v>3</v>
      </c>
      <c r="G9" s="17" t="s">
        <v>3</v>
      </c>
      <c r="H9" s="17">
        <f>Dat_01!Z8/1000</f>
        <v>0.29362700000000003</v>
      </c>
      <c r="I9" s="17">
        <f>IF(Dat_01!AB8*100=-100,"-",Dat_01!AB8*100)</f>
        <v>3.9361856500000001</v>
      </c>
      <c r="J9" s="152" t="s">
        <v>3</v>
      </c>
      <c r="K9" s="17" t="s">
        <v>3</v>
      </c>
      <c r="L9" s="152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2" t="s">
        <v>3</v>
      </c>
      <c r="G10" s="17" t="s">
        <v>3</v>
      </c>
      <c r="H10" s="152">
        <f>Dat_01!Z15/1000</f>
        <v>1.3500719999999999</v>
      </c>
      <c r="I10" s="17">
        <f>Dat_01!AB15*100</f>
        <v>-27.159170310000004</v>
      </c>
      <c r="J10" s="152" t="s">
        <v>3</v>
      </c>
      <c r="K10" s="17" t="s">
        <v>3</v>
      </c>
      <c r="L10" s="152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2.8530000000000001E-3</v>
      </c>
      <c r="G11" s="17">
        <f>Dat_01!T16*100</f>
        <v>-98.942346189999995</v>
      </c>
      <c r="H11" s="152">
        <f>Dat_01!Z16/1000</f>
        <v>85.114315000000005</v>
      </c>
      <c r="I11" s="17">
        <f>Dat_01!AB16*100</f>
        <v>-30.244822280000001</v>
      </c>
      <c r="J11" s="152" t="s">
        <v>3</v>
      </c>
      <c r="K11" s="17" t="s">
        <v>3</v>
      </c>
      <c r="L11" s="152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2">
        <f>Dat_01!R17/1000</f>
        <v>23.236149000000001</v>
      </c>
      <c r="G12" s="17">
        <f>Dat_01!T17*100</f>
        <v>38.215469849999998</v>
      </c>
      <c r="H12" s="152">
        <f>Dat_01!Z17/1000</f>
        <v>26.61814</v>
      </c>
      <c r="I12" s="17">
        <f>Dat_01!AB17*100</f>
        <v>26.456320869999999</v>
      </c>
      <c r="J12" s="152" t="s">
        <v>3</v>
      </c>
      <c r="K12" s="17" t="s">
        <v>3</v>
      </c>
      <c r="L12" s="17">
        <f>Dat_01!J17/1000</f>
        <v>5.156E-3</v>
      </c>
      <c r="M12" s="17">
        <f>IF(Dat_01!L17*100=-100,"-",Dat_01!L17*100)</f>
        <v>-14.480013270000001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9.6992000000000009E-2</v>
      </c>
      <c r="G13" s="17">
        <f>Dat_01!T18*100</f>
        <v>-60.095285509999997</v>
      </c>
      <c r="H13" s="152">
        <f>Dat_01!Z18/1000</f>
        <v>0.73132799999999998</v>
      </c>
      <c r="I13" s="17">
        <f>IF(Dat_01!AB18*100=-100,"-",Dat_01!AB18*100)</f>
        <v>-3.2631081899999996</v>
      </c>
      <c r="J13" s="152" t="s">
        <v>3</v>
      </c>
      <c r="K13" s="17" t="s">
        <v>3</v>
      </c>
      <c r="L13" s="152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2">
        <f>Dat_01!R21/1000</f>
        <v>11.230754999999998</v>
      </c>
      <c r="G14" s="17">
        <f>Dat_01!T21*100</f>
        <v>75.081143019999999</v>
      </c>
      <c r="H14" s="152" t="s">
        <v>3</v>
      </c>
      <c r="I14" s="17" t="s">
        <v>3</v>
      </c>
      <c r="J14" s="152" t="s">
        <v>3</v>
      </c>
      <c r="K14" s="17" t="s">
        <v>3</v>
      </c>
      <c r="L14" s="17">
        <f>Dat_01!J21/1000</f>
        <v>0.46825499999999998</v>
      </c>
      <c r="M14" s="17">
        <f>Dat_01!L21*100</f>
        <v>-8.8416343499999996</v>
      </c>
      <c r="N14" s="10"/>
      <c r="O14" s="10"/>
    </row>
    <row r="15" spans="3:23" s="2" customFormat="1" ht="12.75" customHeight="1">
      <c r="C15" s="13"/>
      <c r="E15" s="168" t="s">
        <v>80</v>
      </c>
      <c r="F15" s="171">
        <f>SUM(F9:F14)</f>
        <v>34.566749000000002</v>
      </c>
      <c r="G15" s="172">
        <f>((SUM(Dat_01!R8,Dat_01!R15:R18,Dat_01!R20)/SUM(Dat_01!S8,Dat_01!S15:S18,Dat_01!S20))-1)*100</f>
        <v>45.61197259507761</v>
      </c>
      <c r="H15" s="171">
        <f>SUM(H9:H14)</f>
        <v>114.107482</v>
      </c>
      <c r="I15" s="172">
        <f>((SUM(Dat_01!Z8,Dat_01!Z15:Z18,Dat_01!Z20)/SUM(Dat_01!AA8,Dat_01!AA15:AA18,Dat_01!AA20))-1)*100</f>
        <v>-21.822701827719516</v>
      </c>
      <c r="J15" s="171" t="s">
        <v>3</v>
      </c>
      <c r="K15" s="172" t="s">
        <v>3</v>
      </c>
      <c r="L15" s="172">
        <f>SUM(L9:L14)</f>
        <v>0.47341099999999997</v>
      </c>
      <c r="M15" s="172">
        <f>((SUM(Dat_01!J8,Dat_01!J15:J18,Dat_01!J21)/SUM(Dat_01!K8,Dat_01!K15:K18,Dat_01!K20))-1)*100</f>
        <v>-8.9070446275839377</v>
      </c>
      <c r="N15" s="10"/>
      <c r="O15" s="10"/>
    </row>
    <row r="16" spans="3:23" s="7" customFormat="1" ht="12.75" customHeight="1">
      <c r="C16" s="23"/>
      <c r="E16" s="20" t="s">
        <v>11</v>
      </c>
      <c r="F16" s="152">
        <f>Dat_01!R9/1000</f>
        <v>-0.613232</v>
      </c>
      <c r="G16" s="17" t="s">
        <v>3</v>
      </c>
      <c r="H16" s="152" t="s">
        <v>3</v>
      </c>
      <c r="I16" s="17" t="s">
        <v>3</v>
      </c>
      <c r="J16" s="152" t="s">
        <v>3</v>
      </c>
      <c r="K16" s="17" t="s">
        <v>3</v>
      </c>
      <c r="L16" s="152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3">
        <f>SUM(Dat_01!R10,Dat_01!R14)/1000</f>
        <v>18.070983000000002</v>
      </c>
      <c r="G17" s="24">
        <f>((SUM(Dat_01!R10,Dat_01!R14)/SUM(Dat_01!S10,Dat_01!S14))-1)*100</f>
        <v>-56.660217536605316</v>
      </c>
      <c r="H17" s="153">
        <f>SUM(Dat_01!Z10,Dat_01!Z14)/1000</f>
        <v>153.679869</v>
      </c>
      <c r="I17" s="24">
        <f>((SUM(Dat_01!Z10,Dat_01!Z14)/SUM(Dat_01!AA10,Dat_01!AA14))-1)*100</f>
        <v>-3.9608388612922929</v>
      </c>
      <c r="J17" s="153">
        <f>Dat_01!B10/1000</f>
        <v>16.124659999999999</v>
      </c>
      <c r="K17" s="24">
        <f>Dat_01!D10*100</f>
        <v>-1.8048317500000002</v>
      </c>
      <c r="L17" s="153">
        <f>Dat_01!J10/1000</f>
        <v>14.435040000000001</v>
      </c>
      <c r="M17" s="24">
        <f>Dat_01!L10*100</f>
        <v>-6.4818491399999996</v>
      </c>
      <c r="N17" s="162"/>
      <c r="O17" s="161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3">
        <f>Dat_01!R11/1000</f>
        <v>42.597769999999997</v>
      </c>
      <c r="G18" s="24">
        <f>Dat_01!T11*100</f>
        <v>125.72593233000001</v>
      </c>
      <c r="H18" s="153">
        <f>Dat_01!Z11/1000</f>
        <v>36.672798</v>
      </c>
      <c r="I18" s="24">
        <f>Dat_01!AB11*100</f>
        <v>33.766198899999999</v>
      </c>
      <c r="J18" s="153">
        <f>Dat_01!B11/1000</f>
        <v>3.2060000000000001E-3</v>
      </c>
      <c r="K18" s="24">
        <f>IF(Dat_01!D11=-100%,"-",Dat_01!D11*100)</f>
        <v>-88.449760420000004</v>
      </c>
      <c r="L18" s="153">
        <f>Dat_01!J11/1000</f>
        <v>1.56E-3</v>
      </c>
      <c r="M18" s="24">
        <f>IF(Dat_01!L11*100=-100,"-",Dat_01!L11*100)</f>
        <v>0</v>
      </c>
      <c r="N18" s="162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3" t="s">
        <v>3</v>
      </c>
      <c r="G19" s="24" t="s">
        <v>3</v>
      </c>
      <c r="H19" s="153">
        <f>Dat_01!Z12/1000</f>
        <v>118.59882</v>
      </c>
      <c r="I19" s="24">
        <f>Dat_01!AB12*100</f>
        <v>5.4359296800000001</v>
      </c>
      <c r="J19" s="153" t="s">
        <v>3</v>
      </c>
      <c r="K19" s="153" t="s">
        <v>3</v>
      </c>
      <c r="L19" s="153" t="s">
        <v>3</v>
      </c>
      <c r="M19" s="153" t="s">
        <v>3</v>
      </c>
      <c r="N19" s="162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2">
        <f>SUM(F17:F19)</f>
        <v>60.668752999999995</v>
      </c>
      <c r="G20" s="17">
        <f>((SUM(Dat_01!R10:R12,Dat_01!R14)/SUM(Dat_01!S10:S12,Dat_01!S14))-1)*100</f>
        <v>0.16714239194772773</v>
      </c>
      <c r="H20" s="152">
        <f>SUM(H17:H19)</f>
        <v>308.95148699999999</v>
      </c>
      <c r="I20" s="17">
        <f>(H20/(H17/(I17/100+1)+H18/(I18/100+1)+H19/(I19/100+1))-1)*100</f>
        <v>3.0120646077560709</v>
      </c>
      <c r="J20" s="152">
        <f>SUM(J17:J19)</f>
        <v>16.127865999999997</v>
      </c>
      <c r="K20" s="17">
        <f>((SUM(Dat_01!B10:B12)/SUM(Dat_01!C10:C12))-1)*100</f>
        <v>-1.9510433260466864</v>
      </c>
      <c r="L20" s="152">
        <f>SUM(L17:L19)</f>
        <v>14.4366</v>
      </c>
      <c r="M20" s="17">
        <f>((SUM(Dat_01!J10:J12)/SUM(Dat_01!K10:K12))-1)*100</f>
        <v>-6.4717425988541137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2">
        <f>Dat_01!R13/1000</f>
        <v>297.32130999999998</v>
      </c>
      <c r="G21" s="17">
        <f>Dat_01!T13*100</f>
        <v>-4.7362815400000002</v>
      </c>
      <c r="H21" s="152">
        <f>Dat_01!Z13/1000</f>
        <v>305.38632699999999</v>
      </c>
      <c r="I21" s="17">
        <f>Dat_01!AB13*100</f>
        <v>5.8791418999999996</v>
      </c>
      <c r="J21" s="152" t="s">
        <v>3</v>
      </c>
      <c r="K21" s="17" t="s">
        <v>3</v>
      </c>
      <c r="L21" s="152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2">
        <f>Dat_01!R19/1000</f>
        <v>1.826864</v>
      </c>
      <c r="G22" s="17">
        <f>Dat_01!T19*100</f>
        <v>-56.231603090000007</v>
      </c>
      <c r="H22" s="152">
        <f>Dat_01!Z19/1000</f>
        <v>0</v>
      </c>
      <c r="I22" s="17" t="s">
        <v>3</v>
      </c>
      <c r="J22" s="152" t="s">
        <v>3</v>
      </c>
      <c r="K22" s="17" t="s">
        <v>3</v>
      </c>
      <c r="L22" s="152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2">
        <f>Dat_01!R20/1000</f>
        <v>11.230754999999998</v>
      </c>
      <c r="G23" s="17">
        <f>Dat_01!T20*100</f>
        <v>75.081143019999999</v>
      </c>
      <c r="H23" s="152" t="s">
        <v>3</v>
      </c>
      <c r="I23" s="17" t="s">
        <v>3</v>
      </c>
      <c r="J23" s="152" t="s">
        <v>3</v>
      </c>
      <c r="K23" s="17" t="s">
        <v>3</v>
      </c>
      <c r="L23" s="17">
        <f>Dat_01!J20/1000</f>
        <v>0.46825499999999998</v>
      </c>
      <c r="M23" s="17">
        <f>Dat_01!L20*100</f>
        <v>-8.8416343499999996</v>
      </c>
      <c r="N23" s="10"/>
      <c r="O23" s="10"/>
    </row>
    <row r="24" spans="3:23" s="2" customFormat="1" ht="12.75" customHeight="1">
      <c r="C24" s="13"/>
      <c r="E24" s="168" t="s">
        <v>81</v>
      </c>
      <c r="F24" s="154">
        <f>SUM(F16,F20:F23)</f>
        <v>370.43444999999997</v>
      </c>
      <c r="G24" s="172">
        <f>((SUM(Dat_01!R9:R14,Dat_01!R19,Dat_01!R21)/SUM(Dat_01!S9:S14,Dat_01!S19,Dat_01!S21))-1)*100</f>
        <v>-3.1989793396653199</v>
      </c>
      <c r="H24" s="154">
        <f>SUM(H16,H20:H23)</f>
        <v>614.33781399999998</v>
      </c>
      <c r="I24" s="172">
        <f>((SUM(Dat_01!Z9:Z14,Dat_01!Z19,Dat_01!Z21)/SUM(Dat_01!AA9:AA14,Dat_01!AA19,Dat_01!AA21))-1)*100</f>
        <v>4.4176106588619701</v>
      </c>
      <c r="J24" s="154">
        <f>SUM(J16,J20:J23)</f>
        <v>16.127865999999997</v>
      </c>
      <c r="K24" s="172">
        <f>((SUM(Dat_01!B9:B14,Dat_01!B19,Dat_01!B21)/SUM(Dat_01!C9:C14,Dat_01!C19,Dat_01!C21))-1)*100</f>
        <v>-1.9510433260466864</v>
      </c>
      <c r="L24" s="154">
        <f>SUM(L16,L20:L23)</f>
        <v>14.904855</v>
      </c>
      <c r="M24" s="172">
        <f>((SUM(Dat_01!J9:J14,Dat_01!J19,Dat_01!J21)/SUM(Dat_01!K9:K14,Dat_01!K19,Dat_01!K21))-1)*100</f>
        <v>-6.5480690248131967</v>
      </c>
      <c r="N24" s="10"/>
      <c r="O24" s="10"/>
    </row>
    <row r="25" spans="3:23" s="2" customFormat="1" ht="12.75" customHeight="1">
      <c r="C25" s="16"/>
      <c r="E25" s="15" t="s">
        <v>87</v>
      </c>
      <c r="F25" s="155">
        <f>Dat_01!R23/1000</f>
        <v>61.365385000000003</v>
      </c>
      <c r="G25" s="14">
        <f>Dat_01!T23*100</f>
        <v>60.283514459999999</v>
      </c>
      <c r="H25" s="155" t="s">
        <v>3</v>
      </c>
      <c r="I25" s="155" t="s">
        <v>3</v>
      </c>
      <c r="J25" s="155" t="s">
        <v>3</v>
      </c>
      <c r="K25" s="155" t="s">
        <v>3</v>
      </c>
      <c r="L25" s="155" t="s">
        <v>3</v>
      </c>
      <c r="M25" s="155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6">
        <f>Dat_01!R24/1000</f>
        <v>466.36658399999999</v>
      </c>
      <c r="G26" s="11">
        <f>Dat_01!T24*100</f>
        <v>4.8720256700000002</v>
      </c>
      <c r="H26" s="156">
        <f>Dat_01!Z24/1000</f>
        <v>728.44529599999998</v>
      </c>
      <c r="I26" s="11">
        <f>Dat_01!AB24*100</f>
        <v>-0.79823719000000004</v>
      </c>
      <c r="J26" s="156">
        <f>Dat_01!B24/1000</f>
        <v>16.127866000000001</v>
      </c>
      <c r="K26" s="11">
        <f>Dat_01!D24*100</f>
        <v>-1.9510433300000001</v>
      </c>
      <c r="L26" s="156">
        <f>Dat_01!J24/1000</f>
        <v>15.378266</v>
      </c>
      <c r="M26" s="11">
        <f>Dat_01!L24*100</f>
        <v>-6.6225099600000004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69"/>
      <c r="M27" s="170"/>
      <c r="N27" s="10"/>
      <c r="O27" s="10"/>
    </row>
    <row r="28" spans="3:23" s="2" customFormat="1" ht="34.5" customHeight="1">
      <c r="C28" s="13"/>
      <c r="E28" s="205" t="s">
        <v>105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82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85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86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36" sqref="I36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0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4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6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2022-11-16T08:20:16Z</dcterms:modified>
</cp:coreProperties>
</file>