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MAY\INF_ELABORADA\"/>
    </mc:Choice>
  </mc:AlternateContent>
  <xr:revisionPtr revIDLastSave="0" documentId="13_ncr:1_{E39A0886-AB9F-4149-9195-D56078D08C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Dat_01!$A$85:$T$113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22" l="1"/>
  <c r="G13" i="22"/>
  <c r="R26" i="18"/>
  <c r="R25" i="18"/>
  <c r="G22" i="22"/>
  <c r="G11" i="22"/>
  <c r="I11" i="22"/>
  <c r="S25" i="18" l="1"/>
  <c r="T25" i="18" s="1"/>
  <c r="C47" i="18" l="1"/>
  <c r="S26" i="18" l="1"/>
  <c r="B47" i="18"/>
  <c r="G68" i="18" l="1"/>
  <c r="B26" i="18"/>
  <c r="I17" i="22"/>
  <c r="G17" i="22"/>
  <c r="H17" i="22"/>
  <c r="I13" i="22"/>
  <c r="M20" i="22"/>
  <c r="K20" i="22"/>
  <c r="M18" i="22"/>
  <c r="M12" i="22"/>
  <c r="I9" i="22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8" i="18" l="1"/>
  <c r="D69" i="18"/>
  <c r="D75" i="18"/>
  <c r="D70" i="18"/>
  <c r="D76" i="18"/>
  <c r="D71" i="18"/>
  <c r="D73" i="18"/>
  <c r="D77" i="18"/>
  <c r="D74" i="18"/>
  <c r="D78" i="18"/>
  <c r="C80" i="18"/>
  <c r="B68" i="18" s="1"/>
  <c r="B79" i="18" l="1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F13" i="22"/>
  <c r="L12" i="22"/>
  <c r="I12" i="22"/>
  <c r="H12" i="22"/>
  <c r="G12" i="22"/>
  <c r="F12" i="22"/>
  <c r="H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46" i="18" l="1"/>
  <c r="N140" i="18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<sst xmlns="http://schemas.openxmlformats.org/spreadsheetml/2006/main" count="426" uniqueCount="131">
  <si>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</si>
  <si>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</si>
  <si>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</si>
  <si>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</si>
  <si>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</si>
  <si>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</si>
  <si>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</si>
  <si>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</si>
  <si>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</si>
  <si>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</si>
  <si>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</si>
  <si>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</si>
  <si>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</si>
  <si>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</si>
  <si>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</si>
  <si>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</si>
  <si>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</si>
  <si>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</si>
  <si>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</si>
  <si>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</si>
  <si>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</si>
  <si>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</si>
  <si>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</si>
  <si>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</si>
  <si>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</si>
  <si>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</si>
  <si>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</si>
  <si>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</si>
  <si>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</si>
  <si>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</si>
  <si>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</si>
  <si>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</si>
  <si>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</si>
  <si>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</si>
  <si>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</si>
  <si>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</si>
  <si>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</si>
  <si>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</si>
  <si>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</si>
  <si>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</si>
  <si>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</si>
  <si>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</si>
  <si>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</si>
  <si>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</si>
  <si>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</si>
  <si>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</si>
  <si>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</si>
  <si>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</si>
  <si>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</si>
  <si>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</si>
  <si>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</si>
  <si>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</si>
  <si>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</si>
  <si>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</si>
  <si>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</si>
  <si>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</si>
  <si>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</si>
  <si>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</si>
  <si>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</si>
  <si>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</si>
  <si>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</si>
  <si>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</si>
  <si>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</si>
  <si>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</si>
  <si>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</si>
  <si>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</si>
  <si>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</si>
  <si>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</si>
  <si>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</si>
  <si>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</si>
  <si>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</si>
  <si>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</si>
  <si>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</si>
  <si>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</si>
  <si>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</si>
  <si>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</si>
  <si>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</si>
  <si>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</si>
  <si>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</si>
  <si>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</si>
  <si>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</si>
  <si>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</si>
  <si>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</si>
  <si>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</si>
  <si>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</si>
  <si>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</si>
  <si>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</si>
  <si>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</si>
  <si>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</si>
  <si>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</si>
  <si>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</si>
  <si>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</si>
  <si>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</si>
  <si>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</si>
  <si>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</si>
  <si>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</si>
  <si>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</si>
  <si>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</si>
  <si>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</si>
  <si>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</si>
  <si>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</si>
  <si>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</si>
  <si>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</si>
  <si>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</si>
  <si>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</si>
  <si>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</si>
  <si>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</si>
  <si>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</si>
  <si>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</si>
  <si>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</si>
  <si>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</si>
  <si>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</si>
  <si>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</si>
  <si>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</si>
  <si>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</si>
  <si>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</si>
  <si>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</si>
  <si>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</si>
  <si>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</si>
  <si>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</si>
  <si>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</si>
  <si>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</si>
  <si>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</si>
  <si>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31/05/2024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</si>
  <si>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10:02:53"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msgID="C112376211EF27D99A360080EF553199"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</si>
  <si>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ut="06/11/2024 10:06:47"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msgID="D07168FF11EF27D99A360080EF25D097"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nrr="1564" nrc="2944"&gt;&lt;pg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</si>
  <si>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Junio 2024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</si>
  <si>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ut="06/11/2024 10:24:40" si="2.00000001cea5d09479d71f8c0416a72286cd1d06fab30e33175890d6d6728dc7876edfda3711de987d1e026fd3b5f85b04e8285a769f61b85e71b58885ffc0da6352c070e27ee72554dc4c63af2867538158079b76789c95634642e78ff6be44c188ca71596e5682c019e7743e60cebdc33c63f2ed7222b7bb233a5b5d89bea9c3cef1298c38ff3b4923bccb05773d921663f62221879156f409384196da119e5047.p.3082.0.1.Europe/Madrid.upriv*_1*_pidn2*_20*_session*-lat*_1.000000012366749494c124bc8baa8e4a0be73c88bc6025e082372b9c5372b5505e6b5e285720e0f3c4c61c92b60cc7c87634ec3c548ead00.000000011795ea55f45defbaad378a7b8893d404bc6025e0b10379745adad98d054f94eaab48d172af6ad80ddf464828ceb572851d566a43.0.1.1.BDEbi.D066E1C611E6257C10D00080EF253B44.0-3082.1.1_-0.1.0_-3082.1.1_5.5.0.*0.000000019809d68649af818168a2d769ba1676b1c911585a1873f84f75ebfbfaba364c3264d4a0d4.0.23.11*.2*.0400*.31152J.e.00000001c08be9b6301e762c68e8c66c4281f136c911585a25f4fd9104f78c1783adc049418c8b7f.0.10*.131*.122*.122.0.0" msgID="2A35E3EA11EF27DC9A360080EFA5CF96"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rows="29" cols="20" /&gt;&lt;esdo ews="" ece="" ptn="" /&gt;&lt;/excel&gt;&lt;pgs&gt;&lt;pg rows="26" cols="18" nrr="2275" nrc="1730"&gt;&lt;pg /&gt;&lt;bls&gt;&lt;bl sr="1" sc="1" rfetch="26" cfetch="18" posid="1" darows="0" dacols="1"&gt;&lt;excel&gt;&lt;epo ews="Dat_01" ece="A85" enr="MSTR.Serie_Balance_B.C._Mensual_Baleares_y_Canarias" ptn="" qtn="" rows="29" cols="20" /&gt;&lt;esdo ews="" ece="" ptn="" /&gt;&lt;/excel&gt;&lt;gridRng&gt;&lt;sect id="TITLE_AREA" rngprop="1:1:3:2" /&gt;&lt;sect id="ROWHEADERS_AREA" rngprop="4:1:26:2" /&gt;&lt;sect id="COLUMNHEADERS_AREA" rngprop="1:3:3:18" /&gt;&lt;sect id="DATA_AREA" rngprop="4:3:26:18"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</si>
  <si>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ut="06/11/2024 10:28:38" si="2.000000011bb30788eb90b861333331f2dc45c71ea81d9651c6e32dd1e7b22a492c4892e5932af951d0e6610b8bc8e530335337c4134ccae90b1442a8f550569f57b4de9c667902ebe063493365458f2263a53ab77c509094cec53a013617036e4eb7a923d7e3f57e9b86bb50cc34e0d500234dff7b724ab960abe3cf1b0b89d89befc59ebca2c8d8fe509ad573cabd16c87af797b7e86087cc834016c0636a29465b.p.3082.0.1.Europe/Madrid.upriv*_1*_pidn2*_15*_session*-lat*_1.0000000195fcf45c91bf215bb77fcfae7463edb0bc6025e0aecb1c00b0282df246abd1c668a0a057b70ab98d65f505a29b211958d2fd1258.000000013f14afe8f84b8d3729405f4f0b2ac4b4bc6025e0184afb97396f39c587444ca3449d08d35cc4a2e9b0c6d2cfb73fa95727cf0de2.0.1.1.BDEbi.D066E1C611E6257C10D00080EF253B44.0-3082.1.1_-0.1.0_-3082.1.1_5.5.0.*0.0000000177e90572d8757c5e42c62d398a41b367c911585abd2ddd1f950875efd656a9943142b7b9.0.23.11*.2*.0400*.31152J.e.00000001b994789d89c88ad9740318ae774088a1c911585abfdcc62f38d42d036ad165ef5ef4a233.0.10*.131*.122*.122.0.0" msgID="4F5B5A9711EF27DD9A360080EF35F097"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nrr="118" nrc="852"&gt;&lt;pg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</si>
  <si>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6a472313a8c34c72962f8636f6c34f0e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</si>
  <si>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ut="06/11/2024 10:29:03" si="2.000000011bb30788eb90b861333331f2dc45c71ea81d9651c6e32dd1e7b22a492c4892e5932af951d0e6610b8bc8e530335337c4134ccae90b1442a8f550569f57b4de9c667902ebe063493365458f2263a53ab77c509094cec53a013617036e4eb7a923d7e3f57e9b86bb50cc34e0d500234dff7b724ab960abe3cf1b0b89d89befc59ebca2c8d8fe509ad573cabd16c87af797b7e86087cc834016c0636a29465b.p.3082.0.1.Europe/Madrid.upriv*_1*_pidn2*_15*_session*-lat*_1.0000000195fcf45c91bf215bb77fcfae7463edb0bc6025e0aecb1c00b0282df246abd1c668a0a057b70ab98d65f505a29b211958d2fd1258.000000013f14afe8f84b8d3729405f4f0b2ac4b4bc6025e0184afb97396f39c587444ca3449d08d35cc4a2e9b0c6d2cfb73fa95727cf0de2.0.1.1.BDEbi.D066E1C611E6257C10D00080EF253B44.0-3082.1.1_-0.1.0_-3082.1.1_5.5.0.*0.0000000177e90572d8757c5e42c62d398a41b367c911585abd2ddd1f950875efd656a9943142b7b9.0.23.11*.2*.0400*.31152J.e.00000001b994789d89c88ad9740318ae774088a1c911585abfdcc62f38d42d036ad165ef5ef4a233.0.10*.131*.122*.122.0.0" msgID="664CDC5311EF27DD9A360080EF654F95"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nrr="74" nrc="900"&gt;&lt;pg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</si>
</sst>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  <numFmt numFmtId="173" formatCode="0.000"/>
    <numFmt numFmtId="174" formatCode="0.0%"/>
  </numFmts>
  <fonts count="5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11"/>
      <color theme="1"/>
      <name val="Calibri"/>
      <family val="2"/>
      <scheme val="minor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5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  <xf numFmtId="9" fontId="50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4" fontId="45" fillId="0" borderId="0" xfId="0" applyNumberFormat="1" applyFont="1"/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73" fontId="34" fillId="5" borderId="10" xfId="16" applyNumberFormat="1">
      <alignment horizontal="right" vertical="center"/>
    </xf>
    <xf numFmtId="173" fontId="32" fillId="6" borderId="10" xfId="13" applyNumberFormat="1">
      <alignment horizontal="right" vertical="center"/>
    </xf>
    <xf numFmtId="173" fontId="0" fillId="0" borderId="0" xfId="0" applyNumberFormat="1"/>
    <xf numFmtId="174" fontId="45" fillId="0" borderId="0" xfId="34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8" fontId="51" fillId="0" borderId="0" xfId="0" applyNumberFormat="1" applyFont="1"/>
    <xf numFmtId="0" fontId="51" fillId="0" borderId="0" xfId="0" applyFont="1"/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5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  <cellStyle name="Porcentaje" xfId="34" builtinId="5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layout>
                <c:manualLayout>
                  <c:x val="0.12682926829268282"/>
                  <c:y val="-9.31372549019607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9186991869918699"/>
                  <c:y val="-8.534815501003550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20096613533064453"/>
                  <c:y val="5.11110467809170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27222508162089493"/>
                  <c:y val="0.11120334645669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308930286153254"/>
                  <c:y val="0.216568503937007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7235772357723578"/>
                  <c:y val="0.110049999999999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749619102490236"/>
                  <c:y val="-1.30666203489270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8699186991869918"/>
                  <c:y val="-0.107824803149606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7216208949491063"/>
                  <c:y val="-0.130824803149606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4.654698287618614</c:v>
                </c:pt>
                <c:pt idx="1">
                  <c:v>2.5074387125373243</c:v>
                </c:pt>
                <c:pt idx="2">
                  <c:v>6.1997235992726782</c:v>
                </c:pt>
                <c:pt idx="3">
                  <c:v>43.599840252055806</c:v>
                </c:pt>
                <c:pt idx="4">
                  <c:v>0</c:v>
                </c:pt>
                <c:pt idx="5">
                  <c:v>0.74642370946002801</c:v>
                </c:pt>
                <c:pt idx="6">
                  <c:v>2.5884276509391988</c:v>
                </c:pt>
                <c:pt idx="7">
                  <c:v>2.5884276509391988</c:v>
                </c:pt>
                <c:pt idx="8">
                  <c:v>0</c:v>
                </c:pt>
                <c:pt idx="9">
                  <c:v>12.273408665946619</c:v>
                </c:pt>
                <c:pt idx="10">
                  <c:v>8.7267859296764165E-3</c:v>
                </c:pt>
                <c:pt idx="11">
                  <c:v>24.832884685300847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00813008130081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6"/>
                  <c:y val="0.14746023622047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17560975609756097"/>
                  <c:y val="0.294803937007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016260162601626"/>
                  <c:y val="0.16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1951219512195122"/>
                  <c:y val="2.99019685039370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5934959349593497"/>
                  <c:y val="-9.82641732283464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365866461814223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3.0894308943089432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10.806718415868415</c:v>
                </c:pt>
                <c:pt idx="1">
                  <c:v>6.245673910331913</c:v>
                </c:pt>
                <c:pt idx="2">
                  <c:v>27.021276437024223</c:v>
                </c:pt>
                <c:pt idx="3">
                  <c:v>36.869189819312268</c:v>
                </c:pt>
                <c:pt idx="4">
                  <c:v>0</c:v>
                </c:pt>
                <c:pt idx="5">
                  <c:v>0.51627618700684808</c:v>
                </c:pt>
                <c:pt idx="6">
                  <c:v>1.6756686100890497</c:v>
                </c:pt>
                <c:pt idx="7">
                  <c:v>1.6756686100890497</c:v>
                </c:pt>
                <c:pt idx="8">
                  <c:v>0.1598381755746707</c:v>
                </c:pt>
                <c:pt idx="9">
                  <c:v>14.93425737108084</c:v>
                </c:pt>
                <c:pt idx="10">
                  <c:v>9.5432463622718594E-2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-0.83296899999999996</c:v>
                </c:pt>
                <c:pt idx="1">
                  <c:v>3.1799559999999998</c:v>
                </c:pt>
                <c:pt idx="2">
                  <c:v>54.925434000000003</c:v>
                </c:pt>
                <c:pt idx="3">
                  <c:v>9.0232189999999992</c:v>
                </c:pt>
                <c:pt idx="4">
                  <c:v>-0.82337800000000005</c:v>
                </c:pt>
                <c:pt idx="5">
                  <c:v>-0.82724900000000001</c:v>
                </c:pt>
                <c:pt idx="6">
                  <c:v>-0.89542500000000003</c:v>
                </c:pt>
                <c:pt idx="7">
                  <c:v>-0.69586499999999996</c:v>
                </c:pt>
                <c:pt idx="8">
                  <c:v>-0.70605399999999996</c:v>
                </c:pt>
                <c:pt idx="9">
                  <c:v>-0.66276199999999996</c:v>
                </c:pt>
                <c:pt idx="10">
                  <c:v>-0.710283</c:v>
                </c:pt>
                <c:pt idx="11">
                  <c:v>-0.939218</c:v>
                </c:pt>
                <c:pt idx="12">
                  <c:v>22.073955999999999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47.925082000000003</c:v>
                </c:pt>
                <c:pt idx="1">
                  <c:v>77.204378999999989</c:v>
                </c:pt>
                <c:pt idx="2">
                  <c:v>124.68270699999999</c:v>
                </c:pt>
                <c:pt idx="3">
                  <c:v>118.33977300000001</c:v>
                </c:pt>
                <c:pt idx="4">
                  <c:v>82.054295999999994</c:v>
                </c:pt>
                <c:pt idx="5">
                  <c:v>61.254111000000002</c:v>
                </c:pt>
                <c:pt idx="6">
                  <c:v>30.185099999999998</c:v>
                </c:pt>
                <c:pt idx="7">
                  <c:v>28.871046999999997</c:v>
                </c:pt>
                <c:pt idx="8">
                  <c:v>30.443576</c:v>
                </c:pt>
                <c:pt idx="9">
                  <c:v>28.621776999999998</c:v>
                </c:pt>
                <c:pt idx="10">
                  <c:v>30.374336</c:v>
                </c:pt>
                <c:pt idx="11">
                  <c:v>47.711207999999999</c:v>
                </c:pt>
                <c:pt idx="12">
                  <c:v>41.291938999999999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231.47546199999999</c:v>
                </c:pt>
                <c:pt idx="1">
                  <c:v>269.55010299999998</c:v>
                </c:pt>
                <c:pt idx="2">
                  <c:v>316.35504600000002</c:v>
                </c:pt>
                <c:pt idx="3">
                  <c:v>324.37696499999998</c:v>
                </c:pt>
                <c:pt idx="4">
                  <c:v>296.32292799999999</c:v>
                </c:pt>
                <c:pt idx="5">
                  <c:v>247.112684</c:v>
                </c:pt>
                <c:pt idx="6">
                  <c:v>224.26124200000001</c:v>
                </c:pt>
                <c:pt idx="7">
                  <c:v>233.91494</c:v>
                </c:pt>
                <c:pt idx="8">
                  <c:v>244.02029300000001</c:v>
                </c:pt>
                <c:pt idx="9">
                  <c:v>218.49136100000001</c:v>
                </c:pt>
                <c:pt idx="10">
                  <c:v>213.548517</c:v>
                </c:pt>
                <c:pt idx="11">
                  <c:v>205.68247400000001</c:v>
                </c:pt>
                <c:pt idx="12">
                  <c:v>206.763338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0.24965100000000001</c:v>
                </c:pt>
                <c:pt idx="1">
                  <c:v>5.6180000000000001E-2</c:v>
                </c:pt>
                <c:pt idx="2">
                  <c:v>0.118565</c:v>
                </c:pt>
                <c:pt idx="3">
                  <c:v>9.7920999999999994E-2</c:v>
                </c:pt>
                <c:pt idx="4">
                  <c:v>0</c:v>
                </c:pt>
                <c:pt idx="5">
                  <c:v>1.0359999999999999E-2</c:v>
                </c:pt>
                <c:pt idx="6">
                  <c:v>8.7279999999999996E-3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34.459223999999999</c:v>
                </c:pt>
                <c:pt idx="1">
                  <c:v>37.285699000000001</c:v>
                </c:pt>
                <c:pt idx="2">
                  <c:v>41.537353000000003</c:v>
                </c:pt>
                <c:pt idx="3">
                  <c:v>44.650032000000003</c:v>
                </c:pt>
                <c:pt idx="4">
                  <c:v>34.850726000000002</c:v>
                </c:pt>
                <c:pt idx="5">
                  <c:v>32.896220999999997</c:v>
                </c:pt>
                <c:pt idx="6">
                  <c:v>24.884706000000001</c:v>
                </c:pt>
                <c:pt idx="7">
                  <c:v>22.636651000000001</c:v>
                </c:pt>
                <c:pt idx="8">
                  <c:v>23.970113999999999</c:v>
                </c:pt>
                <c:pt idx="9">
                  <c:v>30.744498</c:v>
                </c:pt>
                <c:pt idx="10">
                  <c:v>45.305076999999997</c:v>
                </c:pt>
                <c:pt idx="11">
                  <c:v>44.568354999999997</c:v>
                </c:pt>
                <c:pt idx="12">
                  <c:v>58.204134000000003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0.14440500000000001</c:v>
                </c:pt>
                <c:pt idx="1">
                  <c:v>0.140066</c:v>
                </c:pt>
                <c:pt idx="2">
                  <c:v>0.102288</c:v>
                </c:pt>
                <c:pt idx="3">
                  <c:v>9.2054999999999998E-2</c:v>
                </c:pt>
                <c:pt idx="4">
                  <c:v>0.14128099999999999</c:v>
                </c:pt>
                <c:pt idx="5">
                  <c:v>0.14801500000000001</c:v>
                </c:pt>
                <c:pt idx="6">
                  <c:v>0.14354</c:v>
                </c:pt>
                <c:pt idx="7">
                  <c:v>0.12625700000000001</c:v>
                </c:pt>
                <c:pt idx="8">
                  <c:v>0.10422099999999999</c:v>
                </c:pt>
                <c:pt idx="9">
                  <c:v>3.9530000000000003E-2</c:v>
                </c:pt>
                <c:pt idx="10">
                  <c:v>4.0002000000000003E-2</c:v>
                </c:pt>
                <c:pt idx="11">
                  <c:v>1.5544000000000001E-2</c:v>
                </c:pt>
                <c:pt idx="12">
                  <c:v>4.1384999999999998E-2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3.46306</c:v>
                </c:pt>
                <c:pt idx="1">
                  <c:v>3.7329490000000001</c:v>
                </c:pt>
                <c:pt idx="2">
                  <c:v>3.1795529999999999</c:v>
                </c:pt>
                <c:pt idx="3">
                  <c:v>3.6746310000000002</c:v>
                </c:pt>
                <c:pt idx="4">
                  <c:v>2.995241</c:v>
                </c:pt>
                <c:pt idx="5">
                  <c:v>1.6210690000000001</c:v>
                </c:pt>
                <c:pt idx="6">
                  <c:v>1.996553</c:v>
                </c:pt>
                <c:pt idx="7">
                  <c:v>3.1565249999999998</c:v>
                </c:pt>
                <c:pt idx="8">
                  <c:v>3.9370180000000001</c:v>
                </c:pt>
                <c:pt idx="9">
                  <c:v>3.7397490000000002</c:v>
                </c:pt>
                <c:pt idx="10">
                  <c:v>3.4851179999999999</c:v>
                </c:pt>
                <c:pt idx="11">
                  <c:v>1.9095409999999999</c:v>
                </c:pt>
                <c:pt idx="12">
                  <c:v>3.5397620000000001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12.228600500000001</c:v>
                </c:pt>
                <c:pt idx="1">
                  <c:v>15.5976535</c:v>
                </c:pt>
                <c:pt idx="2">
                  <c:v>12.541195999999999</c:v>
                </c:pt>
                <c:pt idx="3">
                  <c:v>14.683114</c:v>
                </c:pt>
                <c:pt idx="4">
                  <c:v>9.9340825000000006</c:v>
                </c:pt>
                <c:pt idx="5">
                  <c:v>10.861402</c:v>
                </c:pt>
                <c:pt idx="6">
                  <c:v>10.810193999999999</c:v>
                </c:pt>
                <c:pt idx="7">
                  <c:v>8.9918355000000005</c:v>
                </c:pt>
                <c:pt idx="8">
                  <c:v>10.485035</c:v>
                </c:pt>
                <c:pt idx="9">
                  <c:v>5.6085469999999997</c:v>
                </c:pt>
                <c:pt idx="10">
                  <c:v>12.829401000000001</c:v>
                </c:pt>
                <c:pt idx="11">
                  <c:v>11.323399</c:v>
                </c:pt>
                <c:pt idx="12">
                  <c:v>12.2750895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12.228600500000001</c:v>
                </c:pt>
                <c:pt idx="1">
                  <c:v>15.5976535</c:v>
                </c:pt>
                <c:pt idx="2">
                  <c:v>12.541195999999999</c:v>
                </c:pt>
                <c:pt idx="3">
                  <c:v>14.683114</c:v>
                </c:pt>
                <c:pt idx="4">
                  <c:v>9.9340825000000006</c:v>
                </c:pt>
                <c:pt idx="5">
                  <c:v>10.861402</c:v>
                </c:pt>
                <c:pt idx="6">
                  <c:v>10.810193999999999</c:v>
                </c:pt>
                <c:pt idx="7">
                  <c:v>8.9918355000000005</c:v>
                </c:pt>
                <c:pt idx="8">
                  <c:v>10.485035</c:v>
                </c:pt>
                <c:pt idx="9">
                  <c:v>5.6085469999999997</c:v>
                </c:pt>
                <c:pt idx="10">
                  <c:v>12.829401000000001</c:v>
                </c:pt>
                <c:pt idx="11">
                  <c:v>11.323399</c:v>
                </c:pt>
                <c:pt idx="12">
                  <c:v>12.2750895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118.762416</c:v>
                </c:pt>
                <c:pt idx="1">
                  <c:v>124.350134</c:v>
                </c:pt>
                <c:pt idx="2">
                  <c:v>168.54782399999999</c:v>
                </c:pt>
                <c:pt idx="3">
                  <c:v>175.00929099999999</c:v>
                </c:pt>
                <c:pt idx="4">
                  <c:v>130.854702</c:v>
                </c:pt>
                <c:pt idx="5">
                  <c:v>131.44748999999999</c:v>
                </c:pt>
                <c:pt idx="6">
                  <c:v>70.735690000000005</c:v>
                </c:pt>
                <c:pt idx="7">
                  <c:v>112.440268</c:v>
                </c:pt>
                <c:pt idx="8">
                  <c:v>122.760274</c:v>
                </c:pt>
                <c:pt idx="9">
                  <c:v>114.74408200000001</c:v>
                </c:pt>
                <c:pt idx="10">
                  <c:v>110.667727</c:v>
                </c:pt>
                <c:pt idx="11">
                  <c:v>109.36235000000001</c:v>
                </c:pt>
                <c:pt idx="12">
                  <c:v>117.764884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5609756097560964"/>
                  <c:y val="-0.10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6585365853658537"/>
                  <c:y val="0.139607677165354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910569105691056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7.4796747967479621E-2"/>
                  <c:y val="-0.146324880345839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14.728544274150121</c:v>
                </c:pt>
                <c:pt idx="1">
                  <c:v>15.728589596349101</c:v>
                </c:pt>
                <c:pt idx="2">
                  <c:v>14.577525651045473</c:v>
                </c:pt>
                <c:pt idx="3">
                  <c:v>26.138303286952496</c:v>
                </c:pt>
                <c:pt idx="4">
                  <c:v>1.1537822805195117</c:v>
                </c:pt>
                <c:pt idx="5">
                  <c:v>4.5909661423813031E-2</c:v>
                </c:pt>
                <c:pt idx="6">
                  <c:v>0.34190616270892338</c:v>
                </c:pt>
                <c:pt idx="7">
                  <c:v>19.472341263113329</c:v>
                </c:pt>
                <c:pt idx="8">
                  <c:v>7.5885029274559885</c:v>
                </c:pt>
                <c:pt idx="9">
                  <c:v>0.22459489628123266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629921258925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7398668459125535"/>
                  <c:y val="9.91175196850393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7886178861788618"/>
                  <c:y val="2.56445885440790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008130081300813"/>
                  <c:y val="-0.13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8.1302093335893985E-3"/>
                  <c:y val="-0.153106183418249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20.190021548039603</c:v>
                </c:pt>
                <c:pt idx="1">
                  <c:v>1.8614175278809295</c:v>
                </c:pt>
                <c:pt idx="2">
                  <c:v>15.05277422548412</c:v>
                </c:pt>
                <c:pt idx="3">
                  <c:v>36.699820399070134</c:v>
                </c:pt>
                <c:pt idx="4">
                  <c:v>0</c:v>
                </c:pt>
                <c:pt idx="5">
                  <c:v>3.9862431405168951E-2</c:v>
                </c:pt>
                <c:pt idx="6">
                  <c:v>0.31823793144267926</c:v>
                </c:pt>
                <c:pt idx="7">
                  <c:v>20.772328377585971</c:v>
                </c:pt>
                <c:pt idx="8">
                  <c:v>5.0046439693025819</c:v>
                </c:pt>
                <c:pt idx="9">
                  <c:v>6.0893589788800731E-2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0.29760599999999998</c:v>
                </c:pt>
                <c:pt idx="1">
                  <c:v>0.28353699999999998</c:v>
                </c:pt>
                <c:pt idx="2">
                  <c:v>0.30186600000000002</c:v>
                </c:pt>
                <c:pt idx="3">
                  <c:v>0.289545</c:v>
                </c:pt>
                <c:pt idx="4">
                  <c:v>0.28924100000000003</c:v>
                </c:pt>
                <c:pt idx="5">
                  <c:v>0.30332900000000002</c:v>
                </c:pt>
                <c:pt idx="6">
                  <c:v>0.28045300000000001</c:v>
                </c:pt>
                <c:pt idx="7">
                  <c:v>0.30560300000000001</c:v>
                </c:pt>
                <c:pt idx="8">
                  <c:v>0.29624200000000001</c:v>
                </c:pt>
                <c:pt idx="9">
                  <c:v>0.28508299999999998</c:v>
                </c:pt>
                <c:pt idx="10">
                  <c:v>0.272924</c:v>
                </c:pt>
                <c:pt idx="11">
                  <c:v>0.258407</c:v>
                </c:pt>
                <c:pt idx="12">
                  <c:v>0.28213199999999999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261.00777599999998</c:v>
                </c:pt>
                <c:pt idx="1">
                  <c:v>265.32891099999995</c:v>
                </c:pt>
                <c:pt idx="2">
                  <c:v>263.81678599999998</c:v>
                </c:pt>
                <c:pt idx="3">
                  <c:v>280.24951799999997</c:v>
                </c:pt>
                <c:pt idx="4">
                  <c:v>278.46901400000002</c:v>
                </c:pt>
                <c:pt idx="5">
                  <c:v>329.55548099999999</c:v>
                </c:pt>
                <c:pt idx="6">
                  <c:v>283.46044599999999</c:v>
                </c:pt>
                <c:pt idx="7">
                  <c:v>293.93341900000001</c:v>
                </c:pt>
                <c:pt idx="8">
                  <c:v>313.17357400000003</c:v>
                </c:pt>
                <c:pt idx="9">
                  <c:v>271.07811399999997</c:v>
                </c:pt>
                <c:pt idx="10">
                  <c:v>294.881663</c:v>
                </c:pt>
                <c:pt idx="11">
                  <c:v>257.29920000000004</c:v>
                </c:pt>
                <c:pt idx="12">
                  <c:v>262.610321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275.34098399999999</c:v>
                </c:pt>
                <c:pt idx="1">
                  <c:v>351.45923099999999</c:v>
                </c:pt>
                <c:pt idx="2">
                  <c:v>250.52108799999999</c:v>
                </c:pt>
                <c:pt idx="3">
                  <c:v>306.93109600000003</c:v>
                </c:pt>
                <c:pt idx="4">
                  <c:v>329.65078499999998</c:v>
                </c:pt>
                <c:pt idx="5">
                  <c:v>385.37423100000001</c:v>
                </c:pt>
                <c:pt idx="6">
                  <c:v>320.60776499999997</c:v>
                </c:pt>
                <c:pt idx="7">
                  <c:v>343.70541600000001</c:v>
                </c:pt>
                <c:pt idx="8">
                  <c:v>348.60822999999999</c:v>
                </c:pt>
                <c:pt idx="9">
                  <c:v>282.95672999999999</c:v>
                </c:pt>
                <c:pt idx="10">
                  <c:v>305.966994</c:v>
                </c:pt>
                <c:pt idx="11">
                  <c:v>315.19474500000001</c:v>
                </c:pt>
                <c:pt idx="12">
                  <c:v>259.74817300000001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2.0671949999999999</c:v>
                </c:pt>
                <c:pt idx="1">
                  <c:v>0.80873799999999996</c:v>
                </c:pt>
                <c:pt idx="2">
                  <c:v>2.7590569999999999</c:v>
                </c:pt>
                <c:pt idx="3">
                  <c:v>2.6998280000000001</c:v>
                </c:pt>
                <c:pt idx="4">
                  <c:v>1.3149919999999999</c:v>
                </c:pt>
                <c:pt idx="5">
                  <c:v>0.44324000000000002</c:v>
                </c:pt>
                <c:pt idx="6">
                  <c:v>1.0899650000000001</c:v>
                </c:pt>
                <c:pt idx="7">
                  <c:v>0.66913</c:v>
                </c:pt>
                <c:pt idx="8">
                  <c:v>0.66808100000000004</c:v>
                </c:pt>
                <c:pt idx="9">
                  <c:v>1.414679</c:v>
                </c:pt>
                <c:pt idx="10">
                  <c:v>1.5891550000000001</c:v>
                </c:pt>
                <c:pt idx="11">
                  <c:v>1.2945469999999999</c:v>
                </c:pt>
                <c:pt idx="12">
                  <c:v>2.2523740000000001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131.928437</c:v>
                </c:pt>
                <c:pt idx="1">
                  <c:v>64.374502000000007</c:v>
                </c:pt>
                <c:pt idx="2">
                  <c:v>209.601507</c:v>
                </c:pt>
                <c:pt idx="3">
                  <c:v>178.40540899999999</c:v>
                </c:pt>
                <c:pt idx="4">
                  <c:v>103.255752</c:v>
                </c:pt>
                <c:pt idx="5">
                  <c:v>57.760353000000002</c:v>
                </c:pt>
                <c:pt idx="6">
                  <c:v>99.230602000000005</c:v>
                </c:pt>
                <c:pt idx="7">
                  <c:v>70.608433000000005</c:v>
                </c:pt>
                <c:pt idx="8">
                  <c:v>53.195207000000003</c:v>
                </c:pt>
                <c:pt idx="9">
                  <c:v>108.751811</c:v>
                </c:pt>
                <c:pt idx="10">
                  <c:v>89.282236999999995</c:v>
                </c:pt>
                <c:pt idx="11">
                  <c:v>94.671989999999994</c:v>
                </c:pt>
                <c:pt idx="12">
                  <c:v>147.019094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30.799336</c:v>
                </c:pt>
                <c:pt idx="1">
                  <c:v>30.793143000000001</c:v>
                </c:pt>
                <c:pt idx="2">
                  <c:v>35.178874</c:v>
                </c:pt>
                <c:pt idx="3">
                  <c:v>33.707680000000003</c:v>
                </c:pt>
                <c:pt idx="4">
                  <c:v>31.407260000000001</c:v>
                </c:pt>
                <c:pt idx="5">
                  <c:v>29.906251000000001</c:v>
                </c:pt>
                <c:pt idx="6">
                  <c:v>25.097702999999999</c:v>
                </c:pt>
                <c:pt idx="7">
                  <c:v>23.682936000000002</c:v>
                </c:pt>
                <c:pt idx="8">
                  <c:v>24.559023</c:v>
                </c:pt>
                <c:pt idx="9">
                  <c:v>26.306543000000001</c:v>
                </c:pt>
                <c:pt idx="10">
                  <c:v>31.905954000000001</c:v>
                </c:pt>
                <c:pt idx="11">
                  <c:v>35.953691999999997</c:v>
                </c:pt>
                <c:pt idx="12">
                  <c:v>35.421075999999999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may.-23</c:v>
                </c:pt>
                <c:pt idx="1">
                  <c:v>jun.-23</c:v>
                </c:pt>
                <c:pt idx="2">
                  <c:v>jul.-23</c:v>
                </c:pt>
                <c:pt idx="3">
                  <c:v>ago.-23</c:v>
                </c:pt>
                <c:pt idx="4">
                  <c:v>sep.-23</c:v>
                </c:pt>
                <c:pt idx="5">
                  <c:v>oct.-23</c:v>
                </c:pt>
                <c:pt idx="6">
                  <c:v>nov.-23</c:v>
                </c:pt>
                <c:pt idx="7">
                  <c:v>dic.-23</c:v>
                </c:pt>
                <c:pt idx="8">
                  <c:v>ene.-24</c:v>
                </c:pt>
                <c:pt idx="9">
                  <c:v>feb.-24</c:v>
                </c:pt>
                <c:pt idx="10">
                  <c:v>mar.-24</c:v>
                </c:pt>
                <c:pt idx="11">
                  <c:v>abr.-24</c:v>
                </c:pt>
                <c:pt idx="12">
                  <c:v>may.-24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0.65055600000000002</c:v>
                </c:pt>
                <c:pt idx="1">
                  <c:v>0.66513100000000003</c:v>
                </c:pt>
                <c:pt idx="2">
                  <c:v>0.64607300000000001</c:v>
                </c:pt>
                <c:pt idx="3">
                  <c:v>0.37482700000000002</c:v>
                </c:pt>
                <c:pt idx="4">
                  <c:v>0.37211699999999998</c:v>
                </c:pt>
                <c:pt idx="5">
                  <c:v>0.524733</c:v>
                </c:pt>
                <c:pt idx="6">
                  <c:v>0.42454199999999997</c:v>
                </c:pt>
                <c:pt idx="7">
                  <c:v>0.44537900000000002</c:v>
                </c:pt>
                <c:pt idx="8">
                  <c:v>0.50013399999999997</c:v>
                </c:pt>
                <c:pt idx="9">
                  <c:v>0.49944300000000003</c:v>
                </c:pt>
                <c:pt idx="10">
                  <c:v>0.57839200000000002</c:v>
                </c:pt>
                <c:pt idx="11">
                  <c:v>0.26424700000000001</c:v>
                </c:pt>
                <c:pt idx="12">
                  <c:v>0.430983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28515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Mayo 2024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44" zoomScaleNormal="100" workbookViewId="0">
      <selection activeCell="D68" sqref="D68:D78"/>
    </sheetView>
  </sheetViews>
  <sheetFormatPr baseColWidth="10" defaultColWidth="11.42578125" defaultRowHeight="12"/>
  <cols>
    <col min="1" max="1" width="8.5703125" style="102" bestFit="1" customWidth="1"/>
    <col min="2" max="2" width="14.5703125" style="102" bestFit="1" customWidth="1"/>
    <col min="3" max="3" width="26.5703125" style="102" bestFit="1" customWidth="1"/>
    <col min="4" max="4" width="22.42578125" style="102" bestFit="1" customWidth="1"/>
    <col min="5" max="5" width="23.5703125" style="102" bestFit="1" customWidth="1"/>
    <col min="6" max="6" width="36.140625" style="102" bestFit="1" customWidth="1"/>
    <col min="7" max="7" width="26.140625" style="102" bestFit="1" customWidth="1"/>
    <col min="8" max="8" width="22.140625" style="102" bestFit="1" customWidth="1"/>
    <col min="9" max="9" width="23.28515625" style="102" bestFit="1" customWidth="1"/>
    <col min="10" max="10" width="31.140625" style="102" bestFit="1" customWidth="1"/>
    <col min="11" max="11" width="30.85546875" style="102" bestFit="1" customWidth="1"/>
    <col min="12" max="12" width="26.85546875" style="102" bestFit="1" customWidth="1"/>
    <col min="13" max="13" width="28" style="102" bestFit="1" customWidth="1"/>
    <col min="14" max="14" width="35.855468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122</v>
      </c>
      <c r="B2" s="133" t="s">
        <v>123</v>
      </c>
    </row>
    <row r="4" spans="1:33" ht="15">
      <c r="A4" s="134" t="s">
        <v>67</v>
      </c>
      <c r="B4" s="199" t="s">
        <v>122</v>
      </c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</row>
    <row r="5" spans="1:33" ht="15">
      <c r="A5" s="134" t="s">
        <v>68</v>
      </c>
      <c r="B5" s="201" t="s">
        <v>15</v>
      </c>
      <c r="C5" s="202"/>
      <c r="D5" s="202"/>
      <c r="E5" s="202"/>
      <c r="F5" s="202"/>
      <c r="G5" s="202"/>
      <c r="H5" s="202"/>
      <c r="I5" s="203"/>
      <c r="J5" s="201" t="s">
        <v>14</v>
      </c>
      <c r="K5" s="202"/>
      <c r="L5" s="202"/>
      <c r="M5" s="202"/>
      <c r="N5" s="202"/>
      <c r="O5" s="202"/>
      <c r="P5" s="202"/>
      <c r="Q5" s="203"/>
      <c r="R5" s="201" t="s">
        <v>57</v>
      </c>
      <c r="S5" s="202"/>
      <c r="T5" s="202"/>
      <c r="U5" s="202"/>
      <c r="V5" s="202"/>
      <c r="W5" s="202"/>
      <c r="X5" s="202"/>
      <c r="Y5" s="203"/>
      <c r="Z5" s="201" t="s">
        <v>58</v>
      </c>
      <c r="AA5" s="202"/>
      <c r="AB5" s="202"/>
      <c r="AC5" s="202"/>
      <c r="AD5" s="202"/>
      <c r="AE5" s="202"/>
      <c r="AF5" s="202"/>
      <c r="AG5" s="202"/>
    </row>
    <row r="6" spans="1:33">
      <c r="A6" s="134" t="s">
        <v>69</v>
      </c>
      <c r="B6" s="182" t="s">
        <v>59</v>
      </c>
      <c r="C6" s="182" t="s">
        <v>60</v>
      </c>
      <c r="D6" s="182" t="s">
        <v>61</v>
      </c>
      <c r="E6" s="182" t="s">
        <v>62</v>
      </c>
      <c r="F6" s="182" t="s">
        <v>63</v>
      </c>
      <c r="G6" s="182" t="s">
        <v>64</v>
      </c>
      <c r="H6" s="182" t="s">
        <v>65</v>
      </c>
      <c r="I6" s="182" t="s">
        <v>66</v>
      </c>
      <c r="J6" s="182" t="s">
        <v>59</v>
      </c>
      <c r="K6" s="182" t="s">
        <v>60</v>
      </c>
      <c r="L6" s="182" t="s">
        <v>61</v>
      </c>
      <c r="M6" s="182" t="s">
        <v>62</v>
      </c>
      <c r="N6" s="182" t="s">
        <v>63</v>
      </c>
      <c r="O6" s="182" t="s">
        <v>64</v>
      </c>
      <c r="P6" s="182" t="s">
        <v>65</v>
      </c>
      <c r="Q6" s="182" t="s">
        <v>66</v>
      </c>
      <c r="R6" s="182" t="s">
        <v>59</v>
      </c>
      <c r="S6" s="182" t="s">
        <v>60</v>
      </c>
      <c r="T6" s="182" t="s">
        <v>61</v>
      </c>
      <c r="U6" s="182" t="s">
        <v>62</v>
      </c>
      <c r="V6" s="182" t="s">
        <v>63</v>
      </c>
      <c r="W6" s="182" t="s">
        <v>64</v>
      </c>
      <c r="X6" s="182" t="s">
        <v>65</v>
      </c>
      <c r="Y6" s="182" t="s">
        <v>66</v>
      </c>
      <c r="Z6" s="182" t="s">
        <v>59</v>
      </c>
      <c r="AA6" s="182" t="s">
        <v>60</v>
      </c>
      <c r="AB6" s="182" t="s">
        <v>61</v>
      </c>
      <c r="AC6" s="182" t="s">
        <v>62</v>
      </c>
      <c r="AD6" s="182" t="s">
        <v>63</v>
      </c>
      <c r="AE6" s="182" t="s">
        <v>64</v>
      </c>
      <c r="AF6" s="182" t="s">
        <v>65</v>
      </c>
      <c r="AG6" s="182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69">
        <v>0</v>
      </c>
      <c r="C8" s="169">
        <v>0</v>
      </c>
      <c r="D8" s="170">
        <v>0</v>
      </c>
      <c r="E8" s="169">
        <v>0</v>
      </c>
      <c r="F8" s="169">
        <v>0</v>
      </c>
      <c r="G8" s="170">
        <v>0</v>
      </c>
      <c r="H8" s="169">
        <v>0</v>
      </c>
      <c r="I8" s="170">
        <v>0</v>
      </c>
      <c r="J8" s="169">
        <v>0</v>
      </c>
      <c r="K8" s="169">
        <v>0</v>
      </c>
      <c r="L8" s="170">
        <v>0</v>
      </c>
      <c r="M8" s="169">
        <v>0</v>
      </c>
      <c r="N8" s="169">
        <v>0</v>
      </c>
      <c r="O8" s="170">
        <v>0</v>
      </c>
      <c r="P8" s="169">
        <v>0</v>
      </c>
      <c r="Q8" s="170">
        <v>0</v>
      </c>
      <c r="R8" s="169">
        <v>0</v>
      </c>
      <c r="S8" s="169">
        <v>0</v>
      </c>
      <c r="T8" s="170">
        <v>0</v>
      </c>
      <c r="U8" s="169">
        <v>0</v>
      </c>
      <c r="V8" s="169">
        <v>0</v>
      </c>
      <c r="W8" s="170">
        <v>0</v>
      </c>
      <c r="X8" s="169">
        <v>0</v>
      </c>
      <c r="Y8" s="170">
        <v>0</v>
      </c>
      <c r="Z8" s="169">
        <v>282.13200000000001</v>
      </c>
      <c r="AA8" s="169">
        <v>297.60599999999999</v>
      </c>
      <c r="AB8" s="170">
        <v>-5.19949195E-2</v>
      </c>
      <c r="AC8" s="169">
        <v>1394.788</v>
      </c>
      <c r="AD8" s="169">
        <v>1393.3230000000001</v>
      </c>
      <c r="AE8" s="170">
        <v>1.0514432000000001E-3</v>
      </c>
      <c r="AF8" s="169">
        <v>3448.3620000000001</v>
      </c>
      <c r="AG8" s="170">
        <v>1.1011480000000001E-2</v>
      </c>
    </row>
    <row r="9" spans="1:33">
      <c r="A9" s="133" t="s">
        <v>11</v>
      </c>
      <c r="B9" s="169">
        <v>0</v>
      </c>
      <c r="C9" s="169">
        <v>0</v>
      </c>
      <c r="D9" s="170">
        <v>0</v>
      </c>
      <c r="E9" s="169">
        <v>0</v>
      </c>
      <c r="F9" s="169">
        <v>0</v>
      </c>
      <c r="G9" s="170">
        <v>0</v>
      </c>
      <c r="H9" s="169">
        <v>0</v>
      </c>
      <c r="I9" s="170">
        <v>0</v>
      </c>
      <c r="J9" s="169">
        <v>0</v>
      </c>
      <c r="K9" s="169">
        <v>0</v>
      </c>
      <c r="L9" s="170">
        <v>0</v>
      </c>
      <c r="M9" s="169">
        <v>0</v>
      </c>
      <c r="N9" s="169">
        <v>0</v>
      </c>
      <c r="O9" s="170">
        <v>0</v>
      </c>
      <c r="P9" s="169">
        <v>0</v>
      </c>
      <c r="Q9" s="170">
        <v>0</v>
      </c>
      <c r="R9" s="169">
        <v>22073.955999999998</v>
      </c>
      <c r="S9" s="169">
        <v>-832.96900000000005</v>
      </c>
      <c r="T9" s="170">
        <v>-27.500333145700001</v>
      </c>
      <c r="U9" s="169">
        <v>19055.638999999999</v>
      </c>
      <c r="V9" s="169">
        <v>-3394.66</v>
      </c>
      <c r="W9" s="170">
        <v>-6.6134160710999996</v>
      </c>
      <c r="X9" s="169">
        <v>82942.331000000006</v>
      </c>
      <c r="Y9" s="170">
        <v>5.2972111199999998E-2</v>
      </c>
      <c r="Z9" s="169">
        <v>0</v>
      </c>
      <c r="AA9" s="169">
        <v>0</v>
      </c>
      <c r="AB9" s="170">
        <v>0</v>
      </c>
      <c r="AC9" s="169">
        <v>0</v>
      </c>
      <c r="AD9" s="169">
        <v>0</v>
      </c>
      <c r="AE9" s="170">
        <v>0</v>
      </c>
      <c r="AF9" s="169">
        <v>0</v>
      </c>
      <c r="AG9" s="170">
        <v>0</v>
      </c>
    </row>
    <row r="10" spans="1:33">
      <c r="A10" s="133" t="s">
        <v>78</v>
      </c>
      <c r="B10" s="169">
        <v>14820.53</v>
      </c>
      <c r="C10" s="169">
        <v>14167.683000000001</v>
      </c>
      <c r="D10" s="170">
        <v>4.6080011800000001E-2</v>
      </c>
      <c r="E10" s="169">
        <v>75010.251999999993</v>
      </c>
      <c r="F10" s="169">
        <v>75649.714999999997</v>
      </c>
      <c r="G10" s="170">
        <v>-8.4529466000000004E-3</v>
      </c>
      <c r="H10" s="169">
        <v>185364.481</v>
      </c>
      <c r="I10" s="170">
        <v>-2.1077064900000001E-2</v>
      </c>
      <c r="J10" s="169">
        <v>14299.281999999999</v>
      </c>
      <c r="K10" s="169">
        <v>14580.913</v>
      </c>
      <c r="L10" s="170">
        <v>-1.9315045600000001E-2</v>
      </c>
      <c r="M10" s="169">
        <v>72189.294999999998</v>
      </c>
      <c r="N10" s="169">
        <v>71615.042000000001</v>
      </c>
      <c r="O10" s="170">
        <v>8.0186087000000007E-3</v>
      </c>
      <c r="P10" s="169">
        <v>191674.20199999999</v>
      </c>
      <c r="Q10" s="170">
        <v>4.6128587399999997E-2</v>
      </c>
      <c r="R10" s="169">
        <v>11891.016</v>
      </c>
      <c r="S10" s="169">
        <v>12707.01</v>
      </c>
      <c r="T10" s="170">
        <v>-6.4216050799999994E-2</v>
      </c>
      <c r="U10" s="169">
        <v>45652.050999999999</v>
      </c>
      <c r="V10" s="169">
        <v>46087.406999999999</v>
      </c>
      <c r="W10" s="170">
        <v>-9.4463114000000008E-3</v>
      </c>
      <c r="X10" s="169">
        <v>250976.639</v>
      </c>
      <c r="Y10" s="170">
        <v>-0.10346923719999999</v>
      </c>
      <c r="Z10" s="169">
        <v>142897.73499999999</v>
      </c>
      <c r="AA10" s="169">
        <v>152672.69699999999</v>
      </c>
      <c r="AB10" s="170">
        <v>-6.4025606400000004E-2</v>
      </c>
      <c r="AC10" s="169">
        <v>757313.14099999995</v>
      </c>
      <c r="AD10" s="169">
        <v>744736.63100000005</v>
      </c>
      <c r="AE10" s="170">
        <v>1.6887191400000001E-2</v>
      </c>
      <c r="AF10" s="169">
        <v>1895438.054</v>
      </c>
      <c r="AG10" s="170">
        <v>5.4414164000000001E-2</v>
      </c>
    </row>
    <row r="11" spans="1:33">
      <c r="A11" s="133" t="s">
        <v>9</v>
      </c>
      <c r="B11" s="169">
        <v>5.95</v>
      </c>
      <c r="C11" s="169">
        <v>4.83</v>
      </c>
      <c r="D11" s="170">
        <v>0.231884058</v>
      </c>
      <c r="E11" s="169">
        <v>116.69</v>
      </c>
      <c r="F11" s="169">
        <v>32.563000000000002</v>
      </c>
      <c r="G11" s="170">
        <v>2.5835150323999998</v>
      </c>
      <c r="H11" s="169">
        <v>337.36599999999999</v>
      </c>
      <c r="I11" s="170">
        <v>-0.27186670410000002</v>
      </c>
      <c r="J11" s="169">
        <v>69.369</v>
      </c>
      <c r="K11" s="169">
        <v>1.875</v>
      </c>
      <c r="L11" s="170">
        <v>35.9968</v>
      </c>
      <c r="M11" s="169">
        <v>78.22</v>
      </c>
      <c r="N11" s="169">
        <v>11.183</v>
      </c>
      <c r="O11" s="170">
        <v>5.9945452919999997</v>
      </c>
      <c r="P11" s="169">
        <v>111.173</v>
      </c>
      <c r="Q11" s="170">
        <v>2.2877802094000002</v>
      </c>
      <c r="R11" s="169">
        <v>29400.922999999999</v>
      </c>
      <c r="S11" s="169">
        <v>35218.072</v>
      </c>
      <c r="T11" s="170">
        <v>-0.16517511239999999</v>
      </c>
      <c r="U11" s="169">
        <v>132790.785</v>
      </c>
      <c r="V11" s="169">
        <v>180907.09899999999</v>
      </c>
      <c r="W11" s="170">
        <v>-0.2659725034</v>
      </c>
      <c r="X11" s="169">
        <v>450057.61</v>
      </c>
      <c r="Y11" s="170">
        <v>-8.1679890099999999E-2</v>
      </c>
      <c r="Z11" s="169">
        <v>13174.446</v>
      </c>
      <c r="AA11" s="169">
        <v>23467.611000000001</v>
      </c>
      <c r="AB11" s="170">
        <v>-0.43861154000000002</v>
      </c>
      <c r="AC11" s="169">
        <v>102306.068</v>
      </c>
      <c r="AD11" s="169">
        <v>103123.97199999999</v>
      </c>
      <c r="AE11" s="170">
        <v>-7.9312693999999996E-3</v>
      </c>
      <c r="AF11" s="169">
        <v>255154.32399999999</v>
      </c>
      <c r="AG11" s="170">
        <v>-4.2394940200000002E-2</v>
      </c>
    </row>
    <row r="12" spans="1:33">
      <c r="A12" s="133" t="s">
        <v>8</v>
      </c>
      <c r="B12" s="169">
        <v>0</v>
      </c>
      <c r="C12" s="169">
        <v>0</v>
      </c>
      <c r="D12" s="170">
        <v>0</v>
      </c>
      <c r="E12" s="169">
        <v>0</v>
      </c>
      <c r="F12" s="169">
        <v>0</v>
      </c>
      <c r="G12" s="170">
        <v>0</v>
      </c>
      <c r="H12" s="169">
        <v>0</v>
      </c>
      <c r="I12" s="170">
        <v>0</v>
      </c>
      <c r="J12" s="169">
        <v>0</v>
      </c>
      <c r="K12" s="169">
        <v>0</v>
      </c>
      <c r="L12" s="170">
        <v>0</v>
      </c>
      <c r="M12" s="169">
        <v>0</v>
      </c>
      <c r="N12" s="169">
        <v>0</v>
      </c>
      <c r="O12" s="170">
        <v>0</v>
      </c>
      <c r="P12" s="169">
        <v>0</v>
      </c>
      <c r="Q12" s="170">
        <v>0</v>
      </c>
      <c r="R12" s="169">
        <v>0</v>
      </c>
      <c r="S12" s="169">
        <v>0</v>
      </c>
      <c r="T12" s="170">
        <v>0</v>
      </c>
      <c r="U12" s="169">
        <v>0</v>
      </c>
      <c r="V12" s="169">
        <v>0</v>
      </c>
      <c r="W12" s="170">
        <v>0</v>
      </c>
      <c r="X12" s="169">
        <v>0</v>
      </c>
      <c r="Y12" s="170">
        <v>0</v>
      </c>
      <c r="Z12" s="169">
        <v>106538.14</v>
      </c>
      <c r="AA12" s="169">
        <v>84880.948999999993</v>
      </c>
      <c r="AB12" s="170">
        <v>0.25514784239999999</v>
      </c>
      <c r="AC12" s="169">
        <v>539423.66299999994</v>
      </c>
      <c r="AD12" s="169">
        <v>513807.58</v>
      </c>
      <c r="AE12" s="170">
        <v>4.9855401100000002E-2</v>
      </c>
      <c r="AF12" s="169">
        <v>1243266.0789999999</v>
      </c>
      <c r="AG12" s="170">
        <v>3.9447809600000001E-2</v>
      </c>
    </row>
    <row r="13" spans="1:33">
      <c r="A13" s="133" t="s">
        <v>25</v>
      </c>
      <c r="B13" s="169">
        <v>0</v>
      </c>
      <c r="C13" s="169">
        <v>0</v>
      </c>
      <c r="D13" s="170">
        <v>0</v>
      </c>
      <c r="E13" s="169">
        <v>0</v>
      </c>
      <c r="F13" s="169">
        <v>0</v>
      </c>
      <c r="G13" s="170">
        <v>0</v>
      </c>
      <c r="H13" s="169">
        <v>0</v>
      </c>
      <c r="I13" s="170">
        <v>0</v>
      </c>
      <c r="J13" s="169">
        <v>0</v>
      </c>
      <c r="K13" s="169">
        <v>0</v>
      </c>
      <c r="L13" s="170">
        <v>0</v>
      </c>
      <c r="M13" s="169">
        <v>0</v>
      </c>
      <c r="N13" s="169">
        <v>0</v>
      </c>
      <c r="O13" s="170">
        <v>0</v>
      </c>
      <c r="P13" s="169">
        <v>0</v>
      </c>
      <c r="Q13" s="170">
        <v>0</v>
      </c>
      <c r="R13" s="169">
        <v>206763.33799999999</v>
      </c>
      <c r="S13" s="169">
        <v>231475.462</v>
      </c>
      <c r="T13" s="170">
        <v>-0.1067591519</v>
      </c>
      <c r="U13" s="169">
        <v>1088505.983</v>
      </c>
      <c r="V13" s="169">
        <v>1159337.7169999999</v>
      </c>
      <c r="W13" s="170">
        <v>-6.1096721800000003E-2</v>
      </c>
      <c r="X13" s="169">
        <v>3000399.8909999998</v>
      </c>
      <c r="Y13" s="170">
        <v>-0.15250662910000001</v>
      </c>
      <c r="Z13" s="169">
        <v>259748.17300000001</v>
      </c>
      <c r="AA13" s="169">
        <v>275340.984</v>
      </c>
      <c r="AB13" s="170">
        <v>-5.6630911899999997E-2</v>
      </c>
      <c r="AC13" s="169">
        <v>1512474.872</v>
      </c>
      <c r="AD13" s="169">
        <v>1408468.0390000001</v>
      </c>
      <c r="AE13" s="170">
        <v>7.3843942600000004E-2</v>
      </c>
      <c r="AF13" s="169">
        <v>3800724.4840000002</v>
      </c>
      <c r="AG13" s="170">
        <v>8.4232692499999998E-2</v>
      </c>
    </row>
    <row r="14" spans="1:33">
      <c r="A14" s="133" t="s">
        <v>24</v>
      </c>
      <c r="B14" s="169">
        <v>0</v>
      </c>
      <c r="C14" s="169">
        <v>0</v>
      </c>
      <c r="D14" s="170">
        <v>0</v>
      </c>
      <c r="E14" s="169">
        <v>0</v>
      </c>
      <c r="F14" s="169">
        <v>0</v>
      </c>
      <c r="G14" s="170">
        <v>0</v>
      </c>
      <c r="H14" s="169">
        <v>0</v>
      </c>
      <c r="I14" s="170">
        <v>0</v>
      </c>
      <c r="J14" s="169">
        <v>0</v>
      </c>
      <c r="K14" s="169">
        <v>0</v>
      </c>
      <c r="L14" s="170">
        <v>0</v>
      </c>
      <c r="M14" s="169">
        <v>0</v>
      </c>
      <c r="N14" s="169">
        <v>0</v>
      </c>
      <c r="O14" s="170">
        <v>0</v>
      </c>
      <c r="P14" s="169">
        <v>0</v>
      </c>
      <c r="Q14" s="170">
        <v>0</v>
      </c>
      <c r="R14" s="169">
        <v>0</v>
      </c>
      <c r="S14" s="169">
        <v>0</v>
      </c>
      <c r="T14" s="170">
        <v>0</v>
      </c>
      <c r="U14" s="169">
        <v>0</v>
      </c>
      <c r="V14" s="169">
        <v>0</v>
      </c>
      <c r="W14" s="170">
        <v>0</v>
      </c>
      <c r="X14" s="169">
        <v>0</v>
      </c>
      <c r="Y14" s="170">
        <v>-1</v>
      </c>
      <c r="Z14" s="169">
        <v>0</v>
      </c>
      <c r="AA14" s="169">
        <v>-13.481</v>
      </c>
      <c r="AB14" s="170">
        <v>-1</v>
      </c>
      <c r="AC14" s="169">
        <v>0</v>
      </c>
      <c r="AD14" s="169">
        <v>-63.978000000000002</v>
      </c>
      <c r="AE14" s="170">
        <v>-1</v>
      </c>
      <c r="AF14" s="169">
        <v>-2.0099999999999998</v>
      </c>
      <c r="AG14" s="170">
        <v>-0.98449672190000004</v>
      </c>
    </row>
    <row r="15" spans="1:33">
      <c r="A15" s="133" t="s">
        <v>6</v>
      </c>
      <c r="B15" s="169">
        <v>0</v>
      </c>
      <c r="C15" s="169">
        <v>0</v>
      </c>
      <c r="D15" s="170">
        <v>0</v>
      </c>
      <c r="E15" s="169">
        <v>0</v>
      </c>
      <c r="F15" s="169">
        <v>0</v>
      </c>
      <c r="G15" s="170">
        <v>0</v>
      </c>
      <c r="H15" s="169">
        <v>0</v>
      </c>
      <c r="I15" s="170">
        <v>0</v>
      </c>
      <c r="J15" s="169">
        <v>0</v>
      </c>
      <c r="K15" s="169">
        <v>0</v>
      </c>
      <c r="L15" s="170">
        <v>0</v>
      </c>
      <c r="M15" s="169">
        <v>0</v>
      </c>
      <c r="N15" s="169">
        <v>0</v>
      </c>
      <c r="O15" s="170">
        <v>0</v>
      </c>
      <c r="P15" s="169">
        <v>0</v>
      </c>
      <c r="Q15" s="170">
        <v>0</v>
      </c>
      <c r="R15" s="169">
        <v>0</v>
      </c>
      <c r="S15" s="169">
        <v>0</v>
      </c>
      <c r="T15" s="170">
        <v>0</v>
      </c>
      <c r="U15" s="169">
        <v>0</v>
      </c>
      <c r="V15" s="169">
        <v>0</v>
      </c>
      <c r="W15" s="170">
        <v>0</v>
      </c>
      <c r="X15" s="169">
        <v>0</v>
      </c>
      <c r="Y15" s="170">
        <v>0</v>
      </c>
      <c r="Z15" s="169">
        <v>2252.3739999999998</v>
      </c>
      <c r="AA15" s="169">
        <v>2067.1950000000002</v>
      </c>
      <c r="AB15" s="170">
        <v>8.9579841300000004E-2</v>
      </c>
      <c r="AC15" s="169">
        <v>7218.8360000000002</v>
      </c>
      <c r="AD15" s="169">
        <v>7691.8220000000001</v>
      </c>
      <c r="AE15" s="170">
        <v>-6.1492062600000001E-2</v>
      </c>
      <c r="AF15" s="169">
        <v>17003.786</v>
      </c>
      <c r="AG15" s="170">
        <v>-0.2335002128</v>
      </c>
    </row>
    <row r="16" spans="1:33">
      <c r="A16" s="133" t="s">
        <v>5</v>
      </c>
      <c r="B16" s="169">
        <v>0</v>
      </c>
      <c r="C16" s="169">
        <v>0</v>
      </c>
      <c r="D16" s="170">
        <v>0</v>
      </c>
      <c r="E16" s="169">
        <v>0</v>
      </c>
      <c r="F16" s="169">
        <v>0</v>
      </c>
      <c r="G16" s="170">
        <v>0</v>
      </c>
      <c r="H16" s="169">
        <v>0</v>
      </c>
      <c r="I16" s="170">
        <v>0</v>
      </c>
      <c r="J16" s="169">
        <v>0</v>
      </c>
      <c r="K16" s="169">
        <v>0</v>
      </c>
      <c r="L16" s="170">
        <v>0</v>
      </c>
      <c r="M16" s="169">
        <v>0</v>
      </c>
      <c r="N16" s="169">
        <v>0</v>
      </c>
      <c r="O16" s="170">
        <v>0</v>
      </c>
      <c r="P16" s="169">
        <v>0</v>
      </c>
      <c r="Q16" s="170">
        <v>0</v>
      </c>
      <c r="R16" s="169">
        <v>0</v>
      </c>
      <c r="S16" s="169">
        <v>249.65100000000001</v>
      </c>
      <c r="T16" s="170">
        <v>-1</v>
      </c>
      <c r="U16" s="169">
        <v>0</v>
      </c>
      <c r="V16" s="169">
        <v>976.31600000000003</v>
      </c>
      <c r="W16" s="170">
        <v>-1</v>
      </c>
      <c r="X16" s="169">
        <v>291.75400000000002</v>
      </c>
      <c r="Y16" s="170">
        <v>-0.7652387531</v>
      </c>
      <c r="Z16" s="169">
        <v>147019.09400000001</v>
      </c>
      <c r="AA16" s="169">
        <v>131928.43700000001</v>
      </c>
      <c r="AB16" s="170">
        <v>0.1143851723</v>
      </c>
      <c r="AC16" s="169">
        <v>492920.33899999998</v>
      </c>
      <c r="AD16" s="169">
        <v>542610.77399999998</v>
      </c>
      <c r="AE16" s="170">
        <v>-9.1576572699999997E-2</v>
      </c>
      <c r="AF16" s="169">
        <v>1276156.8970000001</v>
      </c>
      <c r="AG16" s="170">
        <v>-0.10099091089999999</v>
      </c>
    </row>
    <row r="17" spans="1:33">
      <c r="A17" s="133" t="s">
        <v>4</v>
      </c>
      <c r="B17" s="169">
        <v>0</v>
      </c>
      <c r="C17" s="169">
        <v>0</v>
      </c>
      <c r="D17" s="170">
        <v>0</v>
      </c>
      <c r="E17" s="169">
        <v>0</v>
      </c>
      <c r="F17" s="169">
        <v>0</v>
      </c>
      <c r="G17" s="170">
        <v>0</v>
      </c>
      <c r="H17" s="169">
        <v>0</v>
      </c>
      <c r="I17" s="170">
        <v>0</v>
      </c>
      <c r="J17" s="169">
        <v>7.7309999999999999</v>
      </c>
      <c r="K17" s="169">
        <v>7.6180000000000003</v>
      </c>
      <c r="L17" s="170">
        <v>1.4833289600000001E-2</v>
      </c>
      <c r="M17" s="169">
        <v>29.332999999999998</v>
      </c>
      <c r="N17" s="169">
        <v>31.789000000000001</v>
      </c>
      <c r="O17" s="170">
        <v>-7.7259429399999996E-2</v>
      </c>
      <c r="P17" s="169">
        <v>74.070999999999998</v>
      </c>
      <c r="Q17" s="170">
        <v>-1.4424761999999999E-3</v>
      </c>
      <c r="R17" s="169">
        <v>58204.133999999998</v>
      </c>
      <c r="S17" s="169">
        <v>34459.224000000002</v>
      </c>
      <c r="T17" s="170">
        <v>0.68907268489999995</v>
      </c>
      <c r="U17" s="169">
        <v>202792.17800000001</v>
      </c>
      <c r="V17" s="169">
        <v>150198.26999999999</v>
      </c>
      <c r="W17" s="170">
        <v>0.35016320760000003</v>
      </c>
      <c r="X17" s="169">
        <v>441533.56599999999</v>
      </c>
      <c r="Y17" s="170">
        <v>0.3633674334</v>
      </c>
      <c r="Z17" s="169">
        <v>35421.076000000001</v>
      </c>
      <c r="AA17" s="169">
        <v>30799.335999999999</v>
      </c>
      <c r="AB17" s="170">
        <v>0.1500597286</v>
      </c>
      <c r="AC17" s="169">
        <v>154146.288</v>
      </c>
      <c r="AD17" s="169">
        <v>136195.554</v>
      </c>
      <c r="AE17" s="170">
        <v>0.1318011747</v>
      </c>
      <c r="AF17" s="169">
        <v>363920.13500000001</v>
      </c>
      <c r="AG17" s="170">
        <v>0.1049886652</v>
      </c>
    </row>
    <row r="18" spans="1:33">
      <c r="A18" s="133" t="s">
        <v>22</v>
      </c>
      <c r="B18" s="169">
        <v>0</v>
      </c>
      <c r="C18" s="169">
        <v>0</v>
      </c>
      <c r="D18" s="170">
        <v>0</v>
      </c>
      <c r="E18" s="169">
        <v>0</v>
      </c>
      <c r="F18" s="169">
        <v>0</v>
      </c>
      <c r="G18" s="170">
        <v>0</v>
      </c>
      <c r="H18" s="169">
        <v>0</v>
      </c>
      <c r="I18" s="170">
        <v>0</v>
      </c>
      <c r="J18" s="169">
        <v>0</v>
      </c>
      <c r="K18" s="169">
        <v>0</v>
      </c>
      <c r="L18" s="170">
        <v>0</v>
      </c>
      <c r="M18" s="169">
        <v>0</v>
      </c>
      <c r="N18" s="169">
        <v>0</v>
      </c>
      <c r="O18" s="170">
        <v>0</v>
      </c>
      <c r="P18" s="169">
        <v>0</v>
      </c>
      <c r="Q18" s="170">
        <v>0</v>
      </c>
      <c r="R18" s="169">
        <v>41.384999999999998</v>
      </c>
      <c r="S18" s="169">
        <v>144.405</v>
      </c>
      <c r="T18" s="170">
        <v>-0.71341020050000004</v>
      </c>
      <c r="U18" s="169">
        <v>240.68199999999999</v>
      </c>
      <c r="V18" s="169">
        <v>669.60299999999995</v>
      </c>
      <c r="W18" s="170">
        <v>-0.6405601528</v>
      </c>
      <c r="X18" s="169">
        <v>1134.184</v>
      </c>
      <c r="Y18" s="170">
        <v>-0.15429079330000001</v>
      </c>
      <c r="Z18" s="169">
        <v>430.983</v>
      </c>
      <c r="AA18" s="169">
        <v>650.55600000000004</v>
      </c>
      <c r="AB18" s="170">
        <v>-0.33751590949999999</v>
      </c>
      <c r="AC18" s="169">
        <v>2273.1990000000001</v>
      </c>
      <c r="AD18" s="169">
        <v>3515.1559999999999</v>
      </c>
      <c r="AE18" s="170">
        <v>-0.35331490269999999</v>
      </c>
      <c r="AF18" s="169">
        <v>5726.0010000000002</v>
      </c>
      <c r="AG18" s="170">
        <v>-0.33499437599999998</v>
      </c>
    </row>
    <row r="19" spans="1:33">
      <c r="A19" s="133" t="s">
        <v>23</v>
      </c>
      <c r="B19" s="169">
        <v>0</v>
      </c>
      <c r="C19" s="169">
        <v>0</v>
      </c>
      <c r="D19" s="170">
        <v>0</v>
      </c>
      <c r="E19" s="169">
        <v>0</v>
      </c>
      <c r="F19" s="169">
        <v>0</v>
      </c>
      <c r="G19" s="170">
        <v>0</v>
      </c>
      <c r="H19" s="169">
        <v>0</v>
      </c>
      <c r="I19" s="170">
        <v>0</v>
      </c>
      <c r="J19" s="169">
        <v>0</v>
      </c>
      <c r="K19" s="169">
        <v>0</v>
      </c>
      <c r="L19" s="170">
        <v>0</v>
      </c>
      <c r="M19" s="169">
        <v>0</v>
      </c>
      <c r="N19" s="169">
        <v>0</v>
      </c>
      <c r="O19" s="170">
        <v>0</v>
      </c>
      <c r="P19" s="169">
        <v>0</v>
      </c>
      <c r="Q19" s="170">
        <v>0</v>
      </c>
      <c r="R19" s="169">
        <v>3539.7620000000002</v>
      </c>
      <c r="S19" s="169">
        <v>3463.06</v>
      </c>
      <c r="T19" s="170">
        <v>2.2148620000000001E-2</v>
      </c>
      <c r="U19" s="169">
        <v>16611.187999999998</v>
      </c>
      <c r="V19" s="169">
        <v>16608.944</v>
      </c>
      <c r="W19" s="170">
        <v>1.3510789999999999E-4</v>
      </c>
      <c r="X19" s="169">
        <v>36967.709000000003</v>
      </c>
      <c r="Y19" s="170">
        <v>0.29040466549999999</v>
      </c>
      <c r="Z19" s="169">
        <v>0</v>
      </c>
      <c r="AA19" s="169">
        <v>0</v>
      </c>
      <c r="AB19" s="170">
        <v>0</v>
      </c>
      <c r="AC19" s="169">
        <v>0</v>
      </c>
      <c r="AD19" s="169">
        <v>0</v>
      </c>
      <c r="AE19" s="170">
        <v>0</v>
      </c>
      <c r="AF19" s="169">
        <v>0</v>
      </c>
      <c r="AG19" s="170">
        <v>0</v>
      </c>
    </row>
    <row r="20" spans="1:33">
      <c r="A20" s="133" t="s">
        <v>54</v>
      </c>
      <c r="B20" s="169">
        <v>0</v>
      </c>
      <c r="C20" s="169">
        <v>0</v>
      </c>
      <c r="D20" s="170">
        <v>0</v>
      </c>
      <c r="E20" s="169">
        <v>0</v>
      </c>
      <c r="F20" s="169">
        <v>0</v>
      </c>
      <c r="G20" s="170">
        <v>0</v>
      </c>
      <c r="H20" s="169">
        <v>0</v>
      </c>
      <c r="I20" s="170">
        <v>0</v>
      </c>
      <c r="J20" s="169">
        <v>547.97500000000002</v>
      </c>
      <c r="K20" s="169">
        <v>456.79300000000001</v>
      </c>
      <c r="L20" s="170">
        <v>0.1996133916</v>
      </c>
      <c r="M20" s="169">
        <v>2517.2460000000001</v>
      </c>
      <c r="N20" s="169">
        <v>2333.4580000000001</v>
      </c>
      <c r="O20" s="170">
        <v>7.8762077599999994E-2</v>
      </c>
      <c r="P20" s="169">
        <v>5597.5630000000001</v>
      </c>
      <c r="Q20" s="170">
        <v>-2.52929073E-2</v>
      </c>
      <c r="R20" s="169">
        <v>12275.0895</v>
      </c>
      <c r="S20" s="169">
        <v>12228.6005</v>
      </c>
      <c r="T20" s="170">
        <v>3.8016615000000002E-3</v>
      </c>
      <c r="U20" s="169">
        <v>52521.4715</v>
      </c>
      <c r="V20" s="169">
        <v>49715.523000000001</v>
      </c>
      <c r="W20" s="170">
        <v>5.6440088100000001E-2</v>
      </c>
      <c r="X20" s="169">
        <v>135940.94899999999</v>
      </c>
      <c r="Y20" s="170">
        <v>-1.5988062800000001E-2</v>
      </c>
      <c r="Z20" s="169">
        <v>0</v>
      </c>
      <c r="AA20" s="169">
        <v>0</v>
      </c>
      <c r="AB20" s="170">
        <v>0</v>
      </c>
      <c r="AC20" s="169">
        <v>0</v>
      </c>
      <c r="AD20" s="169">
        <v>0</v>
      </c>
      <c r="AE20" s="170">
        <v>0</v>
      </c>
      <c r="AF20" s="169">
        <v>0</v>
      </c>
      <c r="AG20" s="170">
        <v>0</v>
      </c>
    </row>
    <row r="21" spans="1:33">
      <c r="A21" s="133" t="s">
        <v>55</v>
      </c>
      <c r="B21" s="169">
        <v>0</v>
      </c>
      <c r="C21" s="169">
        <v>0</v>
      </c>
      <c r="D21" s="170">
        <v>0</v>
      </c>
      <c r="E21" s="169">
        <v>0</v>
      </c>
      <c r="F21" s="169">
        <v>0</v>
      </c>
      <c r="G21" s="170">
        <v>0</v>
      </c>
      <c r="H21" s="169">
        <v>0</v>
      </c>
      <c r="I21" s="170">
        <v>0</v>
      </c>
      <c r="J21" s="169">
        <v>547.97500000000002</v>
      </c>
      <c r="K21" s="169">
        <v>456.79300000000001</v>
      </c>
      <c r="L21" s="170">
        <v>0.1996133916</v>
      </c>
      <c r="M21" s="169">
        <v>2517.2460000000001</v>
      </c>
      <c r="N21" s="169">
        <v>2333.4580000000001</v>
      </c>
      <c r="O21" s="170">
        <v>7.8762077599999994E-2</v>
      </c>
      <c r="P21" s="169">
        <v>5597.5630000000001</v>
      </c>
      <c r="Q21" s="170">
        <v>-2.52929073E-2</v>
      </c>
      <c r="R21" s="169">
        <v>12275.0895</v>
      </c>
      <c r="S21" s="169">
        <v>12228.6005</v>
      </c>
      <c r="T21" s="170">
        <v>3.8016615000000002E-3</v>
      </c>
      <c r="U21" s="169">
        <v>52521.4715</v>
      </c>
      <c r="V21" s="169">
        <v>49715.523000000001</v>
      </c>
      <c r="W21" s="170">
        <v>5.6440088100000001E-2</v>
      </c>
      <c r="X21" s="169">
        <v>135940.94899999999</v>
      </c>
      <c r="Y21" s="170">
        <v>-1.5988062800000001E-2</v>
      </c>
      <c r="Z21" s="169">
        <v>0</v>
      </c>
      <c r="AA21" s="169">
        <v>0</v>
      </c>
      <c r="AB21" s="170">
        <v>0</v>
      </c>
      <c r="AC21" s="169">
        <v>0</v>
      </c>
      <c r="AD21" s="169">
        <v>0</v>
      </c>
      <c r="AE21" s="170">
        <v>0</v>
      </c>
      <c r="AF21" s="169">
        <v>0</v>
      </c>
      <c r="AG21" s="170">
        <v>0</v>
      </c>
    </row>
    <row r="22" spans="1:33">
      <c r="A22" s="137" t="s">
        <v>2</v>
      </c>
      <c r="B22" s="171">
        <v>14826.48</v>
      </c>
      <c r="C22" s="171">
        <v>14172.513000000001</v>
      </c>
      <c r="D22" s="172">
        <v>4.61433339E-2</v>
      </c>
      <c r="E22" s="171">
        <v>75126.941999999995</v>
      </c>
      <c r="F22" s="171">
        <v>75682.278000000006</v>
      </c>
      <c r="G22" s="172">
        <v>-7.3377284000000001E-3</v>
      </c>
      <c r="H22" s="171">
        <v>185701.84700000001</v>
      </c>
      <c r="I22" s="172">
        <v>-2.16892188E-2</v>
      </c>
      <c r="J22" s="171">
        <v>15472.332</v>
      </c>
      <c r="K22" s="171">
        <v>15503.992</v>
      </c>
      <c r="L22" s="172">
        <v>-2.0420547E-3</v>
      </c>
      <c r="M22" s="171">
        <v>77331.34</v>
      </c>
      <c r="N22" s="171">
        <v>76324.929999999993</v>
      </c>
      <c r="O22" s="172">
        <v>1.3185862099999999E-2</v>
      </c>
      <c r="P22" s="171">
        <v>203054.57199999999</v>
      </c>
      <c r="Q22" s="172">
        <v>4.22888087E-2</v>
      </c>
      <c r="R22" s="171">
        <v>356464.69300000003</v>
      </c>
      <c r="S22" s="171">
        <v>341341.11599999998</v>
      </c>
      <c r="T22" s="172">
        <v>4.4306344300000002E-2</v>
      </c>
      <c r="U22" s="171">
        <v>1610691.449</v>
      </c>
      <c r="V22" s="171">
        <v>1650821.7420000001</v>
      </c>
      <c r="W22" s="172">
        <v>-2.4309283099999999E-2</v>
      </c>
      <c r="X22" s="171">
        <v>4536185.5820000004</v>
      </c>
      <c r="Y22" s="172">
        <v>-9.8644465299999998E-2</v>
      </c>
      <c r="Z22" s="171">
        <v>707764.15300000005</v>
      </c>
      <c r="AA22" s="171">
        <v>702091.89</v>
      </c>
      <c r="AB22" s="172">
        <v>8.0790892000000003E-3</v>
      </c>
      <c r="AC22" s="171">
        <v>3569471.1940000001</v>
      </c>
      <c r="AD22" s="171">
        <v>3461478.8730000001</v>
      </c>
      <c r="AE22" s="172">
        <v>3.1198318700000002E-2</v>
      </c>
      <c r="AF22" s="171">
        <v>8860836.1119999997</v>
      </c>
      <c r="AG22" s="172">
        <v>3.6532131799999999E-2</v>
      </c>
    </row>
    <row r="23" spans="1:33">
      <c r="A23" s="133" t="s">
        <v>21</v>
      </c>
      <c r="B23" s="169">
        <v>0</v>
      </c>
      <c r="C23" s="169">
        <v>0</v>
      </c>
      <c r="D23" s="170">
        <v>0</v>
      </c>
      <c r="E23" s="169">
        <v>0</v>
      </c>
      <c r="F23" s="169">
        <v>0</v>
      </c>
      <c r="G23" s="170">
        <v>0</v>
      </c>
      <c r="H23" s="169">
        <v>0</v>
      </c>
      <c r="I23" s="170">
        <v>0</v>
      </c>
      <c r="J23" s="169">
        <v>0</v>
      </c>
      <c r="K23" s="169">
        <v>0</v>
      </c>
      <c r="L23" s="170">
        <v>0</v>
      </c>
      <c r="M23" s="169">
        <v>0</v>
      </c>
      <c r="N23" s="169">
        <v>0</v>
      </c>
      <c r="O23" s="170">
        <v>0</v>
      </c>
      <c r="P23" s="169">
        <v>0</v>
      </c>
      <c r="Q23" s="170">
        <v>0</v>
      </c>
      <c r="R23" s="169">
        <v>117764.88400000001</v>
      </c>
      <c r="S23" s="169">
        <v>118762.416</v>
      </c>
      <c r="T23" s="170">
        <v>-8.3993912999999996E-3</v>
      </c>
      <c r="U23" s="169">
        <v>575299.31700000004</v>
      </c>
      <c r="V23" s="169">
        <v>512674.53100000002</v>
      </c>
      <c r="W23" s="170">
        <v>0.1221531054</v>
      </c>
      <c r="X23" s="169">
        <v>1488684.716</v>
      </c>
      <c r="Y23" s="170">
        <v>0.55011742269999997</v>
      </c>
      <c r="Z23" s="169">
        <v>0</v>
      </c>
      <c r="AA23" s="169">
        <v>0</v>
      </c>
      <c r="AB23" s="170">
        <v>0</v>
      </c>
      <c r="AC23" s="169">
        <v>0</v>
      </c>
      <c r="AD23" s="169">
        <v>0</v>
      </c>
      <c r="AE23" s="170">
        <v>0</v>
      </c>
      <c r="AF23" s="169">
        <v>0</v>
      </c>
      <c r="AG23" s="170">
        <v>0</v>
      </c>
    </row>
    <row r="24" spans="1:33">
      <c r="A24" s="137" t="s">
        <v>79</v>
      </c>
      <c r="B24" s="171">
        <v>14826.48</v>
      </c>
      <c r="C24" s="171">
        <v>14172.513000000001</v>
      </c>
      <c r="D24" s="172">
        <v>4.61433339E-2</v>
      </c>
      <c r="E24" s="171">
        <v>75126.941999999995</v>
      </c>
      <c r="F24" s="171">
        <v>75682.278000000006</v>
      </c>
      <c r="G24" s="172">
        <v>-7.3377284000000001E-3</v>
      </c>
      <c r="H24" s="171">
        <v>185701.84700000001</v>
      </c>
      <c r="I24" s="172">
        <v>-2.16892188E-2</v>
      </c>
      <c r="J24" s="171">
        <v>15472.332</v>
      </c>
      <c r="K24" s="171">
        <v>15503.992</v>
      </c>
      <c r="L24" s="172">
        <v>-2.0420547E-3</v>
      </c>
      <c r="M24" s="171">
        <v>77331.34</v>
      </c>
      <c r="N24" s="171">
        <v>76324.929999999993</v>
      </c>
      <c r="O24" s="172">
        <v>1.3185862099999999E-2</v>
      </c>
      <c r="P24" s="171">
        <v>203054.57199999999</v>
      </c>
      <c r="Q24" s="172">
        <v>4.22888087E-2</v>
      </c>
      <c r="R24" s="171">
        <v>474229.57699999999</v>
      </c>
      <c r="S24" s="171">
        <v>460103.53200000001</v>
      </c>
      <c r="T24" s="172">
        <v>3.0701883400000001E-2</v>
      </c>
      <c r="U24" s="171">
        <v>2185990.7659999998</v>
      </c>
      <c r="V24" s="171">
        <v>2163496.273</v>
      </c>
      <c r="W24" s="172">
        <v>1.0397287599999999E-2</v>
      </c>
      <c r="X24" s="171">
        <v>6024870.2980000004</v>
      </c>
      <c r="Y24" s="172">
        <v>5.3187069999999998E-3</v>
      </c>
      <c r="Z24" s="171">
        <v>707764.15300000005</v>
      </c>
      <c r="AA24" s="171">
        <v>702091.89</v>
      </c>
      <c r="AB24" s="172">
        <v>8.0790892000000003E-3</v>
      </c>
      <c r="AC24" s="171">
        <v>3569471.1940000001</v>
      </c>
      <c r="AD24" s="171">
        <v>3461478.8730000001</v>
      </c>
      <c r="AE24" s="172">
        <v>3.1198318700000002E-2</v>
      </c>
      <c r="AF24" s="171">
        <v>8860836.1119999997</v>
      </c>
      <c r="AG24" s="172">
        <v>3.6532131799999999E-2</v>
      </c>
    </row>
    <row r="25" spans="1:33">
      <c r="R25" s="162">
        <f>SUM(R10,R14)</f>
        <v>11891.016</v>
      </c>
      <c r="S25" s="162">
        <f>SUM(S10,S14)</f>
        <v>12707.01</v>
      </c>
      <c r="T25" s="163">
        <f>((R25/S25)-1)*100</f>
        <v>-6.4216050825489308</v>
      </c>
    </row>
    <row r="26" spans="1:33">
      <c r="A26" s="102" t="s">
        <v>103</v>
      </c>
      <c r="B26" s="162">
        <f>SUM(B24,J24,R24,Z24)</f>
        <v>1212292.5419999999</v>
      </c>
      <c r="C26" s="162">
        <f>SUM(C24,K24,S24,AA24)</f>
        <v>1191871.9270000001</v>
      </c>
      <c r="D26" s="163">
        <f>((B26/C26)-1)*100</f>
        <v>1.7133229281940832</v>
      </c>
      <c r="R26" s="179">
        <f>R23/R24</f>
        <v>0.24832884685300852</v>
      </c>
      <c r="S26" s="179">
        <f>S23/S24</f>
        <v>0.25812107002038837</v>
      </c>
      <c r="Z26" s="163"/>
    </row>
    <row r="29" spans="1:33" ht="15">
      <c r="A29" s="134" t="s">
        <v>67</v>
      </c>
      <c r="B29" s="199" t="str">
        <f>A2</f>
        <v>Mayo 2024</v>
      </c>
      <c r="C29" s="200"/>
    </row>
    <row r="30" spans="1:33" ht="15">
      <c r="A30" s="134" t="s">
        <v>69</v>
      </c>
      <c r="B30" s="213" t="s">
        <v>72</v>
      </c>
      <c r="C30" s="214"/>
    </row>
    <row r="31" spans="1:33">
      <c r="A31" s="132" t="s">
        <v>68</v>
      </c>
      <c r="B31" s="161" t="s">
        <v>57</v>
      </c>
      <c r="C31" s="161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76"/>
      <c r="C33" s="176">
        <v>1.52</v>
      </c>
    </row>
    <row r="34" spans="1:4">
      <c r="A34" s="133" t="s">
        <v>11</v>
      </c>
      <c r="B34" s="176">
        <v>241.2</v>
      </c>
      <c r="C34" s="176"/>
    </row>
    <row r="35" spans="1:4">
      <c r="A35" s="133" t="s">
        <v>78</v>
      </c>
      <c r="B35" s="176">
        <v>139.4</v>
      </c>
      <c r="C35" s="176">
        <v>487.64</v>
      </c>
    </row>
    <row r="36" spans="1:4">
      <c r="A36" s="133" t="s">
        <v>9</v>
      </c>
      <c r="B36" s="176">
        <v>603.1</v>
      </c>
      <c r="C36" s="176">
        <v>520.75</v>
      </c>
    </row>
    <row r="37" spans="1:4">
      <c r="A37" s="133" t="s">
        <v>8</v>
      </c>
      <c r="B37" s="176"/>
      <c r="C37" s="176">
        <v>482.64</v>
      </c>
    </row>
    <row r="38" spans="1:4">
      <c r="A38" s="133" t="s">
        <v>25</v>
      </c>
      <c r="B38" s="176">
        <v>822.9</v>
      </c>
      <c r="C38" s="176">
        <v>865.4</v>
      </c>
    </row>
    <row r="39" spans="1:4">
      <c r="A39" s="133" t="s">
        <v>24</v>
      </c>
      <c r="B39" s="176"/>
      <c r="C39" s="176"/>
    </row>
    <row r="40" spans="1:4">
      <c r="A40" s="133" t="s">
        <v>6</v>
      </c>
      <c r="B40" s="176"/>
      <c r="C40" s="176">
        <v>11.32</v>
      </c>
    </row>
    <row r="41" spans="1:4">
      <c r="A41" s="133" t="s">
        <v>5</v>
      </c>
      <c r="B41" s="176">
        <v>3.5674999999999999</v>
      </c>
      <c r="C41" s="176">
        <v>644.70000000000005</v>
      </c>
      <c r="D41" s="167"/>
    </row>
    <row r="42" spans="1:4">
      <c r="A42" s="133" t="s">
        <v>4</v>
      </c>
      <c r="B42" s="176">
        <v>333.32439499999998</v>
      </c>
      <c r="C42" s="176">
        <v>251.243945</v>
      </c>
      <c r="D42" s="167"/>
    </row>
    <row r="43" spans="1:4">
      <c r="A43" s="133" t="s">
        <v>22</v>
      </c>
      <c r="B43" s="176">
        <v>2.13</v>
      </c>
      <c r="C43" s="176">
        <v>7.4359999999999999</v>
      </c>
    </row>
    <row r="44" spans="1:4">
      <c r="A44" s="133" t="s">
        <v>23</v>
      </c>
      <c r="B44" s="176">
        <v>11.523</v>
      </c>
      <c r="C44" s="176">
        <v>38.200000000000003</v>
      </c>
    </row>
    <row r="45" spans="1:4">
      <c r="A45" s="133" t="s">
        <v>54</v>
      </c>
      <c r="B45" s="176">
        <v>37.4</v>
      </c>
      <c r="C45" s="176"/>
    </row>
    <row r="46" spans="1:4">
      <c r="A46" s="133" t="s">
        <v>55</v>
      </c>
      <c r="B46" s="176">
        <v>37.4</v>
      </c>
      <c r="C46" s="176"/>
    </row>
    <row r="47" spans="1:4">
      <c r="A47" s="137" t="s">
        <v>2</v>
      </c>
      <c r="B47" s="177">
        <f>SUM(B33:B46)</f>
        <v>2231.9448950000005</v>
      </c>
      <c r="C47" s="177">
        <f>SUM(C33:C46)</f>
        <v>3310.8499450000004</v>
      </c>
    </row>
    <row r="48" spans="1:4" ht="15">
      <c r="A48"/>
      <c r="B48" s="168"/>
      <c r="C48" s="178"/>
      <c r="D48" s="166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10.806718415868415</v>
      </c>
      <c r="D52" s="165"/>
      <c r="F52" s="105" t="s">
        <v>10</v>
      </c>
      <c r="G52" s="106">
        <f>C35</f>
        <v>487.64</v>
      </c>
      <c r="H52" s="107">
        <f>G52/$G$62*100</f>
        <v>14.728544274150121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6.245673910331913</v>
      </c>
      <c r="D53" s="165"/>
      <c r="F53" s="105" t="s">
        <v>9</v>
      </c>
      <c r="G53" s="106">
        <f>C36</f>
        <v>520.75</v>
      </c>
      <c r="H53" s="107">
        <f t="shared" ref="H53:H61" si="2">G53/$G$62*100</f>
        <v>15.728589596349101</v>
      </c>
    </row>
    <row r="54" spans="1:8">
      <c r="A54" s="105" t="s">
        <v>9</v>
      </c>
      <c r="B54" s="106">
        <f t="shared" si="1"/>
        <v>603.1</v>
      </c>
      <c r="C54" s="107">
        <f t="shared" si="0"/>
        <v>27.021276437024223</v>
      </c>
      <c r="D54" s="165"/>
      <c r="F54" s="105" t="s">
        <v>8</v>
      </c>
      <c r="G54" s="106">
        <f>C37</f>
        <v>482.64</v>
      </c>
      <c r="H54" s="107">
        <f t="shared" si="2"/>
        <v>14.577525651045473</v>
      </c>
    </row>
    <row r="55" spans="1:8">
      <c r="A55" s="105" t="s">
        <v>25</v>
      </c>
      <c r="B55" s="106">
        <f>B38</f>
        <v>822.9</v>
      </c>
      <c r="C55" s="107">
        <f t="shared" si="0"/>
        <v>36.869189819312268</v>
      </c>
      <c r="D55" s="165"/>
      <c r="F55" s="105" t="s">
        <v>25</v>
      </c>
      <c r="G55" s="106">
        <f>C38</f>
        <v>865.4</v>
      </c>
      <c r="H55" s="107">
        <f t="shared" si="2"/>
        <v>26.138303286952496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5"/>
      <c r="F56" s="105" t="s">
        <v>23</v>
      </c>
      <c r="G56" s="106">
        <f>C44</f>
        <v>38.200000000000003</v>
      </c>
      <c r="H56" s="107">
        <f t="shared" si="2"/>
        <v>1.1537822805195117</v>
      </c>
    </row>
    <row r="57" spans="1:8">
      <c r="A57" s="105" t="s">
        <v>23</v>
      </c>
      <c r="B57" s="106">
        <f>B44</f>
        <v>11.523</v>
      </c>
      <c r="C57" s="107">
        <f t="shared" si="0"/>
        <v>0.51627618700684808</v>
      </c>
      <c r="D57" s="165"/>
      <c r="F57" s="105" t="s">
        <v>12</v>
      </c>
      <c r="G57" s="107">
        <f>C33</f>
        <v>1.52</v>
      </c>
      <c r="H57" s="107">
        <f t="shared" si="2"/>
        <v>4.5909661423813031E-2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1.6756686100890497</v>
      </c>
      <c r="D58" s="165"/>
      <c r="F58" s="105" t="s">
        <v>6</v>
      </c>
      <c r="G58" s="106">
        <f>C40</f>
        <v>11.32</v>
      </c>
      <c r="H58" s="107">
        <f t="shared" si="2"/>
        <v>0.34190616270892338</v>
      </c>
    </row>
    <row r="59" spans="1:8">
      <c r="A59" s="105" t="s">
        <v>54</v>
      </c>
      <c r="B59" s="106">
        <f>B45</f>
        <v>37.4</v>
      </c>
      <c r="C59" s="107">
        <f t="shared" si="3"/>
        <v>1.6756686100890497</v>
      </c>
      <c r="D59" s="165"/>
      <c r="F59" s="105" t="s">
        <v>5</v>
      </c>
      <c r="G59" s="106">
        <f>C41</f>
        <v>644.70000000000005</v>
      </c>
      <c r="H59" s="107">
        <f t="shared" si="2"/>
        <v>19.472341263113329</v>
      </c>
    </row>
    <row r="60" spans="1:8">
      <c r="A60" s="105" t="s">
        <v>5</v>
      </c>
      <c r="B60" s="106">
        <f>B41</f>
        <v>3.5674999999999999</v>
      </c>
      <c r="C60" s="107">
        <f t="shared" si="3"/>
        <v>0.1598381755746707</v>
      </c>
      <c r="D60" s="165"/>
      <c r="F60" s="105" t="s">
        <v>4</v>
      </c>
      <c r="G60" s="106">
        <f>C42</f>
        <v>251.243945</v>
      </c>
      <c r="H60" s="107">
        <f t="shared" si="2"/>
        <v>7.5885029274559885</v>
      </c>
    </row>
    <row r="61" spans="1:8">
      <c r="A61" s="105" t="s">
        <v>4</v>
      </c>
      <c r="B61" s="106">
        <f>B42</f>
        <v>333.32439499999998</v>
      </c>
      <c r="C61" s="107">
        <f t="shared" si="3"/>
        <v>14.93425737108084</v>
      </c>
      <c r="D61" s="165"/>
      <c r="F61" s="105" t="s">
        <v>22</v>
      </c>
      <c r="G61" s="106">
        <f>C43</f>
        <v>7.4359999999999999</v>
      </c>
      <c r="H61" s="107">
        <f t="shared" si="2"/>
        <v>0.22459489628123266</v>
      </c>
    </row>
    <row r="62" spans="1:8">
      <c r="A62" s="105" t="s">
        <v>22</v>
      </c>
      <c r="B62" s="106">
        <f>B43</f>
        <v>2.13</v>
      </c>
      <c r="C62" s="107">
        <f t="shared" si="3"/>
        <v>9.5432463622718594E-2</v>
      </c>
      <c r="D62" s="165"/>
      <c r="F62" s="108" t="s">
        <v>20</v>
      </c>
      <c r="G62" s="109">
        <f>SUM(G52:G61)</f>
        <v>3310.8499450000004</v>
      </c>
      <c r="H62" s="110">
        <f>SUM(H52:H61)</f>
        <v>99.999999999999972</v>
      </c>
    </row>
    <row r="63" spans="1:8">
      <c r="A63" s="108" t="s">
        <v>20</v>
      </c>
      <c r="B63" s="109">
        <f>SUM(B52:B62)</f>
        <v>2231.9448950000001</v>
      </c>
      <c r="C63" s="110">
        <f>SUM(C52:C62)</f>
        <v>99.999999999999986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5"/>
      <c r="F67" s="103"/>
      <c r="G67" s="104" t="s">
        <v>26</v>
      </c>
    </row>
    <row r="68" spans="1:7">
      <c r="A68" s="105" t="s">
        <v>11</v>
      </c>
      <c r="B68" s="107">
        <f>C68/$C$80*100</f>
        <v>4.654698287618614</v>
      </c>
      <c r="C68" s="106">
        <f>IF(R9&lt;0,0,R9)</f>
        <v>22073.955999999998</v>
      </c>
      <c r="D68" s="183">
        <f>(C68/SUM($C$68:$C$78))*100</f>
        <v>6.1924663040891952</v>
      </c>
      <c r="F68" s="105" t="s">
        <v>10</v>
      </c>
      <c r="G68" s="107">
        <f>SUM(Z10,Z14)/Z$24*100</f>
        <v>20.190021548039603</v>
      </c>
    </row>
    <row r="69" spans="1:7">
      <c r="A69" s="105" t="s">
        <v>10</v>
      </c>
      <c r="B69" s="107">
        <f t="shared" ref="B69:B78" si="4">C69/$C$80*100</f>
        <v>2.5074387125373243</v>
      </c>
      <c r="C69" s="106">
        <f>R10</f>
        <v>11891.016</v>
      </c>
      <c r="D69" s="183">
        <f t="shared" ref="D69:D78" si="5">(C69/SUM($C$68:$C$78))*100</f>
        <v>3.3358187314220205</v>
      </c>
      <c r="F69" s="105" t="s">
        <v>9</v>
      </c>
      <c r="G69" s="107">
        <f>Z11/Z$24*100</f>
        <v>1.8614175278809295</v>
      </c>
    </row>
    <row r="70" spans="1:7">
      <c r="A70" s="105" t="s">
        <v>9</v>
      </c>
      <c r="B70" s="107">
        <f t="shared" si="4"/>
        <v>6.1997235992726782</v>
      </c>
      <c r="C70" s="106">
        <f>R11</f>
        <v>29400.922999999999</v>
      </c>
      <c r="D70" s="183">
        <f t="shared" si="5"/>
        <v>8.2479200822281697</v>
      </c>
      <c r="F70" s="105" t="s">
        <v>8</v>
      </c>
      <c r="G70" s="107">
        <f>Z12/Z$24*100</f>
        <v>15.05277422548412</v>
      </c>
    </row>
    <row r="71" spans="1:7">
      <c r="A71" s="105" t="s">
        <v>25</v>
      </c>
      <c r="B71" s="107">
        <f t="shared" si="4"/>
        <v>43.599840252055806</v>
      </c>
      <c r="C71" s="106">
        <f>R13</f>
        <v>206763.33799999999</v>
      </c>
      <c r="D71" s="183">
        <f>(C71/SUM($C$68:$C$78))*100</f>
        <v>58.003875856507328</v>
      </c>
      <c r="F71" s="105" t="s">
        <v>25</v>
      </c>
      <c r="G71" s="107">
        <f>Z13/Z$24*100</f>
        <v>36.699820399070134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84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0.74642370946002801</v>
      </c>
      <c r="C73" s="106">
        <f>R19</f>
        <v>3539.7620000000002</v>
      </c>
      <c r="D73" s="183">
        <f t="shared" si="5"/>
        <v>0.9930189635919987</v>
      </c>
      <c r="F73" s="105" t="s">
        <v>12</v>
      </c>
      <c r="G73" s="107">
        <f>Z8/Z$24*100</f>
        <v>3.9862431405168951E-2</v>
      </c>
    </row>
    <row r="74" spans="1:7">
      <c r="A74" s="105" t="s">
        <v>55</v>
      </c>
      <c r="B74" s="107">
        <f t="shared" si="4"/>
        <v>2.5884276509391988</v>
      </c>
      <c r="C74" s="106">
        <f>R21</f>
        <v>12275.0895</v>
      </c>
      <c r="D74" s="183">
        <f t="shared" si="5"/>
        <v>3.4435639043780415</v>
      </c>
      <c r="F74" s="105" t="s">
        <v>6</v>
      </c>
      <c r="G74" s="107">
        <f>Z15/Z$24*100</f>
        <v>0.31823793144267926</v>
      </c>
    </row>
    <row r="75" spans="1:7">
      <c r="A75" s="105" t="s">
        <v>54</v>
      </c>
      <c r="B75" s="107">
        <f t="shared" si="4"/>
        <v>2.5884276509391988</v>
      </c>
      <c r="C75" s="106">
        <f>R20</f>
        <v>12275.0895</v>
      </c>
      <c r="D75" s="183">
        <f t="shared" si="5"/>
        <v>3.4435639043780415</v>
      </c>
      <c r="F75" s="105" t="s">
        <v>5</v>
      </c>
      <c r="G75" s="107">
        <f>Z16/Z$24*100</f>
        <v>20.772328377585971</v>
      </c>
    </row>
    <row r="76" spans="1:7">
      <c r="A76" s="105" t="s">
        <v>5</v>
      </c>
      <c r="B76" s="107">
        <f t="shared" si="4"/>
        <v>0</v>
      </c>
      <c r="C76" s="106">
        <f>R16</f>
        <v>0</v>
      </c>
      <c r="D76" s="183">
        <f t="shared" si="5"/>
        <v>0</v>
      </c>
      <c r="F76" s="105" t="s">
        <v>4</v>
      </c>
      <c r="G76" s="107">
        <f>Z17/Z$24*100</f>
        <v>5.0046439693025819</v>
      </c>
    </row>
    <row r="77" spans="1:7">
      <c r="A77" s="105" t="s">
        <v>4</v>
      </c>
      <c r="B77" s="107">
        <f t="shared" si="4"/>
        <v>12.273408665946619</v>
      </c>
      <c r="C77" s="106">
        <f>R17</f>
        <v>58204.133999999998</v>
      </c>
      <c r="D77" s="183">
        <f t="shared" si="5"/>
        <v>16.32816240793867</v>
      </c>
      <c r="F77" s="105" t="s">
        <v>22</v>
      </c>
      <c r="G77" s="107">
        <f>Z18/Z$24*100</f>
        <v>6.0893589788800731E-2</v>
      </c>
    </row>
    <row r="78" spans="1:7">
      <c r="A78" s="105" t="s">
        <v>22</v>
      </c>
      <c r="B78" s="107">
        <f t="shared" si="4"/>
        <v>8.7267859296764165E-3</v>
      </c>
      <c r="C78" s="106">
        <f>R18</f>
        <v>41.384999999999998</v>
      </c>
      <c r="D78" s="183">
        <f t="shared" si="5"/>
        <v>1.1609845466518614E-2</v>
      </c>
      <c r="F78" s="108" t="s">
        <v>20</v>
      </c>
      <c r="G78" s="110">
        <f>SUM(G68:G77)</f>
        <v>100</v>
      </c>
    </row>
    <row r="79" spans="1:7">
      <c r="A79" s="105" t="s">
        <v>21</v>
      </c>
      <c r="B79" s="107">
        <f>C79/$C$80*100</f>
        <v>24.832884685300847</v>
      </c>
      <c r="C79" s="106">
        <f>R23</f>
        <v>117764.88400000001</v>
      </c>
      <c r="D79" s="165"/>
    </row>
    <row r="80" spans="1:7">
      <c r="A80" s="108" t="s">
        <v>20</v>
      </c>
      <c r="B80" s="110">
        <f>SUM(B68:B79)</f>
        <v>100</v>
      </c>
      <c r="C80" s="109">
        <f>SUM(C68:C79)</f>
        <v>474229.57700000005</v>
      </c>
      <c r="D80" s="165"/>
    </row>
    <row r="85" spans="1:26" ht="15">
      <c r="A85" s="134"/>
      <c r="B85" s="134" t="s">
        <v>69</v>
      </c>
      <c r="C85" s="216" t="s">
        <v>13</v>
      </c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217"/>
      <c r="O85" s="217"/>
      <c r="P85" s="217"/>
      <c r="Q85" s="217"/>
      <c r="R85" s="217"/>
      <c r="S85" s="217"/>
      <c r="T85" s="217"/>
      <c r="U85"/>
      <c r="V85"/>
      <c r="W85"/>
      <c r="X85"/>
      <c r="Y85"/>
      <c r="Z85"/>
    </row>
    <row r="86" spans="1:26" ht="15">
      <c r="A86" s="134"/>
      <c r="B86" s="132" t="s">
        <v>67</v>
      </c>
      <c r="C86" s="180" t="s">
        <v>106</v>
      </c>
      <c r="D86" s="180" t="s">
        <v>107</v>
      </c>
      <c r="E86" s="180" t="s">
        <v>108</v>
      </c>
      <c r="F86" s="180" t="s">
        <v>109</v>
      </c>
      <c r="G86" s="180" t="s">
        <v>110</v>
      </c>
      <c r="H86" s="180" t="s">
        <v>111</v>
      </c>
      <c r="I86" s="180" t="s">
        <v>112</v>
      </c>
      <c r="J86" s="180" t="s">
        <v>113</v>
      </c>
      <c r="K86" s="180" t="s">
        <v>114</v>
      </c>
      <c r="L86" s="180" t="s">
        <v>115</v>
      </c>
      <c r="M86" s="180" t="s">
        <v>116</v>
      </c>
      <c r="N86" s="180" t="s">
        <v>117</v>
      </c>
      <c r="O86" s="180" t="s">
        <v>118</v>
      </c>
      <c r="P86" s="180" t="s">
        <v>119</v>
      </c>
      <c r="Q86" s="180" t="s">
        <v>120</v>
      </c>
      <c r="R86" s="180" t="s">
        <v>121</v>
      </c>
      <c r="S86" s="180" t="s">
        <v>122</v>
      </c>
      <c r="T86" s="180" t="s">
        <v>126</v>
      </c>
      <c r="U86"/>
      <c r="V86"/>
      <c r="W86"/>
      <c r="X86"/>
      <c r="Y86"/>
      <c r="Z86"/>
    </row>
    <row r="87" spans="1:26" ht="15">
      <c r="A87" s="134" t="s">
        <v>68</v>
      </c>
      <c r="B87" s="134" t="s">
        <v>70</v>
      </c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/>
      <c r="V87"/>
      <c r="W87"/>
      <c r="X87"/>
      <c r="Y87"/>
      <c r="Z87"/>
    </row>
    <row r="88" spans="1:26" ht="15">
      <c r="A88" s="210" t="s">
        <v>57</v>
      </c>
      <c r="B88" s="133" t="s">
        <v>11</v>
      </c>
      <c r="C88" s="173">
        <v>-0.72771799999999998</v>
      </c>
      <c r="D88" s="173">
        <v>-0.70697299999999996</v>
      </c>
      <c r="E88" s="173">
        <v>-0.51834000000000002</v>
      </c>
      <c r="F88" s="173">
        <v>-0.60865999999999998</v>
      </c>
      <c r="G88" s="173">
        <v>-0.83296899999999996</v>
      </c>
      <c r="H88" s="173">
        <v>3.1799559999999998</v>
      </c>
      <c r="I88" s="173">
        <v>54.925434000000003</v>
      </c>
      <c r="J88" s="173">
        <v>9.0232189999999992</v>
      </c>
      <c r="K88" s="173">
        <v>-0.82337800000000005</v>
      </c>
      <c r="L88" s="173">
        <v>-0.82724900000000001</v>
      </c>
      <c r="M88" s="173">
        <v>-0.89542500000000003</v>
      </c>
      <c r="N88" s="173">
        <v>-0.69586499999999996</v>
      </c>
      <c r="O88" s="173">
        <v>-0.70605399999999996</v>
      </c>
      <c r="P88" s="173">
        <v>-0.66276199999999996</v>
      </c>
      <c r="Q88" s="173">
        <v>-0.710283</v>
      </c>
      <c r="R88" s="173">
        <v>-0.939218</v>
      </c>
      <c r="S88" s="173">
        <v>22.073955999999999</v>
      </c>
      <c r="T88" s="173">
        <v>13.396907000000001</v>
      </c>
      <c r="U88"/>
      <c r="V88"/>
      <c r="W88"/>
      <c r="X88"/>
      <c r="Y88"/>
      <c r="Z88"/>
    </row>
    <row r="89" spans="1:26" ht="15">
      <c r="A89" s="211"/>
      <c r="B89" s="133" t="s">
        <v>78</v>
      </c>
      <c r="C89" s="173">
        <v>5.0179289999999996</v>
      </c>
      <c r="D89" s="173">
        <v>15.008727</v>
      </c>
      <c r="E89" s="173">
        <v>6.2192920000000003</v>
      </c>
      <c r="F89" s="173">
        <v>7.134449</v>
      </c>
      <c r="G89" s="173">
        <v>12.70701</v>
      </c>
      <c r="H89" s="173">
        <v>20.755147999999998</v>
      </c>
      <c r="I89" s="173">
        <v>57.618448999999998</v>
      </c>
      <c r="J89" s="173">
        <v>64.924531000000002</v>
      </c>
      <c r="K89" s="173">
        <v>32.782569000000002</v>
      </c>
      <c r="L89" s="173">
        <v>16.979832999999999</v>
      </c>
      <c r="M89" s="173">
        <v>5.9974980000000002</v>
      </c>
      <c r="N89" s="173">
        <v>6.2665600000000001</v>
      </c>
      <c r="O89" s="173">
        <v>5.2892989999999998</v>
      </c>
      <c r="P89" s="173">
        <v>4.8235140000000003</v>
      </c>
      <c r="Q89" s="173">
        <v>5.4357850000000001</v>
      </c>
      <c r="R89" s="173">
        <v>18.212437000000001</v>
      </c>
      <c r="S89" s="173">
        <v>11.891016</v>
      </c>
      <c r="T89" s="173">
        <v>4.8527959999999997</v>
      </c>
      <c r="U89"/>
      <c r="V89"/>
      <c r="W89"/>
      <c r="X89"/>
      <c r="Y89"/>
      <c r="Z89"/>
    </row>
    <row r="90" spans="1:26" ht="15">
      <c r="A90" s="211"/>
      <c r="B90" s="133" t="s">
        <v>9</v>
      </c>
      <c r="C90" s="173">
        <v>49.385100000000001</v>
      </c>
      <c r="D90" s="173">
        <v>32.328426999999998</v>
      </c>
      <c r="E90" s="173">
        <v>34.532919999999997</v>
      </c>
      <c r="F90" s="173">
        <v>29.44258</v>
      </c>
      <c r="G90" s="173">
        <v>35.218071999999999</v>
      </c>
      <c r="H90" s="173">
        <v>56.449230999999997</v>
      </c>
      <c r="I90" s="173">
        <v>67.064257999999995</v>
      </c>
      <c r="J90" s="173">
        <v>53.415241999999999</v>
      </c>
      <c r="K90" s="173">
        <v>49.271726999999998</v>
      </c>
      <c r="L90" s="173">
        <v>44.274278000000002</v>
      </c>
      <c r="M90" s="173">
        <v>24.187601999999998</v>
      </c>
      <c r="N90" s="173">
        <v>22.604486999999999</v>
      </c>
      <c r="O90" s="173">
        <v>25.154277</v>
      </c>
      <c r="P90" s="173">
        <v>23.798262999999999</v>
      </c>
      <c r="Q90" s="173">
        <v>24.938551</v>
      </c>
      <c r="R90" s="173">
        <v>29.498771000000001</v>
      </c>
      <c r="S90" s="173">
        <v>29.400922999999999</v>
      </c>
      <c r="T90" s="173">
        <v>11.578295000000001</v>
      </c>
      <c r="U90"/>
      <c r="V90"/>
      <c r="W90"/>
      <c r="X90"/>
      <c r="Y90"/>
      <c r="Z90"/>
    </row>
    <row r="91" spans="1:26" ht="15">
      <c r="A91" s="211"/>
      <c r="B91" s="133" t="s">
        <v>25</v>
      </c>
      <c r="C91" s="173">
        <v>236.33414099999999</v>
      </c>
      <c r="D91" s="173">
        <v>250.50749099999999</v>
      </c>
      <c r="E91" s="173">
        <v>233.28242</v>
      </c>
      <c r="F91" s="173">
        <v>207.738203</v>
      </c>
      <c r="G91" s="173">
        <v>231.47546199999999</v>
      </c>
      <c r="H91" s="173">
        <v>269.55010299999998</v>
      </c>
      <c r="I91" s="173">
        <v>316.35504600000002</v>
      </c>
      <c r="J91" s="173">
        <v>324.37696499999998</v>
      </c>
      <c r="K91" s="173">
        <v>296.32292799999999</v>
      </c>
      <c r="L91" s="173">
        <v>247.112684</v>
      </c>
      <c r="M91" s="173">
        <v>224.26124200000001</v>
      </c>
      <c r="N91" s="173">
        <v>233.91494</v>
      </c>
      <c r="O91" s="173">
        <v>244.02029300000001</v>
      </c>
      <c r="P91" s="173">
        <v>218.49136100000001</v>
      </c>
      <c r="Q91" s="173">
        <v>213.548517</v>
      </c>
      <c r="R91" s="173">
        <v>205.68247400000001</v>
      </c>
      <c r="S91" s="173">
        <v>206.763338</v>
      </c>
      <c r="T91" s="173">
        <v>78.166135999999995</v>
      </c>
      <c r="U91"/>
      <c r="V91"/>
      <c r="W91"/>
      <c r="X91"/>
      <c r="Y91"/>
      <c r="Z91"/>
    </row>
    <row r="92" spans="1:26" ht="15">
      <c r="A92" s="211"/>
      <c r="B92" s="133" t="s">
        <v>24</v>
      </c>
      <c r="C92" s="173">
        <v>0</v>
      </c>
      <c r="D92" s="173">
        <v>0</v>
      </c>
      <c r="E92" s="173">
        <v>0</v>
      </c>
      <c r="F92" s="173">
        <v>0</v>
      </c>
      <c r="G92" s="173">
        <v>0</v>
      </c>
      <c r="H92" s="173">
        <v>0</v>
      </c>
      <c r="I92" s="173">
        <v>0</v>
      </c>
      <c r="J92" s="173">
        <v>0</v>
      </c>
      <c r="K92" s="173">
        <v>0</v>
      </c>
      <c r="L92" s="173">
        <v>0</v>
      </c>
      <c r="M92" s="173">
        <v>0</v>
      </c>
      <c r="N92" s="173">
        <v>0</v>
      </c>
      <c r="O92" s="173">
        <v>0</v>
      </c>
      <c r="P92" s="173">
        <v>0</v>
      </c>
      <c r="Q92" s="173">
        <v>0</v>
      </c>
      <c r="R92" s="173">
        <v>0</v>
      </c>
      <c r="S92" s="173">
        <v>0</v>
      </c>
      <c r="T92" s="173">
        <v>0</v>
      </c>
      <c r="U92"/>
      <c r="V92"/>
      <c r="W92"/>
      <c r="X92"/>
      <c r="Y92"/>
      <c r="Z92"/>
    </row>
    <row r="93" spans="1:26" ht="15">
      <c r="A93" s="211"/>
      <c r="B93" s="133" t="s">
        <v>5</v>
      </c>
      <c r="C93" s="173">
        <v>0.21573000000000001</v>
      </c>
      <c r="D93" s="173">
        <v>0.18323999999999999</v>
      </c>
      <c r="E93" s="173">
        <v>0.20035</v>
      </c>
      <c r="F93" s="173">
        <v>0.12734500000000001</v>
      </c>
      <c r="G93" s="173">
        <v>0.24965100000000001</v>
      </c>
      <c r="H93" s="173">
        <v>5.6180000000000001E-2</v>
      </c>
      <c r="I93" s="173">
        <v>0.118565</v>
      </c>
      <c r="J93" s="173">
        <v>9.7920999999999994E-2</v>
      </c>
      <c r="K93" s="173">
        <v>0</v>
      </c>
      <c r="L93" s="173">
        <v>1.0359999999999999E-2</v>
      </c>
      <c r="M93" s="173">
        <v>8.7279999999999996E-3</v>
      </c>
      <c r="N93" s="173">
        <v>0</v>
      </c>
      <c r="O93" s="173">
        <v>0</v>
      </c>
      <c r="P93" s="173">
        <v>0</v>
      </c>
      <c r="Q93" s="173">
        <v>0</v>
      </c>
      <c r="R93" s="173">
        <v>0</v>
      </c>
      <c r="S93" s="173">
        <v>0</v>
      </c>
      <c r="T93" s="173">
        <v>0</v>
      </c>
      <c r="U93"/>
      <c r="V93"/>
      <c r="W93"/>
      <c r="X93"/>
      <c r="Y93"/>
      <c r="Z93"/>
    </row>
    <row r="94" spans="1:26" ht="15">
      <c r="A94" s="211"/>
      <c r="B94" s="133" t="s">
        <v>4</v>
      </c>
      <c r="C94" s="173">
        <v>18.539918</v>
      </c>
      <c r="D94" s="173">
        <v>22.493357</v>
      </c>
      <c r="E94" s="173">
        <v>35.809480999999998</v>
      </c>
      <c r="F94" s="173">
        <v>38.89629</v>
      </c>
      <c r="G94" s="173">
        <v>34.459223999999999</v>
      </c>
      <c r="H94" s="173">
        <v>37.285699000000001</v>
      </c>
      <c r="I94" s="173">
        <v>41.537353000000003</v>
      </c>
      <c r="J94" s="173">
        <v>44.650032000000003</v>
      </c>
      <c r="K94" s="173">
        <v>34.850726000000002</v>
      </c>
      <c r="L94" s="173">
        <v>32.896220999999997</v>
      </c>
      <c r="M94" s="173">
        <v>24.884706000000001</v>
      </c>
      <c r="N94" s="173">
        <v>22.636651000000001</v>
      </c>
      <c r="O94" s="173">
        <v>23.970113999999999</v>
      </c>
      <c r="P94" s="173">
        <v>30.744498</v>
      </c>
      <c r="Q94" s="173">
        <v>45.305076999999997</v>
      </c>
      <c r="R94" s="173">
        <v>44.568354999999997</v>
      </c>
      <c r="S94" s="173">
        <v>58.204134000000003</v>
      </c>
      <c r="T94" s="173">
        <v>19.924171000000001</v>
      </c>
      <c r="U94"/>
      <c r="V94"/>
      <c r="W94"/>
      <c r="X94"/>
      <c r="Y94"/>
      <c r="Z94"/>
    </row>
    <row r="95" spans="1:26" ht="15">
      <c r="A95" s="211"/>
      <c r="B95" s="133" t="s">
        <v>22</v>
      </c>
      <c r="C95" s="173">
        <v>0.103349</v>
      </c>
      <c r="D95" s="173">
        <v>0.15284900000000001</v>
      </c>
      <c r="E95" s="173">
        <v>0.171352</v>
      </c>
      <c r="F95" s="173">
        <v>9.7647999999999999E-2</v>
      </c>
      <c r="G95" s="173">
        <v>0.14440500000000001</v>
      </c>
      <c r="H95" s="173">
        <v>0.140066</v>
      </c>
      <c r="I95" s="173">
        <v>0.102288</v>
      </c>
      <c r="J95" s="173">
        <v>9.2054999999999998E-2</v>
      </c>
      <c r="K95" s="173">
        <v>0.14128099999999999</v>
      </c>
      <c r="L95" s="173">
        <v>0.14801500000000001</v>
      </c>
      <c r="M95" s="173">
        <v>0.14354</v>
      </c>
      <c r="N95" s="173">
        <v>0.12625700000000001</v>
      </c>
      <c r="O95" s="173">
        <v>0.10422099999999999</v>
      </c>
      <c r="P95" s="173">
        <v>3.9530000000000003E-2</v>
      </c>
      <c r="Q95" s="173">
        <v>4.0002000000000003E-2</v>
      </c>
      <c r="R95" s="173">
        <v>1.5544000000000001E-2</v>
      </c>
      <c r="S95" s="173">
        <v>4.1384999999999998E-2</v>
      </c>
      <c r="T95" s="173">
        <v>9.2420000000000002E-3</v>
      </c>
      <c r="U95"/>
      <c r="V95"/>
      <c r="W95"/>
      <c r="X95"/>
      <c r="Y95"/>
      <c r="Z95"/>
    </row>
    <row r="96" spans="1:26" ht="15">
      <c r="A96" s="211"/>
      <c r="B96" s="133" t="s">
        <v>23</v>
      </c>
      <c r="C96" s="173">
        <v>3.0384120000000001</v>
      </c>
      <c r="D96" s="173">
        <v>2.9847320000000002</v>
      </c>
      <c r="E96" s="173">
        <v>3.5262690000000001</v>
      </c>
      <c r="F96" s="173">
        <v>3.5964710000000002</v>
      </c>
      <c r="G96" s="173">
        <v>3.46306</v>
      </c>
      <c r="H96" s="173">
        <v>3.7329490000000001</v>
      </c>
      <c r="I96" s="173">
        <v>3.1795529999999999</v>
      </c>
      <c r="J96" s="173">
        <v>3.6746310000000002</v>
      </c>
      <c r="K96" s="173">
        <v>2.995241</v>
      </c>
      <c r="L96" s="173">
        <v>1.6210690000000001</v>
      </c>
      <c r="M96" s="173">
        <v>1.996553</v>
      </c>
      <c r="N96" s="173">
        <v>3.1565249999999998</v>
      </c>
      <c r="O96" s="173">
        <v>3.9370180000000001</v>
      </c>
      <c r="P96" s="173">
        <v>3.7397490000000002</v>
      </c>
      <c r="Q96" s="173">
        <v>3.4851179999999999</v>
      </c>
      <c r="R96" s="173">
        <v>1.9095409999999999</v>
      </c>
      <c r="S96" s="173">
        <v>3.5397620000000001</v>
      </c>
      <c r="T96" s="173">
        <v>0.33052100000000001</v>
      </c>
      <c r="U96"/>
      <c r="V96"/>
      <c r="W96"/>
      <c r="X96"/>
      <c r="Y96"/>
      <c r="Z96"/>
    </row>
    <row r="97" spans="1:26" ht="15">
      <c r="A97" s="211"/>
      <c r="B97" s="133" t="s">
        <v>54</v>
      </c>
      <c r="C97" s="173">
        <v>7.3618245</v>
      </c>
      <c r="D97" s="173">
        <v>9.8298860000000001</v>
      </c>
      <c r="E97" s="173">
        <v>9.6378819999999994</v>
      </c>
      <c r="F97" s="173">
        <v>10.65733</v>
      </c>
      <c r="G97" s="173">
        <v>12.228600500000001</v>
      </c>
      <c r="H97" s="173">
        <v>15.5976535</v>
      </c>
      <c r="I97" s="173">
        <v>12.541195999999999</v>
      </c>
      <c r="J97" s="173">
        <v>14.683114</v>
      </c>
      <c r="K97" s="173">
        <v>9.9340825000000006</v>
      </c>
      <c r="L97" s="173">
        <v>10.861402</v>
      </c>
      <c r="M97" s="173">
        <v>10.810193999999999</v>
      </c>
      <c r="N97" s="173">
        <v>8.9918355000000005</v>
      </c>
      <c r="O97" s="173">
        <v>10.485035</v>
      </c>
      <c r="P97" s="173">
        <v>5.6085469999999997</v>
      </c>
      <c r="Q97" s="173">
        <v>12.829401000000001</v>
      </c>
      <c r="R97" s="173">
        <v>11.323399</v>
      </c>
      <c r="S97" s="173">
        <v>12.2750895</v>
      </c>
      <c r="T97" s="173">
        <v>6.0105000000000004</v>
      </c>
      <c r="U97"/>
      <c r="V97"/>
      <c r="W97"/>
      <c r="X97"/>
      <c r="Y97"/>
      <c r="Z97"/>
    </row>
    <row r="98" spans="1:26" ht="15">
      <c r="A98" s="211"/>
      <c r="B98" s="133" t="s">
        <v>55</v>
      </c>
      <c r="C98" s="173">
        <v>7.3618245</v>
      </c>
      <c r="D98" s="173">
        <v>9.8298860000000001</v>
      </c>
      <c r="E98" s="173">
        <v>9.6378819999999994</v>
      </c>
      <c r="F98" s="173">
        <v>10.65733</v>
      </c>
      <c r="G98" s="173">
        <v>12.228600500000001</v>
      </c>
      <c r="H98" s="173">
        <v>15.5976535</v>
      </c>
      <c r="I98" s="173">
        <v>12.541195999999999</v>
      </c>
      <c r="J98" s="173">
        <v>14.683114</v>
      </c>
      <c r="K98" s="173">
        <v>9.9340825000000006</v>
      </c>
      <c r="L98" s="173">
        <v>10.861402</v>
      </c>
      <c r="M98" s="173">
        <v>10.810193999999999</v>
      </c>
      <c r="N98" s="173">
        <v>8.9918355000000005</v>
      </c>
      <c r="O98" s="173">
        <v>10.485035</v>
      </c>
      <c r="P98" s="173">
        <v>5.6085469999999997</v>
      </c>
      <c r="Q98" s="173">
        <v>12.829401000000001</v>
      </c>
      <c r="R98" s="173">
        <v>11.323399</v>
      </c>
      <c r="S98" s="173">
        <v>12.2750895</v>
      </c>
      <c r="T98" s="173">
        <v>6.0105000000000004</v>
      </c>
      <c r="U98"/>
      <c r="V98"/>
      <c r="W98"/>
      <c r="X98"/>
      <c r="Y98"/>
      <c r="Z98"/>
    </row>
    <row r="99" spans="1:26" ht="15">
      <c r="A99" s="211"/>
      <c r="B99" s="137" t="s">
        <v>2</v>
      </c>
      <c r="C99" s="174">
        <v>326.63051000000002</v>
      </c>
      <c r="D99" s="174">
        <v>342.61162200000001</v>
      </c>
      <c r="E99" s="174">
        <v>332.49950799999999</v>
      </c>
      <c r="F99" s="174">
        <v>307.73898600000001</v>
      </c>
      <c r="G99" s="174">
        <v>341.341116</v>
      </c>
      <c r="H99" s="174">
        <v>422.34463899999997</v>
      </c>
      <c r="I99" s="174">
        <v>565.983338</v>
      </c>
      <c r="J99" s="174">
        <v>529.62082399999997</v>
      </c>
      <c r="K99" s="174">
        <v>435.40925900000002</v>
      </c>
      <c r="L99" s="174">
        <v>363.93801500000001</v>
      </c>
      <c r="M99" s="174">
        <v>302.20483200000001</v>
      </c>
      <c r="N99" s="174">
        <v>305.99322599999999</v>
      </c>
      <c r="O99" s="174">
        <v>322.739238</v>
      </c>
      <c r="P99" s="174">
        <v>292.19124699999998</v>
      </c>
      <c r="Q99" s="174">
        <v>317.70156900000001</v>
      </c>
      <c r="R99" s="174">
        <v>321.59470199999998</v>
      </c>
      <c r="S99" s="174">
        <v>356.46469300000001</v>
      </c>
      <c r="T99" s="174">
        <v>140.279068</v>
      </c>
      <c r="U99"/>
      <c r="V99"/>
      <c r="W99"/>
      <c r="X99"/>
      <c r="Y99"/>
      <c r="Z99"/>
    </row>
    <row r="100" spans="1:26" ht="15">
      <c r="A100" s="211"/>
      <c r="B100" s="133" t="s">
        <v>21</v>
      </c>
      <c r="C100" s="173">
        <v>123.950131</v>
      </c>
      <c r="D100" s="173">
        <v>89.734262000000001</v>
      </c>
      <c r="E100" s="173">
        <v>82.194308000000007</v>
      </c>
      <c r="F100" s="173">
        <v>98.033413999999993</v>
      </c>
      <c r="G100" s="173">
        <v>118.762416</v>
      </c>
      <c r="H100" s="173">
        <v>124.350134</v>
      </c>
      <c r="I100" s="173">
        <v>168.54782399999999</v>
      </c>
      <c r="J100" s="173">
        <v>175.00929099999999</v>
      </c>
      <c r="K100" s="173">
        <v>130.854702</v>
      </c>
      <c r="L100" s="173">
        <v>131.44748999999999</v>
      </c>
      <c r="M100" s="173">
        <v>70.735690000000005</v>
      </c>
      <c r="N100" s="173">
        <v>112.440268</v>
      </c>
      <c r="O100" s="173">
        <v>122.760274</v>
      </c>
      <c r="P100" s="173">
        <v>114.74408200000001</v>
      </c>
      <c r="Q100" s="173">
        <v>110.667727</v>
      </c>
      <c r="R100" s="173">
        <v>109.36235000000001</v>
      </c>
      <c r="S100" s="173">
        <v>117.764884</v>
      </c>
      <c r="T100" s="173">
        <v>43.672600000000003</v>
      </c>
      <c r="U100"/>
      <c r="V100"/>
      <c r="W100"/>
      <c r="X100"/>
      <c r="Y100"/>
      <c r="Z100"/>
    </row>
    <row r="101" spans="1:26" ht="15">
      <c r="A101" s="212"/>
      <c r="B101" s="137" t="s">
        <v>79</v>
      </c>
      <c r="C101" s="174">
        <v>450.58064100000001</v>
      </c>
      <c r="D101" s="174">
        <v>432.34588400000001</v>
      </c>
      <c r="E101" s="174">
        <v>414.69381600000003</v>
      </c>
      <c r="F101" s="174">
        <v>405.7724</v>
      </c>
      <c r="G101" s="174">
        <v>460.10353199999997</v>
      </c>
      <c r="H101" s="174">
        <v>546.69477300000005</v>
      </c>
      <c r="I101" s="174">
        <v>734.53116199999999</v>
      </c>
      <c r="J101" s="174">
        <v>704.63011500000005</v>
      </c>
      <c r="K101" s="174">
        <v>566.26396099999999</v>
      </c>
      <c r="L101" s="174">
        <v>495.38550500000002</v>
      </c>
      <c r="M101" s="174">
        <v>372.94052199999999</v>
      </c>
      <c r="N101" s="174">
        <v>418.433494</v>
      </c>
      <c r="O101" s="174">
        <v>445.49951199999998</v>
      </c>
      <c r="P101" s="174">
        <v>406.93532900000002</v>
      </c>
      <c r="Q101" s="174">
        <v>428.36929600000002</v>
      </c>
      <c r="R101" s="174">
        <v>430.95705199999998</v>
      </c>
      <c r="S101" s="174">
        <v>474.22957700000001</v>
      </c>
      <c r="T101" s="174">
        <v>183.95166800000001</v>
      </c>
      <c r="U101"/>
      <c r="V101"/>
      <c r="W101"/>
      <c r="X101"/>
      <c r="Y101"/>
      <c r="Z101"/>
    </row>
    <row r="102" spans="1:26" ht="15">
      <c r="A102" s="215" t="s">
        <v>58</v>
      </c>
      <c r="B102" s="133" t="s">
        <v>12</v>
      </c>
      <c r="C102" s="173">
        <v>0.27497500000000002</v>
      </c>
      <c r="D102" s="173">
        <v>0.25442500000000001</v>
      </c>
      <c r="E102" s="173">
        <v>0.29050999999999999</v>
      </c>
      <c r="F102" s="173">
        <v>0.27580700000000002</v>
      </c>
      <c r="G102" s="173">
        <v>0.29760599999999998</v>
      </c>
      <c r="H102" s="173">
        <v>0.28353699999999998</v>
      </c>
      <c r="I102" s="173">
        <v>0.30186600000000002</v>
      </c>
      <c r="J102" s="173">
        <v>0.289545</v>
      </c>
      <c r="K102" s="173">
        <v>0.28924100000000003</v>
      </c>
      <c r="L102" s="173">
        <v>0.30332900000000002</v>
      </c>
      <c r="M102" s="173">
        <v>0.28045300000000001</v>
      </c>
      <c r="N102" s="173">
        <v>0.30560300000000001</v>
      </c>
      <c r="O102" s="173">
        <v>0.29624200000000001</v>
      </c>
      <c r="P102" s="173">
        <v>0.28508299999999998</v>
      </c>
      <c r="Q102" s="173">
        <v>0.272924</v>
      </c>
      <c r="R102" s="173">
        <v>0.258407</v>
      </c>
      <c r="S102" s="173">
        <v>0.28213199999999999</v>
      </c>
      <c r="T102" s="173">
        <v>0</v>
      </c>
      <c r="U102"/>
      <c r="V102"/>
      <c r="W102"/>
      <c r="X102"/>
      <c r="Y102"/>
      <c r="Z102"/>
    </row>
    <row r="103" spans="1:26" ht="15">
      <c r="A103" s="211"/>
      <c r="B103" s="133" t="s">
        <v>78</v>
      </c>
      <c r="C103" s="173">
        <v>149.66655</v>
      </c>
      <c r="D103" s="173">
        <v>151.17901900000001</v>
      </c>
      <c r="E103" s="173">
        <v>141.36258799999999</v>
      </c>
      <c r="F103" s="173">
        <v>149.85577699999999</v>
      </c>
      <c r="G103" s="173">
        <v>152.672697</v>
      </c>
      <c r="H103" s="173">
        <v>159.427877</v>
      </c>
      <c r="I103" s="173">
        <v>147.371253</v>
      </c>
      <c r="J103" s="173">
        <v>158.13818499999999</v>
      </c>
      <c r="K103" s="173">
        <v>154.76962499999999</v>
      </c>
      <c r="L103" s="173">
        <v>179.17001500000001</v>
      </c>
      <c r="M103" s="173">
        <v>168.212242</v>
      </c>
      <c r="N103" s="173">
        <v>171.03571600000001</v>
      </c>
      <c r="O103" s="173">
        <v>166.77709300000001</v>
      </c>
      <c r="P103" s="173">
        <v>147.58979299999999</v>
      </c>
      <c r="Q103" s="173">
        <v>156.05254400000001</v>
      </c>
      <c r="R103" s="173">
        <v>143.99597600000001</v>
      </c>
      <c r="S103" s="173">
        <v>142.89773500000001</v>
      </c>
      <c r="T103" s="173">
        <v>57.276786999999999</v>
      </c>
      <c r="U103"/>
      <c r="V103"/>
      <c r="W103"/>
      <c r="X103"/>
      <c r="Y103"/>
      <c r="Z103"/>
    </row>
    <row r="104" spans="1:26" ht="15">
      <c r="A104" s="211"/>
      <c r="B104" s="133" t="s">
        <v>9</v>
      </c>
      <c r="C104" s="173">
        <v>14.760491</v>
      </c>
      <c r="D104" s="173">
        <v>26.990496</v>
      </c>
      <c r="E104" s="173">
        <v>16.813075000000001</v>
      </c>
      <c r="F104" s="173">
        <v>21.092299000000001</v>
      </c>
      <c r="G104" s="173">
        <v>23.467611000000002</v>
      </c>
      <c r="H104" s="173">
        <v>20.997603000000002</v>
      </c>
      <c r="I104" s="173">
        <v>15.379733999999999</v>
      </c>
      <c r="J104" s="173">
        <v>16.795183000000002</v>
      </c>
      <c r="K104" s="173">
        <v>18.188441000000001</v>
      </c>
      <c r="L104" s="173">
        <v>30.707764999999998</v>
      </c>
      <c r="M104" s="173">
        <v>24.331886999999998</v>
      </c>
      <c r="N104" s="173">
        <v>26.447642999999999</v>
      </c>
      <c r="O104" s="173">
        <v>28.032011000000001</v>
      </c>
      <c r="P104" s="173">
        <v>23.301389</v>
      </c>
      <c r="Q104" s="173">
        <v>22.780221000000001</v>
      </c>
      <c r="R104" s="173">
        <v>15.018001</v>
      </c>
      <c r="S104" s="173">
        <v>13.174446</v>
      </c>
      <c r="T104" s="173">
        <v>7.6729880000000001</v>
      </c>
      <c r="U104"/>
      <c r="V104"/>
      <c r="W104"/>
      <c r="X104"/>
      <c r="Y104"/>
      <c r="Z104"/>
    </row>
    <row r="105" spans="1:26" ht="15">
      <c r="A105" s="211"/>
      <c r="B105" s="133" t="s">
        <v>8</v>
      </c>
      <c r="C105" s="173">
        <v>118.030389</v>
      </c>
      <c r="D105" s="173">
        <v>118.052049</v>
      </c>
      <c r="E105" s="173">
        <v>103.679242</v>
      </c>
      <c r="F105" s="173">
        <v>89.164951000000002</v>
      </c>
      <c r="G105" s="173">
        <v>84.880949000000001</v>
      </c>
      <c r="H105" s="173">
        <v>84.905440999999996</v>
      </c>
      <c r="I105" s="173">
        <v>101.065799</v>
      </c>
      <c r="J105" s="173">
        <v>105.31614999999999</v>
      </c>
      <c r="K105" s="173">
        <v>105.510948</v>
      </c>
      <c r="L105" s="173">
        <v>119.677701</v>
      </c>
      <c r="M105" s="173">
        <v>90.916317000000006</v>
      </c>
      <c r="N105" s="173">
        <v>96.450059999999993</v>
      </c>
      <c r="O105" s="173">
        <v>118.36447</v>
      </c>
      <c r="P105" s="173">
        <v>100.186932</v>
      </c>
      <c r="Q105" s="173">
        <v>116.04889799999999</v>
      </c>
      <c r="R105" s="173">
        <v>98.285223000000002</v>
      </c>
      <c r="S105" s="173">
        <v>106.53814</v>
      </c>
      <c r="T105" s="173">
        <v>29.186717999999999</v>
      </c>
      <c r="U105"/>
      <c r="V105"/>
      <c r="W105"/>
      <c r="X105"/>
      <c r="Y105"/>
      <c r="Z105"/>
    </row>
    <row r="106" spans="1:26" ht="15">
      <c r="A106" s="211"/>
      <c r="B106" s="133" t="s">
        <v>25</v>
      </c>
      <c r="C106" s="173">
        <v>279.418815</v>
      </c>
      <c r="D106" s="173">
        <v>289.33312999999998</v>
      </c>
      <c r="E106" s="173">
        <v>284.83144399999998</v>
      </c>
      <c r="F106" s="173">
        <v>279.54366599999997</v>
      </c>
      <c r="G106" s="173">
        <v>275.34098399999999</v>
      </c>
      <c r="H106" s="173">
        <v>351.45923099999999</v>
      </c>
      <c r="I106" s="173">
        <v>250.52108799999999</v>
      </c>
      <c r="J106" s="173">
        <v>306.93109600000003</v>
      </c>
      <c r="K106" s="173">
        <v>329.65078499999998</v>
      </c>
      <c r="L106" s="173">
        <v>385.37423100000001</v>
      </c>
      <c r="M106" s="173">
        <v>320.60776499999997</v>
      </c>
      <c r="N106" s="173">
        <v>343.70541600000001</v>
      </c>
      <c r="O106" s="173">
        <v>348.60822999999999</v>
      </c>
      <c r="P106" s="173">
        <v>282.95672999999999</v>
      </c>
      <c r="Q106" s="173">
        <v>305.966994</v>
      </c>
      <c r="R106" s="173">
        <v>315.19474500000001</v>
      </c>
      <c r="S106" s="173">
        <v>259.74817300000001</v>
      </c>
      <c r="T106" s="173">
        <v>132.21678299999999</v>
      </c>
      <c r="U106"/>
      <c r="V106"/>
      <c r="W106"/>
      <c r="X106"/>
      <c r="Y106"/>
      <c r="Z106"/>
    </row>
    <row r="107" spans="1:26" ht="15">
      <c r="A107" s="211"/>
      <c r="B107" s="133" t="s">
        <v>24</v>
      </c>
      <c r="C107" s="173">
        <v>-1.3847999999999999E-2</v>
      </c>
      <c r="D107" s="173">
        <v>-9.9690000000000004E-3</v>
      </c>
      <c r="E107" s="173">
        <v>-1.3753E-2</v>
      </c>
      <c r="F107" s="173">
        <v>-1.2926999999999999E-2</v>
      </c>
      <c r="G107" s="173">
        <v>-1.3481E-2</v>
      </c>
      <c r="H107" s="173">
        <v>-2.0100000000000001E-3</v>
      </c>
      <c r="I107" s="173">
        <v>0</v>
      </c>
      <c r="J107" s="173">
        <v>0</v>
      </c>
      <c r="K107" s="173">
        <v>0</v>
      </c>
      <c r="L107" s="173">
        <v>0</v>
      </c>
      <c r="M107" s="173">
        <v>0</v>
      </c>
      <c r="N107" s="173">
        <v>0</v>
      </c>
      <c r="O107" s="173">
        <v>0</v>
      </c>
      <c r="P107" s="173">
        <v>0</v>
      </c>
      <c r="Q107" s="173">
        <v>0</v>
      </c>
      <c r="R107" s="173">
        <v>0</v>
      </c>
      <c r="S107" s="173">
        <v>0</v>
      </c>
      <c r="T107" s="173">
        <v>0</v>
      </c>
      <c r="U107"/>
      <c r="V107"/>
      <c r="W107"/>
      <c r="X107"/>
      <c r="Y107"/>
      <c r="Z107"/>
    </row>
    <row r="108" spans="1:26" ht="15">
      <c r="A108" s="211"/>
      <c r="B108" s="133" t="s">
        <v>6</v>
      </c>
      <c r="C108" s="173">
        <v>1.6495040000000001</v>
      </c>
      <c r="D108" s="173">
        <v>0.82934099999999999</v>
      </c>
      <c r="E108" s="173">
        <v>1.5724450000000001</v>
      </c>
      <c r="F108" s="173">
        <v>1.573337</v>
      </c>
      <c r="G108" s="173">
        <v>2.0671949999999999</v>
      </c>
      <c r="H108" s="173">
        <v>0.80873799999999996</v>
      </c>
      <c r="I108" s="173">
        <v>2.7590569999999999</v>
      </c>
      <c r="J108" s="173">
        <v>2.6998280000000001</v>
      </c>
      <c r="K108" s="173">
        <v>1.3149919999999999</v>
      </c>
      <c r="L108" s="173">
        <v>0.44324000000000002</v>
      </c>
      <c r="M108" s="173">
        <v>1.0899650000000001</v>
      </c>
      <c r="N108" s="173">
        <v>0.66913</v>
      </c>
      <c r="O108" s="173">
        <v>0.66808100000000004</v>
      </c>
      <c r="P108" s="173">
        <v>1.414679</v>
      </c>
      <c r="Q108" s="173">
        <v>1.5891550000000001</v>
      </c>
      <c r="R108" s="173">
        <v>1.2945469999999999</v>
      </c>
      <c r="S108" s="173">
        <v>2.2523740000000001</v>
      </c>
      <c r="T108" s="173">
        <v>0.65565600000000002</v>
      </c>
      <c r="U108"/>
      <c r="V108"/>
      <c r="W108"/>
      <c r="X108"/>
      <c r="Y108"/>
      <c r="Z108"/>
    </row>
    <row r="109" spans="1:26" ht="15">
      <c r="A109" s="211"/>
      <c r="B109" s="133" t="s">
        <v>5</v>
      </c>
      <c r="C109" s="173">
        <v>132.72816599999999</v>
      </c>
      <c r="D109" s="173">
        <v>42.67051</v>
      </c>
      <c r="E109" s="173">
        <v>131.49951200000001</v>
      </c>
      <c r="F109" s="173">
        <v>103.784149</v>
      </c>
      <c r="G109" s="173">
        <v>131.928437</v>
      </c>
      <c r="H109" s="173">
        <v>64.374502000000007</v>
      </c>
      <c r="I109" s="173">
        <v>209.601507</v>
      </c>
      <c r="J109" s="173">
        <v>178.40540899999999</v>
      </c>
      <c r="K109" s="173">
        <v>103.255752</v>
      </c>
      <c r="L109" s="173">
        <v>57.760353000000002</v>
      </c>
      <c r="M109" s="173">
        <v>99.230602000000005</v>
      </c>
      <c r="N109" s="173">
        <v>70.608433000000005</v>
      </c>
      <c r="O109" s="173">
        <v>53.195207000000003</v>
      </c>
      <c r="P109" s="173">
        <v>108.751811</v>
      </c>
      <c r="Q109" s="173">
        <v>89.282236999999995</v>
      </c>
      <c r="R109" s="173">
        <v>94.671989999999994</v>
      </c>
      <c r="S109" s="173">
        <v>147.019094</v>
      </c>
      <c r="T109" s="173">
        <v>19.076922</v>
      </c>
      <c r="U109"/>
      <c r="V109"/>
      <c r="W109"/>
      <c r="X109"/>
      <c r="Y109"/>
      <c r="Z109"/>
    </row>
    <row r="110" spans="1:26" ht="15">
      <c r="A110" s="211"/>
      <c r="B110" s="133" t="s">
        <v>4</v>
      </c>
      <c r="C110" s="173">
        <v>22.121485</v>
      </c>
      <c r="D110" s="173">
        <v>20.382895000000001</v>
      </c>
      <c r="E110" s="173">
        <v>32.808866999999999</v>
      </c>
      <c r="F110" s="173">
        <v>30.082971000000001</v>
      </c>
      <c r="G110" s="173">
        <v>30.799336</v>
      </c>
      <c r="H110" s="173">
        <v>30.793143000000001</v>
      </c>
      <c r="I110" s="173">
        <v>35.178874</v>
      </c>
      <c r="J110" s="173">
        <v>33.707680000000003</v>
      </c>
      <c r="K110" s="173">
        <v>31.407260000000001</v>
      </c>
      <c r="L110" s="173">
        <v>29.906251000000001</v>
      </c>
      <c r="M110" s="173">
        <v>25.097702999999999</v>
      </c>
      <c r="N110" s="173">
        <v>23.682936000000002</v>
      </c>
      <c r="O110" s="173">
        <v>24.559023</v>
      </c>
      <c r="P110" s="173">
        <v>26.306543000000001</v>
      </c>
      <c r="Q110" s="173">
        <v>31.905954000000001</v>
      </c>
      <c r="R110" s="173">
        <v>35.953691999999997</v>
      </c>
      <c r="S110" s="173">
        <v>35.421075999999999</v>
      </c>
      <c r="T110" s="173">
        <v>11.806948</v>
      </c>
      <c r="U110"/>
      <c r="V110"/>
      <c r="W110"/>
      <c r="X110"/>
      <c r="Y110"/>
      <c r="Z110"/>
    </row>
    <row r="111" spans="1:26" ht="15">
      <c r="A111" s="211"/>
      <c r="B111" s="133" t="s">
        <v>22</v>
      </c>
      <c r="C111" s="173">
        <v>0.78413299999999997</v>
      </c>
      <c r="D111" s="173">
        <v>0.71108700000000002</v>
      </c>
      <c r="E111" s="173">
        <v>0.73842799999999997</v>
      </c>
      <c r="F111" s="173">
        <v>0.63095199999999996</v>
      </c>
      <c r="G111" s="173">
        <v>0.65055600000000002</v>
      </c>
      <c r="H111" s="173">
        <v>0.66513100000000003</v>
      </c>
      <c r="I111" s="173">
        <v>0.64607300000000001</v>
      </c>
      <c r="J111" s="173">
        <v>0.37482700000000002</v>
      </c>
      <c r="K111" s="173">
        <v>0.37211699999999998</v>
      </c>
      <c r="L111" s="173">
        <v>0.524733</v>
      </c>
      <c r="M111" s="173">
        <v>0.42454199999999997</v>
      </c>
      <c r="N111" s="173">
        <v>0.44537900000000002</v>
      </c>
      <c r="O111" s="173">
        <v>0.50013399999999997</v>
      </c>
      <c r="P111" s="173">
        <v>0.49944300000000003</v>
      </c>
      <c r="Q111" s="173">
        <v>0.57839200000000002</v>
      </c>
      <c r="R111" s="173">
        <v>0.26424700000000001</v>
      </c>
      <c r="S111" s="173">
        <v>0.430983</v>
      </c>
      <c r="T111" s="173">
        <v>0</v>
      </c>
      <c r="U111"/>
      <c r="V111"/>
      <c r="W111"/>
      <c r="X111"/>
      <c r="Y111"/>
      <c r="Z111"/>
    </row>
    <row r="112" spans="1:26" ht="15">
      <c r="A112" s="211"/>
      <c r="B112" s="137" t="s">
        <v>2</v>
      </c>
      <c r="C112" s="174">
        <v>719.42066</v>
      </c>
      <c r="D112" s="174">
        <v>650.39298299999996</v>
      </c>
      <c r="E112" s="174">
        <v>713.582358</v>
      </c>
      <c r="F112" s="174">
        <v>675.99098200000003</v>
      </c>
      <c r="G112" s="174">
        <v>702.09189000000003</v>
      </c>
      <c r="H112" s="174">
        <v>713.71319300000005</v>
      </c>
      <c r="I112" s="174">
        <v>762.82525099999998</v>
      </c>
      <c r="J112" s="174">
        <v>802.65790300000003</v>
      </c>
      <c r="K112" s="174">
        <v>744.75916099999995</v>
      </c>
      <c r="L112" s="174">
        <v>803.86761799999999</v>
      </c>
      <c r="M112" s="174">
        <v>730.19147599999997</v>
      </c>
      <c r="N112" s="174">
        <v>733.35031600000002</v>
      </c>
      <c r="O112" s="174">
        <v>741.00049100000001</v>
      </c>
      <c r="P112" s="174">
        <v>691.29240300000004</v>
      </c>
      <c r="Q112" s="174">
        <v>724.47731899999997</v>
      </c>
      <c r="R112" s="174">
        <v>704.93682799999999</v>
      </c>
      <c r="S112" s="174">
        <v>707.76415299999996</v>
      </c>
      <c r="T112" s="174">
        <v>257.89280200000002</v>
      </c>
      <c r="U112"/>
      <c r="V112"/>
      <c r="W112"/>
      <c r="X112"/>
      <c r="Y112"/>
      <c r="Z112"/>
    </row>
    <row r="113" spans="1:26" ht="15">
      <c r="A113" s="212"/>
      <c r="B113" s="137" t="s">
        <v>79</v>
      </c>
      <c r="C113" s="174">
        <v>719.42066</v>
      </c>
      <c r="D113" s="174">
        <v>650.39298299999996</v>
      </c>
      <c r="E113" s="174">
        <v>713.582358</v>
      </c>
      <c r="F113" s="174">
        <v>675.99098200000003</v>
      </c>
      <c r="G113" s="174">
        <v>702.09189000000003</v>
      </c>
      <c r="H113" s="174">
        <v>713.71319300000005</v>
      </c>
      <c r="I113" s="174">
        <v>762.82525099999998</v>
      </c>
      <c r="J113" s="174">
        <v>802.65790300000003</v>
      </c>
      <c r="K113" s="174">
        <v>744.75916099999995</v>
      </c>
      <c r="L113" s="174">
        <v>803.86761799999999</v>
      </c>
      <c r="M113" s="174">
        <v>730.19147599999997</v>
      </c>
      <c r="N113" s="174">
        <v>733.35031600000002</v>
      </c>
      <c r="O113" s="174">
        <v>741.00049100000001</v>
      </c>
      <c r="P113" s="174">
        <v>691.29240300000004</v>
      </c>
      <c r="Q113" s="174">
        <v>724.47731899999997</v>
      </c>
      <c r="R113" s="174">
        <v>704.93682799999999</v>
      </c>
      <c r="S113" s="174">
        <v>707.76415299999996</v>
      </c>
      <c r="T113" s="174">
        <v>257.89280200000002</v>
      </c>
      <c r="U113"/>
      <c r="V113"/>
      <c r="W113"/>
      <c r="X113"/>
      <c r="Y113"/>
      <c r="Z113"/>
    </row>
    <row r="114" spans="1:26" ht="1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8" t="s">
        <v>73</v>
      </c>
      <c r="C117" s="111" t="str">
        <f>TEXT(EDATE(D117,-1),"mmmm aaaa")</f>
        <v>mayo 2023</v>
      </c>
      <c r="D117" s="111" t="str">
        <f t="shared" ref="D117:M117" si="6">TEXT(EDATE(E117,-1),"mmmm aaaa")</f>
        <v>junio 2023</v>
      </c>
      <c r="E117" s="111" t="str">
        <f t="shared" si="6"/>
        <v>julio 2023</v>
      </c>
      <c r="F117" s="111" t="str">
        <f t="shared" si="6"/>
        <v>agosto 2023</v>
      </c>
      <c r="G117" s="111" t="str">
        <f t="shared" si="6"/>
        <v>septiembre 2023</v>
      </c>
      <c r="H117" s="111" t="str">
        <f t="shared" si="6"/>
        <v>octubre 2023</v>
      </c>
      <c r="I117" s="111" t="str">
        <f t="shared" si="6"/>
        <v>noviembre 2023</v>
      </c>
      <c r="J117" s="111" t="str">
        <f t="shared" si="6"/>
        <v>diciembre 2023</v>
      </c>
      <c r="K117" s="111" t="str">
        <f t="shared" si="6"/>
        <v>enero 2024</v>
      </c>
      <c r="L117" s="111" t="str">
        <f t="shared" si="6"/>
        <v>febrero 2024</v>
      </c>
      <c r="M117" s="111" t="str">
        <f t="shared" si="6"/>
        <v>marzo 2024</v>
      </c>
      <c r="N117" s="111" t="str">
        <f>TEXT(EDATE(O117,-1),"mmmm aaaa")</f>
        <v>abril 2024</v>
      </c>
      <c r="O117" s="112" t="str">
        <f>A2</f>
        <v>Mayo 2024</v>
      </c>
    </row>
    <row r="118" spans="1:26">
      <c r="B118" s="209"/>
      <c r="C118" s="121" t="str">
        <f>TEXT(EDATE($A$2,-12),"mmm")&amp;".-"&amp;TEXT(EDATE($A$2,-12),"aa")</f>
        <v>may.-23</v>
      </c>
      <c r="D118" s="121" t="str">
        <f>TEXT(EDATE($A$2,-11),"mmm")&amp;".-"&amp;TEXT(EDATE($A$2,-11),"aa")</f>
        <v>jun.-23</v>
      </c>
      <c r="E118" s="121" t="str">
        <f>TEXT(EDATE($A$2,-10),"mmm")&amp;".-"&amp;TEXT(EDATE($A$2,-10),"aa")</f>
        <v>jul.-23</v>
      </c>
      <c r="F118" s="121" t="str">
        <f>TEXT(EDATE($A$2,-9),"mmm")&amp;".-"&amp;TEXT(EDATE($A$2,-9),"aa")</f>
        <v>ago.-23</v>
      </c>
      <c r="G118" s="121" t="str">
        <f>TEXT(EDATE($A$2,-8),"mmm")&amp;".-"&amp;TEXT(EDATE($A$2,-8),"aa")</f>
        <v>sep.-23</v>
      </c>
      <c r="H118" s="121" t="str">
        <f>TEXT(EDATE($A$2,-7),"mmm")&amp;".-"&amp;TEXT(EDATE($A$2,-7),"aa")</f>
        <v>oct.-23</v>
      </c>
      <c r="I118" s="121" t="str">
        <f>TEXT(EDATE($A$2,-6),"mmm")&amp;".-"&amp;TEXT(EDATE($A$2,-6),"aa")</f>
        <v>nov.-23</v>
      </c>
      <c r="J118" s="121" t="str">
        <f>TEXT(EDATE($A$2,-5),"mmm")&amp;".-"&amp;TEXT(EDATE($A$2,-5),"aa")</f>
        <v>dic.-23</v>
      </c>
      <c r="K118" s="121" t="str">
        <f>TEXT(EDATE($A$2,-4),"mmm")&amp;".-"&amp;TEXT(EDATE($A$2,-4),"aa")</f>
        <v>ene.-24</v>
      </c>
      <c r="L118" s="121" t="str">
        <f>TEXT(EDATE($A$2,-3),"mmm")&amp;".-"&amp;TEXT(EDATE($A$2,-3),"aa")</f>
        <v>feb.-24</v>
      </c>
      <c r="M118" s="121" t="str">
        <f>TEXT(EDATE($A$2,-2),"mmm")&amp;".-"&amp;TEXT(EDATE($A$2,-2),"aa")</f>
        <v>mar.-24</v>
      </c>
      <c r="N118" s="121" t="str">
        <f>TEXT(EDATE($A$2,-1),"mmm")&amp;".-"&amp;TEXT(EDATE($A$2,-1),"aa")</f>
        <v>abr.-24</v>
      </c>
      <c r="O118" s="143" t="str">
        <f>TEXT($A$2,"mmm")&amp;".-"&amp;TEXT($A$2,"aa")</f>
        <v>may.-24</v>
      </c>
    </row>
    <row r="119" spans="1:26">
      <c r="A119" s="205" t="s">
        <v>76</v>
      </c>
      <c r="B119" s="122" t="s">
        <v>11</v>
      </c>
      <c r="C119" s="123">
        <f>HLOOKUP(C$117,$86:$101,3,FALSE)</f>
        <v>-0.83296899999999996</v>
      </c>
      <c r="D119" s="123">
        <f t="shared" ref="D119:N119" si="7">HLOOKUP(D$117,$86:$101,3,FALSE)</f>
        <v>3.1799559999999998</v>
      </c>
      <c r="E119" s="123">
        <f t="shared" si="7"/>
        <v>54.925434000000003</v>
      </c>
      <c r="F119" s="123">
        <f t="shared" si="7"/>
        <v>9.0232189999999992</v>
      </c>
      <c r="G119" s="123">
        <f t="shared" si="7"/>
        <v>-0.82337800000000005</v>
      </c>
      <c r="H119" s="123">
        <f t="shared" si="7"/>
        <v>-0.82724900000000001</v>
      </c>
      <c r="I119" s="123">
        <f t="shared" si="7"/>
        <v>-0.89542500000000003</v>
      </c>
      <c r="J119" s="123">
        <f t="shared" si="7"/>
        <v>-0.69586499999999996</v>
      </c>
      <c r="K119" s="123">
        <f t="shared" si="7"/>
        <v>-0.70605399999999996</v>
      </c>
      <c r="L119" s="123">
        <f t="shared" si="7"/>
        <v>-0.66276199999999996</v>
      </c>
      <c r="M119" s="123">
        <f t="shared" si="7"/>
        <v>-0.710283</v>
      </c>
      <c r="N119" s="123">
        <f t="shared" si="7"/>
        <v>-0.939218</v>
      </c>
      <c r="O119" s="124">
        <f>HLOOKUP(O$117,$86:$101,3,FALSE)</f>
        <v>22.073955999999999</v>
      </c>
    </row>
    <row r="120" spans="1:26">
      <c r="A120" s="206"/>
      <c r="B120" s="105" t="s">
        <v>10</v>
      </c>
      <c r="C120" s="107">
        <f>HLOOKUP(C$117,$86:$101,4,FALSE)</f>
        <v>12.70701</v>
      </c>
      <c r="D120" s="107">
        <f t="shared" ref="D120:O120" si="8">HLOOKUP(D$117,$86:$101,4,FALSE)</f>
        <v>20.755147999999998</v>
      </c>
      <c r="E120" s="107">
        <f t="shared" si="8"/>
        <v>57.618448999999998</v>
      </c>
      <c r="F120" s="107">
        <f t="shared" si="8"/>
        <v>64.924531000000002</v>
      </c>
      <c r="G120" s="107">
        <f t="shared" si="8"/>
        <v>32.782569000000002</v>
      </c>
      <c r="H120" s="107">
        <f t="shared" si="8"/>
        <v>16.979832999999999</v>
      </c>
      <c r="I120" s="107">
        <f t="shared" si="8"/>
        <v>5.9974980000000002</v>
      </c>
      <c r="J120" s="107">
        <f t="shared" si="8"/>
        <v>6.2665600000000001</v>
      </c>
      <c r="K120" s="107">
        <f t="shared" si="8"/>
        <v>5.2892989999999998</v>
      </c>
      <c r="L120" s="107">
        <f t="shared" si="8"/>
        <v>4.8235140000000003</v>
      </c>
      <c r="M120" s="107">
        <f t="shared" si="8"/>
        <v>5.4357850000000001</v>
      </c>
      <c r="N120" s="107">
        <f t="shared" si="8"/>
        <v>18.212437000000001</v>
      </c>
      <c r="O120" s="124">
        <f t="shared" si="8"/>
        <v>11.891016</v>
      </c>
    </row>
    <row r="121" spans="1:26">
      <c r="A121" s="206"/>
      <c r="B121" s="105" t="s">
        <v>9</v>
      </c>
      <c r="C121" s="107">
        <f>HLOOKUP(C$117,$86:$101,5,FALSE)</f>
        <v>35.218071999999999</v>
      </c>
      <c r="D121" s="107">
        <f t="shared" ref="D121:O121" si="9">HLOOKUP(D$117,$86:$101,5,FALSE)</f>
        <v>56.449230999999997</v>
      </c>
      <c r="E121" s="107">
        <f t="shared" si="9"/>
        <v>67.064257999999995</v>
      </c>
      <c r="F121" s="107">
        <f t="shared" si="9"/>
        <v>53.415241999999999</v>
      </c>
      <c r="G121" s="107">
        <f t="shared" si="9"/>
        <v>49.271726999999998</v>
      </c>
      <c r="H121" s="107">
        <f t="shared" si="9"/>
        <v>44.274278000000002</v>
      </c>
      <c r="I121" s="107">
        <f t="shared" si="9"/>
        <v>24.187601999999998</v>
      </c>
      <c r="J121" s="107">
        <f t="shared" si="9"/>
        <v>22.604486999999999</v>
      </c>
      <c r="K121" s="107">
        <f t="shared" si="9"/>
        <v>25.154277</v>
      </c>
      <c r="L121" s="107">
        <f t="shared" si="9"/>
        <v>23.798262999999999</v>
      </c>
      <c r="M121" s="107">
        <f t="shared" si="9"/>
        <v>24.938551</v>
      </c>
      <c r="N121" s="107">
        <f t="shared" si="9"/>
        <v>29.498771000000001</v>
      </c>
      <c r="O121" s="124">
        <f t="shared" si="9"/>
        <v>29.400922999999999</v>
      </c>
    </row>
    <row r="122" spans="1:26" ht="14.25">
      <c r="A122" s="206"/>
      <c r="B122" s="105" t="s">
        <v>74</v>
      </c>
      <c r="C122" s="107">
        <f>HLOOKUP(C$117,$86:$101,6,FALSE)</f>
        <v>231.47546199999999</v>
      </c>
      <c r="D122" s="107">
        <f t="shared" ref="D122:O122" si="10">HLOOKUP(D$117,$86:$101,6,FALSE)</f>
        <v>269.55010299999998</v>
      </c>
      <c r="E122" s="107">
        <f t="shared" si="10"/>
        <v>316.35504600000002</v>
      </c>
      <c r="F122" s="107">
        <f t="shared" si="10"/>
        <v>324.37696499999998</v>
      </c>
      <c r="G122" s="107">
        <f t="shared" si="10"/>
        <v>296.32292799999999</v>
      </c>
      <c r="H122" s="107">
        <f t="shared" si="10"/>
        <v>247.112684</v>
      </c>
      <c r="I122" s="107">
        <f t="shared" si="10"/>
        <v>224.26124200000001</v>
      </c>
      <c r="J122" s="107">
        <f t="shared" si="10"/>
        <v>233.91494</v>
      </c>
      <c r="K122" s="107">
        <f t="shared" si="10"/>
        <v>244.02029300000001</v>
      </c>
      <c r="L122" s="107">
        <f t="shared" si="10"/>
        <v>218.49136100000001</v>
      </c>
      <c r="M122" s="107">
        <f t="shared" si="10"/>
        <v>213.548517</v>
      </c>
      <c r="N122" s="107">
        <f t="shared" si="10"/>
        <v>205.68247400000001</v>
      </c>
      <c r="O122" s="124">
        <f t="shared" si="10"/>
        <v>206.763338</v>
      </c>
    </row>
    <row r="123" spans="1:26">
      <c r="A123" s="206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0</v>
      </c>
      <c r="K123" s="107">
        <f t="shared" si="11"/>
        <v>0</v>
      </c>
      <c r="L123" s="107">
        <f t="shared" si="11"/>
        <v>0</v>
      </c>
      <c r="M123" s="107">
        <f t="shared" si="11"/>
        <v>0</v>
      </c>
      <c r="N123" s="107">
        <f t="shared" si="11"/>
        <v>0</v>
      </c>
      <c r="O123" s="124">
        <f t="shared" si="11"/>
        <v>0</v>
      </c>
    </row>
    <row r="124" spans="1:26">
      <c r="A124" s="206"/>
      <c r="B124" s="105" t="s">
        <v>5</v>
      </c>
      <c r="C124" s="107">
        <f>HLOOKUP(C$117,$86:$102,8,FALSE)</f>
        <v>0.24965100000000001</v>
      </c>
      <c r="D124" s="107">
        <f t="shared" ref="D124:O124" si="12">HLOOKUP(D$117,$86:$102,8,FALSE)</f>
        <v>5.6180000000000001E-2</v>
      </c>
      <c r="E124" s="107">
        <f t="shared" si="12"/>
        <v>0.118565</v>
      </c>
      <c r="F124" s="107">
        <f t="shared" si="12"/>
        <v>9.7920999999999994E-2</v>
      </c>
      <c r="G124" s="107">
        <f t="shared" si="12"/>
        <v>0</v>
      </c>
      <c r="H124" s="107">
        <f t="shared" si="12"/>
        <v>1.0359999999999999E-2</v>
      </c>
      <c r="I124" s="107">
        <f t="shared" si="12"/>
        <v>8.7279999999999996E-3</v>
      </c>
      <c r="J124" s="107">
        <f t="shared" si="12"/>
        <v>0</v>
      </c>
      <c r="K124" s="107">
        <f t="shared" si="12"/>
        <v>0</v>
      </c>
      <c r="L124" s="107">
        <f t="shared" si="12"/>
        <v>0</v>
      </c>
      <c r="M124" s="107">
        <f t="shared" si="12"/>
        <v>0</v>
      </c>
      <c r="N124" s="107">
        <f t="shared" si="12"/>
        <v>0</v>
      </c>
      <c r="O124" s="124">
        <f t="shared" si="12"/>
        <v>0</v>
      </c>
    </row>
    <row r="125" spans="1:26">
      <c r="A125" s="206"/>
      <c r="B125" s="105" t="s">
        <v>4</v>
      </c>
      <c r="C125" s="107">
        <f>HLOOKUP(C$117,$86:$102,9,FALSE)</f>
        <v>34.459223999999999</v>
      </c>
      <c r="D125" s="107">
        <f t="shared" ref="D125:O125" si="13">HLOOKUP(D$117,$86:$102,9,FALSE)</f>
        <v>37.285699000000001</v>
      </c>
      <c r="E125" s="107">
        <f t="shared" si="13"/>
        <v>41.537353000000003</v>
      </c>
      <c r="F125" s="107">
        <f t="shared" si="13"/>
        <v>44.650032000000003</v>
      </c>
      <c r="G125" s="107">
        <f t="shared" si="13"/>
        <v>34.850726000000002</v>
      </c>
      <c r="H125" s="107">
        <f t="shared" si="13"/>
        <v>32.896220999999997</v>
      </c>
      <c r="I125" s="107">
        <f t="shared" si="13"/>
        <v>24.884706000000001</v>
      </c>
      <c r="J125" s="107">
        <f t="shared" si="13"/>
        <v>22.636651000000001</v>
      </c>
      <c r="K125" s="107">
        <f t="shared" si="13"/>
        <v>23.970113999999999</v>
      </c>
      <c r="L125" s="107">
        <f t="shared" si="13"/>
        <v>30.744498</v>
      </c>
      <c r="M125" s="107">
        <f t="shared" si="13"/>
        <v>45.305076999999997</v>
      </c>
      <c r="N125" s="107">
        <f t="shared" si="13"/>
        <v>44.568354999999997</v>
      </c>
      <c r="O125" s="124">
        <f t="shared" si="13"/>
        <v>58.204134000000003</v>
      </c>
    </row>
    <row r="126" spans="1:26">
      <c r="A126" s="206"/>
      <c r="B126" s="113" t="s">
        <v>22</v>
      </c>
      <c r="C126" s="107">
        <f>HLOOKUP(C$117,$86:$102,10,FALSE)</f>
        <v>0.14440500000000001</v>
      </c>
      <c r="D126" s="107">
        <f t="shared" ref="D126:O126" si="14">HLOOKUP(D$117,$86:$102,10,FALSE)</f>
        <v>0.140066</v>
      </c>
      <c r="E126" s="107">
        <f t="shared" si="14"/>
        <v>0.102288</v>
      </c>
      <c r="F126" s="107">
        <f t="shared" si="14"/>
        <v>9.2054999999999998E-2</v>
      </c>
      <c r="G126" s="107">
        <f t="shared" si="14"/>
        <v>0.14128099999999999</v>
      </c>
      <c r="H126" s="107">
        <f t="shared" si="14"/>
        <v>0.14801500000000001</v>
      </c>
      <c r="I126" s="107">
        <f t="shared" si="14"/>
        <v>0.14354</v>
      </c>
      <c r="J126" s="107">
        <f t="shared" si="14"/>
        <v>0.12625700000000001</v>
      </c>
      <c r="K126" s="107">
        <f t="shared" si="14"/>
        <v>0.10422099999999999</v>
      </c>
      <c r="L126" s="107">
        <f t="shared" si="14"/>
        <v>3.9530000000000003E-2</v>
      </c>
      <c r="M126" s="107">
        <f t="shared" si="14"/>
        <v>4.0002000000000003E-2</v>
      </c>
      <c r="N126" s="107">
        <f t="shared" si="14"/>
        <v>1.5544000000000001E-2</v>
      </c>
      <c r="O126" s="124">
        <f t="shared" si="14"/>
        <v>4.1384999999999998E-2</v>
      </c>
    </row>
    <row r="127" spans="1:26">
      <c r="A127" s="206"/>
      <c r="B127" s="113" t="s">
        <v>23</v>
      </c>
      <c r="C127" s="107">
        <f>HLOOKUP(C$117,$86:$102,11,FALSE)</f>
        <v>3.46306</v>
      </c>
      <c r="D127" s="107">
        <f t="shared" ref="D127:O127" si="15">HLOOKUP(D$117,$86:$102,11,FALSE)</f>
        <v>3.7329490000000001</v>
      </c>
      <c r="E127" s="107">
        <f t="shared" si="15"/>
        <v>3.1795529999999999</v>
      </c>
      <c r="F127" s="107">
        <f t="shared" si="15"/>
        <v>3.6746310000000002</v>
      </c>
      <c r="G127" s="107">
        <f t="shared" si="15"/>
        <v>2.995241</v>
      </c>
      <c r="H127" s="107">
        <f t="shared" si="15"/>
        <v>1.6210690000000001</v>
      </c>
      <c r="I127" s="107">
        <f t="shared" si="15"/>
        <v>1.996553</v>
      </c>
      <c r="J127" s="107">
        <f t="shared" si="15"/>
        <v>3.1565249999999998</v>
      </c>
      <c r="K127" s="107">
        <f t="shared" si="15"/>
        <v>3.9370180000000001</v>
      </c>
      <c r="L127" s="107">
        <f t="shared" si="15"/>
        <v>3.7397490000000002</v>
      </c>
      <c r="M127" s="107">
        <f t="shared" si="15"/>
        <v>3.4851179999999999</v>
      </c>
      <c r="N127" s="107">
        <f t="shared" si="15"/>
        <v>1.9095409999999999</v>
      </c>
      <c r="O127" s="124">
        <f t="shared" si="15"/>
        <v>3.5397620000000001</v>
      </c>
    </row>
    <row r="128" spans="1:26">
      <c r="A128" s="206"/>
      <c r="B128" s="105" t="s">
        <v>55</v>
      </c>
      <c r="C128" s="107">
        <f t="shared" ref="C128:O128" si="16">HLOOKUP(C$117,$86:$102,13,FALSE)</f>
        <v>12.228600500000001</v>
      </c>
      <c r="D128" s="107">
        <f t="shared" si="16"/>
        <v>15.5976535</v>
      </c>
      <c r="E128" s="107">
        <f t="shared" si="16"/>
        <v>12.541195999999999</v>
      </c>
      <c r="F128" s="107">
        <f t="shared" si="16"/>
        <v>14.683114</v>
      </c>
      <c r="G128" s="107">
        <f t="shared" si="16"/>
        <v>9.9340825000000006</v>
      </c>
      <c r="H128" s="107">
        <f t="shared" si="16"/>
        <v>10.861402</v>
      </c>
      <c r="I128" s="107">
        <f t="shared" si="16"/>
        <v>10.810193999999999</v>
      </c>
      <c r="J128" s="107">
        <f t="shared" si="16"/>
        <v>8.9918355000000005</v>
      </c>
      <c r="K128" s="107">
        <f t="shared" si="16"/>
        <v>10.485035</v>
      </c>
      <c r="L128" s="107">
        <f t="shared" si="16"/>
        <v>5.6085469999999997</v>
      </c>
      <c r="M128" s="107">
        <f t="shared" si="16"/>
        <v>12.829401000000001</v>
      </c>
      <c r="N128" s="107">
        <f t="shared" si="16"/>
        <v>11.323399</v>
      </c>
      <c r="O128" s="124">
        <f t="shared" si="16"/>
        <v>12.2750895</v>
      </c>
    </row>
    <row r="129" spans="1:15">
      <c r="A129" s="206"/>
      <c r="B129" s="105" t="s">
        <v>54</v>
      </c>
      <c r="C129" s="107">
        <f>HLOOKUP(C$117,$86:$102,12,FALSE)</f>
        <v>12.228600500000001</v>
      </c>
      <c r="D129" s="107">
        <f t="shared" ref="D129:O129" si="17">HLOOKUP(D$117,$86:$102,12,FALSE)</f>
        <v>15.5976535</v>
      </c>
      <c r="E129" s="107">
        <f t="shared" si="17"/>
        <v>12.541195999999999</v>
      </c>
      <c r="F129" s="107">
        <f t="shared" si="17"/>
        <v>14.683114</v>
      </c>
      <c r="G129" s="107">
        <f t="shared" si="17"/>
        <v>9.9340825000000006</v>
      </c>
      <c r="H129" s="107">
        <f t="shared" si="17"/>
        <v>10.861402</v>
      </c>
      <c r="I129" s="107">
        <f t="shared" si="17"/>
        <v>10.810193999999999</v>
      </c>
      <c r="J129" s="107">
        <f t="shared" si="17"/>
        <v>8.9918355000000005</v>
      </c>
      <c r="K129" s="107">
        <f t="shared" si="17"/>
        <v>10.485035</v>
      </c>
      <c r="L129" s="107">
        <f t="shared" si="17"/>
        <v>5.6085469999999997</v>
      </c>
      <c r="M129" s="107">
        <f t="shared" si="17"/>
        <v>12.829401000000001</v>
      </c>
      <c r="N129" s="107">
        <f t="shared" si="17"/>
        <v>11.323399</v>
      </c>
      <c r="O129" s="124">
        <f t="shared" si="17"/>
        <v>12.2750895</v>
      </c>
    </row>
    <row r="130" spans="1:15">
      <c r="A130" s="206"/>
      <c r="B130" s="114" t="s">
        <v>2</v>
      </c>
      <c r="C130" s="115">
        <f>HLOOKUP(C$117,$86:$102,14,FALSE)</f>
        <v>341.341116</v>
      </c>
      <c r="D130" s="115">
        <f t="shared" ref="D130:O130" si="18">HLOOKUP(D$117,$86:$102,14,FALSE)</f>
        <v>422.34463899999997</v>
      </c>
      <c r="E130" s="115">
        <f t="shared" si="18"/>
        <v>565.983338</v>
      </c>
      <c r="F130" s="115">
        <f t="shared" si="18"/>
        <v>529.62082399999997</v>
      </c>
      <c r="G130" s="115">
        <f t="shared" si="18"/>
        <v>435.40925900000002</v>
      </c>
      <c r="H130" s="115">
        <f t="shared" si="18"/>
        <v>363.93801500000001</v>
      </c>
      <c r="I130" s="115">
        <f t="shared" si="18"/>
        <v>302.20483200000001</v>
      </c>
      <c r="J130" s="115">
        <f t="shared" si="18"/>
        <v>305.99322599999999</v>
      </c>
      <c r="K130" s="115">
        <f t="shared" si="18"/>
        <v>322.739238</v>
      </c>
      <c r="L130" s="115">
        <f t="shared" si="18"/>
        <v>292.19124699999998</v>
      </c>
      <c r="M130" s="115">
        <f t="shared" si="18"/>
        <v>317.70156900000001</v>
      </c>
      <c r="N130" s="115">
        <f t="shared" si="18"/>
        <v>321.59470199999998</v>
      </c>
      <c r="O130" s="125">
        <f t="shared" si="18"/>
        <v>356.46469300000001</v>
      </c>
    </row>
    <row r="131" spans="1:15">
      <c r="A131" s="206"/>
      <c r="B131" s="105" t="s">
        <v>21</v>
      </c>
      <c r="C131" s="116">
        <f>HLOOKUP(C$117,$86:$102,15,FALSE)</f>
        <v>118.762416</v>
      </c>
      <c r="D131" s="116">
        <f t="shared" ref="D131:O131" si="19">HLOOKUP(D$117,$86:$102,15,FALSE)</f>
        <v>124.350134</v>
      </c>
      <c r="E131" s="116">
        <f t="shared" si="19"/>
        <v>168.54782399999999</v>
      </c>
      <c r="F131" s="116">
        <f t="shared" si="19"/>
        <v>175.00929099999999</v>
      </c>
      <c r="G131" s="116">
        <f t="shared" si="19"/>
        <v>130.854702</v>
      </c>
      <c r="H131" s="116">
        <f t="shared" si="19"/>
        <v>131.44748999999999</v>
      </c>
      <c r="I131" s="116">
        <f t="shared" si="19"/>
        <v>70.735690000000005</v>
      </c>
      <c r="J131" s="116">
        <f t="shared" si="19"/>
        <v>112.440268</v>
      </c>
      <c r="K131" s="116">
        <f t="shared" si="19"/>
        <v>122.760274</v>
      </c>
      <c r="L131" s="116">
        <f t="shared" si="19"/>
        <v>114.74408200000001</v>
      </c>
      <c r="M131" s="116">
        <f t="shared" si="19"/>
        <v>110.667727</v>
      </c>
      <c r="N131" s="116">
        <f t="shared" si="19"/>
        <v>109.36235000000001</v>
      </c>
      <c r="O131" s="116">
        <f t="shared" si="19"/>
        <v>117.764884</v>
      </c>
    </row>
    <row r="132" spans="1:15">
      <c r="A132" s="206"/>
      <c r="B132" s="117" t="s">
        <v>1</v>
      </c>
      <c r="C132" s="118">
        <f>HLOOKUP(C$117,$86:$102,16,FALSE)</f>
        <v>460.10353199999997</v>
      </c>
      <c r="D132" s="118">
        <f t="shared" ref="D132:O132" si="20">HLOOKUP(D$117,$86:$102,16,FALSE)</f>
        <v>546.69477300000005</v>
      </c>
      <c r="E132" s="118">
        <f t="shared" si="20"/>
        <v>734.53116199999999</v>
      </c>
      <c r="F132" s="118">
        <f t="shared" si="20"/>
        <v>704.63011500000005</v>
      </c>
      <c r="G132" s="118">
        <f t="shared" si="20"/>
        <v>566.26396099999999</v>
      </c>
      <c r="H132" s="118">
        <f t="shared" si="20"/>
        <v>495.38550500000002</v>
      </c>
      <c r="I132" s="118">
        <f t="shared" si="20"/>
        <v>372.94052199999999</v>
      </c>
      <c r="J132" s="118">
        <f t="shared" si="20"/>
        <v>418.433494</v>
      </c>
      <c r="K132" s="118">
        <f t="shared" si="20"/>
        <v>445.49951199999998</v>
      </c>
      <c r="L132" s="118">
        <f t="shared" si="20"/>
        <v>406.93532900000002</v>
      </c>
      <c r="M132" s="118">
        <f t="shared" si="20"/>
        <v>428.36929600000002</v>
      </c>
      <c r="N132" s="118">
        <f t="shared" si="20"/>
        <v>430.95705199999998</v>
      </c>
      <c r="O132" s="118">
        <f t="shared" si="20"/>
        <v>474.22957700000001</v>
      </c>
    </row>
    <row r="133" spans="1:15" ht="14.25">
      <c r="A133" s="207"/>
      <c r="B133" s="126" t="s">
        <v>75</v>
      </c>
      <c r="C133" s="127">
        <f>C120+C121+C123</f>
        <v>47.925082000000003</v>
      </c>
      <c r="D133" s="127">
        <f>D120+D121+D123</f>
        <v>77.204378999999989</v>
      </c>
      <c r="E133" s="127">
        <f t="shared" ref="E133:O133" si="21">E120+E121+E123</f>
        <v>124.68270699999999</v>
      </c>
      <c r="F133" s="127">
        <f t="shared" si="21"/>
        <v>118.33977300000001</v>
      </c>
      <c r="G133" s="127">
        <f t="shared" si="21"/>
        <v>82.054295999999994</v>
      </c>
      <c r="H133" s="127">
        <f t="shared" si="21"/>
        <v>61.254111000000002</v>
      </c>
      <c r="I133" s="127">
        <f t="shared" si="21"/>
        <v>30.185099999999998</v>
      </c>
      <c r="J133" s="127">
        <f t="shared" si="21"/>
        <v>28.871046999999997</v>
      </c>
      <c r="K133" s="127">
        <f t="shared" si="21"/>
        <v>30.443576</v>
      </c>
      <c r="L133" s="127">
        <f t="shared" si="21"/>
        <v>28.621776999999998</v>
      </c>
      <c r="M133" s="127">
        <f t="shared" si="21"/>
        <v>30.374336</v>
      </c>
      <c r="N133" s="127">
        <f t="shared" si="21"/>
        <v>47.711207999999999</v>
      </c>
      <c r="O133" s="127">
        <f t="shared" si="21"/>
        <v>41.291938999999999</v>
      </c>
    </row>
    <row r="134" spans="1:15">
      <c r="A134" s="205" t="s">
        <v>77</v>
      </c>
      <c r="B134" s="128" t="s">
        <v>73</v>
      </c>
      <c r="C134" s="111" t="str">
        <f>TEXT(EDATE($A$2,-12),"mmm")&amp;".-"&amp;TEXT(EDATE($A$2,-12),"aa")</f>
        <v>may.-23</v>
      </c>
      <c r="D134" s="111" t="str">
        <f>TEXT(EDATE($A$2,-11),"mmm")&amp;".-"&amp;TEXT(EDATE($A$2,-11),"aa")</f>
        <v>jun.-23</v>
      </c>
      <c r="E134" s="111" t="str">
        <f>TEXT(EDATE($A$2,-10),"mmm")&amp;".-"&amp;TEXT(EDATE($A$2,-10),"aa")</f>
        <v>jul.-23</v>
      </c>
      <c r="F134" s="111" t="str">
        <f>TEXT(EDATE($A$2,-9),"mmm")&amp;".-"&amp;TEXT(EDATE($A$2,-9),"aa")</f>
        <v>ago.-23</v>
      </c>
      <c r="G134" s="111" t="str">
        <f>TEXT(EDATE($A$2,-8),"mmm")&amp;".-"&amp;TEXT(EDATE($A$2,-8),"aa")</f>
        <v>sep.-23</v>
      </c>
      <c r="H134" s="111" t="str">
        <f>TEXT(EDATE($A$2,-7),"mmm")&amp;".-"&amp;TEXT(EDATE($A$2,-7),"aa")</f>
        <v>oct.-23</v>
      </c>
      <c r="I134" s="111" t="str">
        <f>TEXT(EDATE($A$2,-6),"mmm")&amp;".-"&amp;TEXT(EDATE($A$2,-6),"aa")</f>
        <v>nov.-23</v>
      </c>
      <c r="J134" s="111" t="str">
        <f>TEXT(EDATE($A$2,-5),"mmm")&amp;".-"&amp;TEXT(EDATE($A$2,-5),"aa")</f>
        <v>dic.-23</v>
      </c>
      <c r="K134" s="111" t="str">
        <f>TEXT(EDATE($A$2,-4),"mmm")&amp;".-"&amp;TEXT(EDATE($A$2,-4),"aa")</f>
        <v>ene.-24</v>
      </c>
      <c r="L134" s="111" t="str">
        <f>TEXT(EDATE($A$2,-3),"mmm")&amp;".-"&amp;TEXT(EDATE($A$2,-3),"aa")</f>
        <v>feb.-24</v>
      </c>
      <c r="M134" s="111" t="str">
        <f>TEXT(EDATE($A$2,-2),"mmm")&amp;".-"&amp;TEXT(EDATE($A$2,-2),"aa")</f>
        <v>mar.-24</v>
      </c>
      <c r="N134" s="111" t="str">
        <f>TEXT(EDATE($A$2,-1),"mmm")&amp;".-"&amp;TEXT(EDATE($A$2,-1),"aa")</f>
        <v>abr.-24</v>
      </c>
      <c r="O134" s="112" t="str">
        <f>TEXT($A$2,"mmm")&amp;".-"&amp;TEXT($A$2,"aa")</f>
        <v>may.-24</v>
      </c>
    </row>
    <row r="135" spans="1:15" ht="15" customHeight="1">
      <c r="A135" s="206"/>
      <c r="B135" s="105" t="s">
        <v>12</v>
      </c>
      <c r="C135" s="107">
        <f>HLOOKUP(C$117,$86:$115,17,FALSE)</f>
        <v>0.29760599999999998</v>
      </c>
      <c r="D135" s="107">
        <f t="shared" ref="D135:N135" si="22">HLOOKUP(D$117,$86:$115,17,FALSE)</f>
        <v>0.28353699999999998</v>
      </c>
      <c r="E135" s="107">
        <f t="shared" si="22"/>
        <v>0.30186600000000002</v>
      </c>
      <c r="F135" s="107">
        <f t="shared" si="22"/>
        <v>0.289545</v>
      </c>
      <c r="G135" s="107">
        <f t="shared" si="22"/>
        <v>0.28924100000000003</v>
      </c>
      <c r="H135" s="107">
        <f t="shared" si="22"/>
        <v>0.30332900000000002</v>
      </c>
      <c r="I135" s="107">
        <f t="shared" si="22"/>
        <v>0.28045300000000001</v>
      </c>
      <c r="J135" s="107">
        <f t="shared" si="22"/>
        <v>0.30560300000000001</v>
      </c>
      <c r="K135" s="107">
        <f t="shared" si="22"/>
        <v>0.29624200000000001</v>
      </c>
      <c r="L135" s="107">
        <f t="shared" si="22"/>
        <v>0.28508299999999998</v>
      </c>
      <c r="M135" s="107">
        <f t="shared" si="22"/>
        <v>0.272924</v>
      </c>
      <c r="N135" s="107">
        <f t="shared" si="22"/>
        <v>0.258407</v>
      </c>
      <c r="O135" s="144">
        <f>HLOOKUP(O$117,$86:$115,17,FALSE)</f>
        <v>0.28213199999999999</v>
      </c>
    </row>
    <row r="136" spans="1:15">
      <c r="A136" s="206"/>
      <c r="B136" s="105" t="s">
        <v>10</v>
      </c>
      <c r="C136" s="107">
        <f>HLOOKUP(C$117,$86:$115,18,FALSE)+HLOOKUP(C$117,$86:$115,22,FALSE)</f>
        <v>152.65921599999999</v>
      </c>
      <c r="D136" s="107">
        <f>HLOOKUP(D$117,$86:$115,18,FALSE)+HLOOKUP(D$117,$86:$115,22,FALSE)</f>
        <v>159.42586699999998</v>
      </c>
      <c r="E136" s="107">
        <f t="shared" ref="E136:N136" si="23">HLOOKUP(E$117,$86:$115,18,FALSE)+HLOOKUP(E$117,$86:$115,22,FALSE)</f>
        <v>147.371253</v>
      </c>
      <c r="F136" s="107">
        <f t="shared" si="23"/>
        <v>158.13818499999999</v>
      </c>
      <c r="G136" s="107">
        <f t="shared" si="23"/>
        <v>154.76962499999999</v>
      </c>
      <c r="H136" s="107">
        <f t="shared" si="23"/>
        <v>179.17001500000001</v>
      </c>
      <c r="I136" s="107">
        <f t="shared" si="23"/>
        <v>168.212242</v>
      </c>
      <c r="J136" s="107">
        <f t="shared" si="23"/>
        <v>171.03571600000001</v>
      </c>
      <c r="K136" s="107">
        <f t="shared" si="23"/>
        <v>166.77709300000001</v>
      </c>
      <c r="L136" s="107">
        <f t="shared" si="23"/>
        <v>147.58979299999999</v>
      </c>
      <c r="M136" s="107">
        <f t="shared" si="23"/>
        <v>156.05254400000001</v>
      </c>
      <c r="N136" s="107">
        <f t="shared" si="23"/>
        <v>143.99597600000001</v>
      </c>
      <c r="O136" s="124">
        <f>HLOOKUP(O$117,$86:$115,18,FALSE)+HLOOKUP(O$117,$86:$115,22,FALSE)</f>
        <v>142.89773500000001</v>
      </c>
    </row>
    <row r="137" spans="1:15">
      <c r="A137" s="206"/>
      <c r="B137" s="105" t="s">
        <v>9</v>
      </c>
      <c r="C137" s="107">
        <f>HLOOKUP(C$117,$86:$115,19,FALSE)</f>
        <v>23.467611000000002</v>
      </c>
      <c r="D137" s="107">
        <f t="shared" ref="D137:O137" si="24">HLOOKUP(D$117,$86:$115,19,FALSE)</f>
        <v>20.997603000000002</v>
      </c>
      <c r="E137" s="107">
        <f t="shared" si="24"/>
        <v>15.379733999999999</v>
      </c>
      <c r="F137" s="107">
        <f t="shared" si="24"/>
        <v>16.795183000000002</v>
      </c>
      <c r="G137" s="107">
        <f t="shared" si="24"/>
        <v>18.188441000000001</v>
      </c>
      <c r="H137" s="107">
        <f t="shared" si="24"/>
        <v>30.707764999999998</v>
      </c>
      <c r="I137" s="107">
        <f t="shared" si="24"/>
        <v>24.331886999999998</v>
      </c>
      <c r="J137" s="107">
        <f t="shared" si="24"/>
        <v>26.447642999999999</v>
      </c>
      <c r="K137" s="107">
        <f t="shared" si="24"/>
        <v>28.032011000000001</v>
      </c>
      <c r="L137" s="107">
        <f t="shared" si="24"/>
        <v>23.301389</v>
      </c>
      <c r="M137" s="107">
        <f t="shared" si="24"/>
        <v>22.780221000000001</v>
      </c>
      <c r="N137" s="107">
        <f t="shared" si="24"/>
        <v>15.018001</v>
      </c>
      <c r="O137" s="124">
        <f t="shared" si="24"/>
        <v>13.174446</v>
      </c>
    </row>
    <row r="138" spans="1:15">
      <c r="A138" s="206"/>
      <c r="B138" s="105" t="s">
        <v>8</v>
      </c>
      <c r="C138" s="107">
        <f>HLOOKUP(C$117,$86:$115,20,FALSE)</f>
        <v>84.880949000000001</v>
      </c>
      <c r="D138" s="107">
        <f t="shared" ref="D138:O138" si="25">HLOOKUP(D$117,$86:$115,20,FALSE)</f>
        <v>84.905440999999996</v>
      </c>
      <c r="E138" s="107">
        <f t="shared" si="25"/>
        <v>101.065799</v>
      </c>
      <c r="F138" s="107">
        <f t="shared" si="25"/>
        <v>105.31614999999999</v>
      </c>
      <c r="G138" s="107">
        <f t="shared" si="25"/>
        <v>105.510948</v>
      </c>
      <c r="H138" s="107">
        <f t="shared" si="25"/>
        <v>119.677701</v>
      </c>
      <c r="I138" s="107">
        <f t="shared" si="25"/>
        <v>90.916317000000006</v>
      </c>
      <c r="J138" s="107">
        <f t="shared" si="25"/>
        <v>96.450059999999993</v>
      </c>
      <c r="K138" s="107">
        <f t="shared" si="25"/>
        <v>118.36447</v>
      </c>
      <c r="L138" s="107">
        <f t="shared" si="25"/>
        <v>100.186932</v>
      </c>
      <c r="M138" s="107">
        <f t="shared" si="25"/>
        <v>116.04889799999999</v>
      </c>
      <c r="N138" s="107">
        <f t="shared" si="25"/>
        <v>98.285223000000002</v>
      </c>
      <c r="O138" s="124">
        <f t="shared" si="25"/>
        <v>106.53814</v>
      </c>
    </row>
    <row r="139" spans="1:15" ht="14.25">
      <c r="A139" s="206"/>
      <c r="B139" s="105" t="s">
        <v>74</v>
      </c>
      <c r="C139" s="107">
        <f>HLOOKUP(C$117,$86:$115,21,FALSE)</f>
        <v>275.34098399999999</v>
      </c>
      <c r="D139" s="107">
        <f t="shared" ref="D139:O139" si="26">HLOOKUP(D$117,$86:$115,21,FALSE)</f>
        <v>351.45923099999999</v>
      </c>
      <c r="E139" s="107">
        <f t="shared" si="26"/>
        <v>250.52108799999999</v>
      </c>
      <c r="F139" s="107">
        <f t="shared" si="26"/>
        <v>306.93109600000003</v>
      </c>
      <c r="G139" s="107">
        <f t="shared" si="26"/>
        <v>329.65078499999998</v>
      </c>
      <c r="H139" s="107">
        <f t="shared" si="26"/>
        <v>385.37423100000001</v>
      </c>
      <c r="I139" s="107">
        <f t="shared" si="26"/>
        <v>320.60776499999997</v>
      </c>
      <c r="J139" s="107">
        <f t="shared" si="26"/>
        <v>343.70541600000001</v>
      </c>
      <c r="K139" s="107">
        <f t="shared" si="26"/>
        <v>348.60822999999999</v>
      </c>
      <c r="L139" s="107">
        <f t="shared" si="26"/>
        <v>282.95672999999999</v>
      </c>
      <c r="M139" s="107">
        <f t="shared" si="26"/>
        <v>305.966994</v>
      </c>
      <c r="N139" s="107">
        <f t="shared" si="26"/>
        <v>315.19474500000001</v>
      </c>
      <c r="O139" s="124">
        <f t="shared" si="26"/>
        <v>259.74817300000001</v>
      </c>
    </row>
    <row r="140" spans="1:15">
      <c r="A140" s="206"/>
      <c r="B140" s="105" t="s">
        <v>6</v>
      </c>
      <c r="C140" s="107">
        <f>HLOOKUP(C$117,$86:$115,23,FALSE)</f>
        <v>2.0671949999999999</v>
      </c>
      <c r="D140" s="107">
        <f t="shared" ref="D140:O140" si="27">HLOOKUP(D$117,$86:$115,23,FALSE)</f>
        <v>0.80873799999999996</v>
      </c>
      <c r="E140" s="107">
        <f t="shared" si="27"/>
        <v>2.7590569999999999</v>
      </c>
      <c r="F140" s="107">
        <f t="shared" si="27"/>
        <v>2.6998280000000001</v>
      </c>
      <c r="G140" s="107">
        <f t="shared" si="27"/>
        <v>1.3149919999999999</v>
      </c>
      <c r="H140" s="107">
        <f t="shared" si="27"/>
        <v>0.44324000000000002</v>
      </c>
      <c r="I140" s="107">
        <f t="shared" si="27"/>
        <v>1.0899650000000001</v>
      </c>
      <c r="J140" s="107">
        <f t="shared" si="27"/>
        <v>0.66913</v>
      </c>
      <c r="K140" s="107">
        <f t="shared" si="27"/>
        <v>0.66808100000000004</v>
      </c>
      <c r="L140" s="107">
        <f t="shared" si="27"/>
        <v>1.414679</v>
      </c>
      <c r="M140" s="107">
        <f t="shared" si="27"/>
        <v>1.5891550000000001</v>
      </c>
      <c r="N140" s="107">
        <f t="shared" si="27"/>
        <v>1.2945469999999999</v>
      </c>
      <c r="O140" s="124">
        <f t="shared" si="27"/>
        <v>2.2523740000000001</v>
      </c>
    </row>
    <row r="141" spans="1:15">
      <c r="A141" s="206"/>
      <c r="B141" s="105" t="s">
        <v>5</v>
      </c>
      <c r="C141" s="107">
        <f>HLOOKUP(C$117,$86:$115,24,FALSE)</f>
        <v>131.928437</v>
      </c>
      <c r="D141" s="107">
        <f t="shared" ref="D141:O141" si="28">HLOOKUP(D$117,$86:$115,24,FALSE)</f>
        <v>64.374502000000007</v>
      </c>
      <c r="E141" s="107">
        <f t="shared" si="28"/>
        <v>209.601507</v>
      </c>
      <c r="F141" s="107">
        <f t="shared" si="28"/>
        <v>178.40540899999999</v>
      </c>
      <c r="G141" s="107">
        <f t="shared" si="28"/>
        <v>103.255752</v>
      </c>
      <c r="H141" s="107">
        <f t="shared" si="28"/>
        <v>57.760353000000002</v>
      </c>
      <c r="I141" s="107">
        <f t="shared" si="28"/>
        <v>99.230602000000005</v>
      </c>
      <c r="J141" s="107">
        <f t="shared" si="28"/>
        <v>70.608433000000005</v>
      </c>
      <c r="K141" s="107">
        <f t="shared" si="28"/>
        <v>53.195207000000003</v>
      </c>
      <c r="L141" s="107">
        <f t="shared" si="28"/>
        <v>108.751811</v>
      </c>
      <c r="M141" s="107">
        <f t="shared" si="28"/>
        <v>89.282236999999995</v>
      </c>
      <c r="N141" s="107">
        <f t="shared" si="28"/>
        <v>94.671989999999994</v>
      </c>
      <c r="O141" s="124">
        <f t="shared" si="28"/>
        <v>147.019094</v>
      </c>
    </row>
    <row r="142" spans="1:15">
      <c r="A142" s="206"/>
      <c r="B142" s="105" t="s">
        <v>4</v>
      </c>
      <c r="C142" s="107">
        <f>HLOOKUP(C$117,$86:$115,25,FALSE)</f>
        <v>30.799336</v>
      </c>
      <c r="D142" s="107">
        <f t="shared" ref="D142:O142" si="29">HLOOKUP(D$117,$86:$115,25,FALSE)</f>
        <v>30.793143000000001</v>
      </c>
      <c r="E142" s="107">
        <f t="shared" si="29"/>
        <v>35.178874</v>
      </c>
      <c r="F142" s="107">
        <f t="shared" si="29"/>
        <v>33.707680000000003</v>
      </c>
      <c r="G142" s="107">
        <f t="shared" si="29"/>
        <v>31.407260000000001</v>
      </c>
      <c r="H142" s="107">
        <f t="shared" si="29"/>
        <v>29.906251000000001</v>
      </c>
      <c r="I142" s="107">
        <f t="shared" si="29"/>
        <v>25.097702999999999</v>
      </c>
      <c r="J142" s="107">
        <f t="shared" si="29"/>
        <v>23.682936000000002</v>
      </c>
      <c r="K142" s="107">
        <f t="shared" si="29"/>
        <v>24.559023</v>
      </c>
      <c r="L142" s="107">
        <f t="shared" si="29"/>
        <v>26.306543000000001</v>
      </c>
      <c r="M142" s="107">
        <f t="shared" si="29"/>
        <v>31.905954000000001</v>
      </c>
      <c r="N142" s="107">
        <f t="shared" si="29"/>
        <v>35.953691999999997</v>
      </c>
      <c r="O142" s="124">
        <f t="shared" si="29"/>
        <v>35.421075999999999</v>
      </c>
    </row>
    <row r="143" spans="1:15">
      <c r="A143" s="206"/>
      <c r="B143" s="105" t="s">
        <v>22</v>
      </c>
      <c r="C143" s="107">
        <f>HLOOKUP(C$117,$86:$115,26,FALSE)</f>
        <v>0.65055600000000002</v>
      </c>
      <c r="D143" s="107">
        <f t="shared" ref="D143:O143" si="30">HLOOKUP(D$117,$86:$115,26,FALSE)</f>
        <v>0.66513100000000003</v>
      </c>
      <c r="E143" s="107">
        <f t="shared" si="30"/>
        <v>0.64607300000000001</v>
      </c>
      <c r="F143" s="107">
        <f t="shared" si="30"/>
        <v>0.37482700000000002</v>
      </c>
      <c r="G143" s="107">
        <f t="shared" si="30"/>
        <v>0.37211699999999998</v>
      </c>
      <c r="H143" s="107">
        <f t="shared" si="30"/>
        <v>0.524733</v>
      </c>
      <c r="I143" s="107">
        <f t="shared" si="30"/>
        <v>0.42454199999999997</v>
      </c>
      <c r="J143" s="107">
        <f t="shared" si="30"/>
        <v>0.44537900000000002</v>
      </c>
      <c r="K143" s="107">
        <f t="shared" si="30"/>
        <v>0.50013399999999997</v>
      </c>
      <c r="L143" s="107">
        <f t="shared" si="30"/>
        <v>0.49944300000000003</v>
      </c>
      <c r="M143" s="107">
        <f t="shared" si="30"/>
        <v>0.57839200000000002</v>
      </c>
      <c r="N143" s="107">
        <f t="shared" si="30"/>
        <v>0.26424700000000001</v>
      </c>
      <c r="O143" s="124">
        <f t="shared" si="30"/>
        <v>0.430983</v>
      </c>
    </row>
    <row r="144" spans="1:15">
      <c r="A144" s="206"/>
      <c r="B144" s="117" t="s">
        <v>1</v>
      </c>
      <c r="C144" s="118">
        <f>HLOOKUP(C$117,$86:$115,28,FALSE)</f>
        <v>702.09189000000003</v>
      </c>
      <c r="D144" s="118">
        <f t="shared" ref="D144:O144" si="31">HLOOKUP(D$117,$86:$115,28,FALSE)</f>
        <v>713.71319300000005</v>
      </c>
      <c r="E144" s="118">
        <f t="shared" si="31"/>
        <v>762.82525099999998</v>
      </c>
      <c r="F144" s="118">
        <f t="shared" si="31"/>
        <v>802.65790300000003</v>
      </c>
      <c r="G144" s="118">
        <f t="shared" si="31"/>
        <v>744.75916099999995</v>
      </c>
      <c r="H144" s="118">
        <f t="shared" si="31"/>
        <v>803.86761799999999</v>
      </c>
      <c r="I144" s="118">
        <f t="shared" si="31"/>
        <v>730.19147599999997</v>
      </c>
      <c r="J144" s="118">
        <f t="shared" si="31"/>
        <v>733.35031600000002</v>
      </c>
      <c r="K144" s="118">
        <f t="shared" si="31"/>
        <v>741.00049100000001</v>
      </c>
      <c r="L144" s="118">
        <f t="shared" si="31"/>
        <v>691.29240300000004</v>
      </c>
      <c r="M144" s="118">
        <f t="shared" si="31"/>
        <v>724.47731899999997</v>
      </c>
      <c r="N144" s="118">
        <f t="shared" si="31"/>
        <v>704.93682799999999</v>
      </c>
      <c r="O144" s="118">
        <f t="shared" si="31"/>
        <v>707.76415299999996</v>
      </c>
    </row>
    <row r="145" spans="1:26">
      <c r="A145" s="206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7"/>
      <c r="B146" s="126" t="s">
        <v>75</v>
      </c>
      <c r="C146" s="130">
        <f>SUM(C136:C138)</f>
        <v>261.00777599999998</v>
      </c>
      <c r="D146" s="130">
        <f t="shared" ref="D146:N146" si="32">SUM(D136:D138)</f>
        <v>265.32891099999995</v>
      </c>
      <c r="E146" s="130">
        <f t="shared" si="32"/>
        <v>263.81678599999998</v>
      </c>
      <c r="F146" s="130">
        <f t="shared" si="32"/>
        <v>280.24951799999997</v>
      </c>
      <c r="G146" s="130">
        <f t="shared" si="32"/>
        <v>278.46901400000002</v>
      </c>
      <c r="H146" s="130">
        <f t="shared" si="32"/>
        <v>329.55548099999999</v>
      </c>
      <c r="I146" s="130">
        <f t="shared" si="32"/>
        <v>283.46044599999999</v>
      </c>
      <c r="J146" s="130">
        <f t="shared" si="32"/>
        <v>293.93341900000001</v>
      </c>
      <c r="K146" s="130">
        <f t="shared" si="32"/>
        <v>313.17357400000003</v>
      </c>
      <c r="L146" s="130">
        <f t="shared" si="32"/>
        <v>271.07811399999997</v>
      </c>
      <c r="M146" s="130">
        <f t="shared" si="32"/>
        <v>294.881663</v>
      </c>
      <c r="N146" s="130">
        <f t="shared" si="32"/>
        <v>257.29920000000004</v>
      </c>
      <c r="O146" s="131">
        <f>SUM(O136:O138)</f>
        <v>262.610321</v>
      </c>
    </row>
    <row r="149" spans="1:26" ht="15">
      <c r="A149" s="157"/>
      <c r="B149" s="157" t="s">
        <v>68</v>
      </c>
      <c r="C149" s="204" t="s">
        <v>57</v>
      </c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7"/>
      <c r="B150" s="157" t="s">
        <v>69</v>
      </c>
      <c r="C150" s="181" t="s">
        <v>90</v>
      </c>
      <c r="D150" s="181" t="s">
        <v>91</v>
      </c>
      <c r="E150" s="181" t="s">
        <v>92</v>
      </c>
      <c r="F150" s="181" t="s">
        <v>93</v>
      </c>
      <c r="G150" s="181" t="s">
        <v>94</v>
      </c>
      <c r="H150" s="181" t="s">
        <v>95</v>
      </c>
      <c r="I150" s="181" t="s">
        <v>96</v>
      </c>
      <c r="J150" s="181" t="s">
        <v>97</v>
      </c>
      <c r="K150" s="181" t="s">
        <v>98</v>
      </c>
      <c r="L150" s="181" t="s">
        <v>99</v>
      </c>
      <c r="M150" s="181" t="s">
        <v>100</v>
      </c>
      <c r="N150" s="181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7" t="s">
        <v>67</v>
      </c>
      <c r="B151" s="157" t="s">
        <v>102</v>
      </c>
      <c r="C151" s="158"/>
      <c r="D151" s="158"/>
      <c r="E151" s="158"/>
      <c r="F151" s="158"/>
      <c r="G151" s="158"/>
      <c r="H151" s="158"/>
      <c r="I151" s="158"/>
      <c r="J151" s="158"/>
      <c r="K151" s="158"/>
      <c r="L151" s="158"/>
      <c r="M151" s="158"/>
      <c r="N151" s="158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59" t="s">
        <v>122</v>
      </c>
      <c r="B152" s="159" t="s">
        <v>123</v>
      </c>
      <c r="C152" s="175">
        <v>3.0700000000000002E-2</v>
      </c>
      <c r="D152" s="175">
        <v>2.5899999999999999E-3</v>
      </c>
      <c r="E152" s="175">
        <v>7.8399999999999997E-3</v>
      </c>
      <c r="F152" s="175">
        <v>2.027E-2</v>
      </c>
      <c r="G152" s="175">
        <v>1.04E-2</v>
      </c>
      <c r="H152" s="175">
        <v>-1.4E-3</v>
      </c>
      <c r="I152" s="175">
        <v>-2.3609999999999999E-2</v>
      </c>
      <c r="J152" s="175">
        <v>3.5409999999999997E-2</v>
      </c>
      <c r="K152" s="175">
        <v>5.3200000000000001E-3</v>
      </c>
      <c r="L152" s="175">
        <v>-1.23E-3</v>
      </c>
      <c r="M152" s="175">
        <v>8.7000000000000001E-4</v>
      </c>
      <c r="N152" s="175">
        <v>5.6800000000000002E-3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7"/>
      <c r="B155" s="157" t="s">
        <v>68</v>
      </c>
      <c r="C155" s="204" t="s">
        <v>58</v>
      </c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7"/>
      <c r="B156" s="157" t="s">
        <v>69</v>
      </c>
      <c r="C156" s="181" t="s">
        <v>90</v>
      </c>
      <c r="D156" s="181" t="s">
        <v>91</v>
      </c>
      <c r="E156" s="181" t="s">
        <v>92</v>
      </c>
      <c r="F156" s="181" t="s">
        <v>93</v>
      </c>
      <c r="G156" s="181" t="s">
        <v>94</v>
      </c>
      <c r="H156" s="181" t="s">
        <v>95</v>
      </c>
      <c r="I156" s="181" t="s">
        <v>96</v>
      </c>
      <c r="J156" s="181" t="s">
        <v>97</v>
      </c>
      <c r="K156" s="181" t="s">
        <v>98</v>
      </c>
      <c r="L156" s="181" t="s">
        <v>99</v>
      </c>
      <c r="M156" s="181" t="s">
        <v>100</v>
      </c>
      <c r="N156" s="181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7" t="s">
        <v>67</v>
      </c>
      <c r="B157" s="157" t="s">
        <v>102</v>
      </c>
      <c r="C157" s="158"/>
      <c r="D157" s="158"/>
      <c r="E157" s="158"/>
      <c r="F157" s="158"/>
      <c r="G157" s="158"/>
      <c r="H157" s="158"/>
      <c r="I157" s="158"/>
      <c r="J157" s="158"/>
      <c r="K157" s="158"/>
      <c r="L157" s="158"/>
      <c r="M157" s="158"/>
      <c r="N157" s="158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59" t="s">
        <v>122</v>
      </c>
      <c r="B158" s="159" t="s">
        <v>123</v>
      </c>
      <c r="C158" s="175">
        <v>8.0800000000000004E-3</v>
      </c>
      <c r="D158" s="175">
        <v>-3.0300000000000001E-3</v>
      </c>
      <c r="E158" s="175">
        <v>0</v>
      </c>
      <c r="F158" s="175">
        <v>1.111E-2</v>
      </c>
      <c r="G158" s="175">
        <v>3.1199999999999999E-2</v>
      </c>
      <c r="H158" s="175">
        <v>2.9999999999999997E-4</v>
      </c>
      <c r="I158" s="175">
        <v>-1.3600000000000001E-3</v>
      </c>
      <c r="J158" s="175">
        <v>3.2259999999999997E-2</v>
      </c>
      <c r="K158" s="175">
        <v>3.653E-2</v>
      </c>
      <c r="L158" s="175">
        <v>-1.3999999999999999E-4</v>
      </c>
      <c r="M158" s="175">
        <v>2.0500000000000002E-3</v>
      </c>
      <c r="N158" s="175">
        <v>3.4619999999999998E-2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3"/>
    <mergeCell ref="C85:T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Mayo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47</v>
      </c>
      <c r="E7" s="69"/>
      <c r="F7" s="187" t="str">
        <f>K3</f>
        <v>Mayo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72" t="str">
        <f>G8</f>
        <v>% 24/23</v>
      </c>
      <c r="J8" s="71" t="s">
        <v>13</v>
      </c>
      <c r="K8" s="72" t="str">
        <f>G8</f>
        <v>% 24/23</v>
      </c>
    </row>
    <row r="9" spans="3:12">
      <c r="C9" s="73"/>
      <c r="E9" s="74" t="s">
        <v>39</v>
      </c>
      <c r="F9" s="75">
        <f>Dat_01!R24/1000</f>
        <v>474.22957700000001</v>
      </c>
      <c r="G9" s="147">
        <f>Dat_01!T24*100</f>
        <v>3.0701883400000001</v>
      </c>
      <c r="H9" s="75">
        <f>Dat_01!U24/1000</f>
        <v>2185.9907659999999</v>
      </c>
      <c r="I9" s="147">
        <f>Dat_01!W24*100</f>
        <v>1.03972876</v>
      </c>
      <c r="J9" s="75">
        <f>Dat_01!X24/1000</f>
        <v>6024.8702980000007</v>
      </c>
      <c r="K9" s="147">
        <f>Dat_01!Y24*100</f>
        <v>0.53187070000000003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0.25900000000000001</v>
      </c>
      <c r="H12" s="94"/>
      <c r="I12" s="94">
        <f>Dat_01!H152*100</f>
        <v>-0.13999999999999999</v>
      </c>
      <c r="J12" s="94"/>
      <c r="K12" s="94">
        <f>Dat_01!L152*100</f>
        <v>-0.123</v>
      </c>
    </row>
    <row r="13" spans="3:12">
      <c r="E13" s="77" t="s">
        <v>42</v>
      </c>
      <c r="F13" s="76"/>
      <c r="G13" s="94">
        <f>Dat_01!E152*100</f>
        <v>0.78400000000000003</v>
      </c>
      <c r="H13" s="94"/>
      <c r="I13" s="94">
        <f>Dat_01!I152*100</f>
        <v>-2.3609999999999998</v>
      </c>
      <c r="J13" s="94"/>
      <c r="K13" s="94">
        <f>Dat_01!M152*100</f>
        <v>8.6999999999999994E-2</v>
      </c>
    </row>
    <row r="14" spans="3:12">
      <c r="E14" s="78" t="s">
        <v>43</v>
      </c>
      <c r="F14" s="79"/>
      <c r="G14" s="95">
        <f>Dat_01!F152*100</f>
        <v>2.0270000000000001</v>
      </c>
      <c r="H14" s="95"/>
      <c r="I14" s="95">
        <f>Dat_01!J152*100</f>
        <v>3.5409999999999995</v>
      </c>
      <c r="J14" s="95"/>
      <c r="K14" s="95">
        <f>Dat_01!N152*100</f>
        <v>0.56800000000000006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  <row r="22" spans="7:11">
      <c r="G22" s="160"/>
      <c r="H22" s="160"/>
      <c r="I22" s="160"/>
      <c r="J22" s="160"/>
      <c r="K22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J9" sqref="J9"/>
    </sheetView>
  </sheetViews>
  <sheetFormatPr baseColWidth="10" defaultColWidth="11.42578125" defaultRowHeight="12.75"/>
  <cols>
    <col min="1" max="1" width="0.28515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Mayo 2024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6" t="s">
        <v>48</v>
      </c>
      <c r="E7" s="69"/>
      <c r="F7" s="187" t="str">
        <f>K3</f>
        <v>Mayo 2024</v>
      </c>
      <c r="G7" s="188"/>
      <c r="H7" s="188" t="s">
        <v>37</v>
      </c>
      <c r="I7" s="188"/>
      <c r="J7" s="188" t="s">
        <v>38</v>
      </c>
      <c r="K7" s="188"/>
    </row>
    <row r="8" spans="3:12">
      <c r="C8" s="186"/>
      <c r="E8" s="70"/>
      <c r="F8" s="71" t="s">
        <v>13</v>
      </c>
      <c r="G8" s="97" t="str">
        <f>CONCATENATE("% ",RIGHT(F7,2),"/",RIGHT(F7,2)-1)</f>
        <v>% 24/23</v>
      </c>
      <c r="H8" s="71" t="s">
        <v>13</v>
      </c>
      <c r="I8" s="98" t="str">
        <f>G8</f>
        <v>% 24/23</v>
      </c>
      <c r="J8" s="71" t="s">
        <v>13</v>
      </c>
      <c r="K8" s="98" t="str">
        <f>G8</f>
        <v>% 24/23</v>
      </c>
    </row>
    <row r="9" spans="3:12">
      <c r="C9" s="73"/>
      <c r="E9" s="74" t="s">
        <v>39</v>
      </c>
      <c r="F9" s="75">
        <f>Dat_01!Z24/1000</f>
        <v>707.76415300000008</v>
      </c>
      <c r="G9" s="147">
        <f>Dat_01!AB24*100</f>
        <v>0.80790892000000003</v>
      </c>
      <c r="H9" s="75">
        <f>Dat_01!AC24/1000</f>
        <v>3569.4711940000002</v>
      </c>
      <c r="I9" s="147">
        <f>Dat_01!AE24*100</f>
        <v>3.1198318700000001</v>
      </c>
      <c r="J9" s="75">
        <f>Dat_01!AF24/1000</f>
        <v>8860.836111999999</v>
      </c>
      <c r="K9" s="147">
        <f>Dat_01!AG24*100</f>
        <v>3.6532131799999998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-0.30299999999999999</v>
      </c>
      <c r="H12" s="94"/>
      <c r="I12" s="94">
        <f>Dat_01!H158*100</f>
        <v>0.03</v>
      </c>
      <c r="J12" s="94"/>
      <c r="K12" s="94">
        <f>Dat_01!L158*100</f>
        <v>-1.3999999999999999E-2</v>
      </c>
    </row>
    <row r="13" spans="3:12">
      <c r="E13" s="77" t="s">
        <v>42</v>
      </c>
      <c r="F13" s="76"/>
      <c r="G13" s="94">
        <f>Dat_01!E158*100</f>
        <v>0</v>
      </c>
      <c r="H13" s="94"/>
      <c r="I13" s="94">
        <f>Dat_01!I158*100</f>
        <v>-0.13600000000000001</v>
      </c>
      <c r="J13" s="94"/>
      <c r="K13" s="94">
        <f>Dat_01!M158*100</f>
        <v>0.20500000000000002</v>
      </c>
    </row>
    <row r="14" spans="3:12">
      <c r="E14" s="78" t="s">
        <v>43</v>
      </c>
      <c r="F14" s="79"/>
      <c r="G14" s="95">
        <f>Dat_01!F158*100</f>
        <v>1.111</v>
      </c>
      <c r="H14" s="95"/>
      <c r="I14" s="95">
        <f>Dat_01!J158*100</f>
        <v>3.2259999999999995</v>
      </c>
      <c r="J14" s="95"/>
      <c r="K14" s="95">
        <f>Dat_01!N158*100</f>
        <v>3.4619999999999997</v>
      </c>
    </row>
    <row r="15" spans="3:12">
      <c r="E15" s="189" t="s">
        <v>44</v>
      </c>
      <c r="F15" s="189"/>
      <c r="G15" s="189"/>
      <c r="H15" s="189"/>
      <c r="I15" s="189"/>
      <c r="J15" s="189"/>
      <c r="K15" s="189"/>
    </row>
    <row r="16" spans="3:12" ht="21.75" customHeight="1">
      <c r="E16" s="185" t="s">
        <v>45</v>
      </c>
      <c r="F16" s="185"/>
      <c r="G16" s="185"/>
      <c r="H16" s="185"/>
      <c r="I16" s="185"/>
      <c r="J16" s="185"/>
      <c r="K16" s="185"/>
    </row>
    <row r="19" spans="7:11">
      <c r="G19" s="160"/>
      <c r="H19" s="160"/>
      <c r="I19" s="160"/>
      <c r="J19" s="160"/>
      <c r="K19" s="160"/>
    </row>
    <row r="20" spans="7:11">
      <c r="G20" s="160"/>
      <c r="H20" s="160"/>
      <c r="I20" s="160"/>
      <c r="J20" s="160"/>
      <c r="K20" s="160"/>
    </row>
    <row r="21" spans="7:11">
      <c r="G21" s="160"/>
      <c r="H21" s="160"/>
      <c r="I21" s="160"/>
      <c r="J21" s="160"/>
      <c r="K21" s="160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129</v>
      </c>
    </row>
    <row r="2" spans="1:2">
      <c r="A2" t="s">
        <v>124</v>
      </c>
    </row>
    <row r="3" spans="1:2">
      <c r="A3" t="s">
        <v>125</v>
      </c>
    </row>
    <row r="4" spans="1:2">
      <c r="A4" t="s">
        <v>127</v>
      </c>
    </row>
    <row r="5" spans="1:2">
      <c r="A5" t="s">
        <v>128</v>
      </c>
    </row>
    <row r="6" spans="1:2">
      <c r="A6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M21" sqref="M21"/>
    </sheetView>
  </sheetViews>
  <sheetFormatPr baseColWidth="10" defaultRowHeight="11.25"/>
  <cols>
    <col min="1" max="1" width="0.28515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28515625" style="1" customWidth="1"/>
    <col min="6" max="13" width="7.5703125" style="1" customWidth="1"/>
    <col min="14" max="254" width="11.42578125" style="1"/>
    <col min="255" max="255" width="0.28515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28515625" style="1" customWidth="1"/>
    <col min="260" max="260" width="7.7109375" style="1" bestFit="1" customWidth="1"/>
    <col min="261" max="261" width="7" style="1" customWidth="1"/>
    <col min="262" max="262" width="7.71093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28515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28515625" style="1" customWidth="1"/>
    <col min="516" max="516" width="7.7109375" style="1" bestFit="1" customWidth="1"/>
    <col min="517" max="517" width="7" style="1" customWidth="1"/>
    <col min="518" max="518" width="7.71093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28515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28515625" style="1" customWidth="1"/>
    <col min="772" max="772" width="7.7109375" style="1" bestFit="1" customWidth="1"/>
    <col min="773" max="773" width="7" style="1" customWidth="1"/>
    <col min="774" max="774" width="7.71093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28515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28515625" style="1" customWidth="1"/>
    <col min="1028" max="1028" width="7.7109375" style="1" bestFit="1" customWidth="1"/>
    <col min="1029" max="1029" width="7" style="1" customWidth="1"/>
    <col min="1030" max="1030" width="7.71093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28515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28515625" style="1" customWidth="1"/>
    <col min="1284" max="1284" width="7.7109375" style="1" bestFit="1" customWidth="1"/>
    <col min="1285" max="1285" width="7" style="1" customWidth="1"/>
    <col min="1286" max="1286" width="7.71093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28515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28515625" style="1" customWidth="1"/>
    <col min="1540" max="1540" width="7.7109375" style="1" bestFit="1" customWidth="1"/>
    <col min="1541" max="1541" width="7" style="1" customWidth="1"/>
    <col min="1542" max="1542" width="7.71093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28515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28515625" style="1" customWidth="1"/>
    <col min="1796" max="1796" width="7.7109375" style="1" bestFit="1" customWidth="1"/>
    <col min="1797" max="1797" width="7" style="1" customWidth="1"/>
    <col min="1798" max="1798" width="7.71093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28515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28515625" style="1" customWidth="1"/>
    <col min="2052" max="2052" width="7.7109375" style="1" bestFit="1" customWidth="1"/>
    <col min="2053" max="2053" width="7" style="1" customWidth="1"/>
    <col min="2054" max="2054" width="7.71093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28515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28515625" style="1" customWidth="1"/>
    <col min="2308" max="2308" width="7.7109375" style="1" bestFit="1" customWidth="1"/>
    <col min="2309" max="2309" width="7" style="1" customWidth="1"/>
    <col min="2310" max="2310" width="7.71093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28515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28515625" style="1" customWidth="1"/>
    <col min="2564" max="2564" width="7.7109375" style="1" bestFit="1" customWidth="1"/>
    <col min="2565" max="2565" width="7" style="1" customWidth="1"/>
    <col min="2566" max="2566" width="7.71093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28515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28515625" style="1" customWidth="1"/>
    <col min="2820" max="2820" width="7.7109375" style="1" bestFit="1" customWidth="1"/>
    <col min="2821" max="2821" width="7" style="1" customWidth="1"/>
    <col min="2822" max="2822" width="7.71093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28515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28515625" style="1" customWidth="1"/>
    <col min="3076" max="3076" width="7.7109375" style="1" bestFit="1" customWidth="1"/>
    <col min="3077" max="3077" width="7" style="1" customWidth="1"/>
    <col min="3078" max="3078" width="7.71093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28515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28515625" style="1" customWidth="1"/>
    <col min="3332" max="3332" width="7.7109375" style="1" bestFit="1" customWidth="1"/>
    <col min="3333" max="3333" width="7" style="1" customWidth="1"/>
    <col min="3334" max="3334" width="7.71093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28515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28515625" style="1" customWidth="1"/>
    <col min="3588" max="3588" width="7.7109375" style="1" bestFit="1" customWidth="1"/>
    <col min="3589" max="3589" width="7" style="1" customWidth="1"/>
    <col min="3590" max="3590" width="7.71093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28515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28515625" style="1" customWidth="1"/>
    <col min="3844" max="3844" width="7.7109375" style="1" bestFit="1" customWidth="1"/>
    <col min="3845" max="3845" width="7" style="1" customWidth="1"/>
    <col min="3846" max="3846" width="7.71093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28515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28515625" style="1" customWidth="1"/>
    <col min="4100" max="4100" width="7.7109375" style="1" bestFit="1" customWidth="1"/>
    <col min="4101" max="4101" width="7" style="1" customWidth="1"/>
    <col min="4102" max="4102" width="7.71093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28515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28515625" style="1" customWidth="1"/>
    <col min="4356" max="4356" width="7.7109375" style="1" bestFit="1" customWidth="1"/>
    <col min="4357" max="4357" width="7" style="1" customWidth="1"/>
    <col min="4358" max="4358" width="7.71093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28515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28515625" style="1" customWidth="1"/>
    <col min="4612" max="4612" width="7.7109375" style="1" bestFit="1" customWidth="1"/>
    <col min="4613" max="4613" width="7" style="1" customWidth="1"/>
    <col min="4614" max="4614" width="7.71093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28515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28515625" style="1" customWidth="1"/>
    <col min="4868" max="4868" width="7.7109375" style="1" bestFit="1" customWidth="1"/>
    <col min="4869" max="4869" width="7" style="1" customWidth="1"/>
    <col min="4870" max="4870" width="7.71093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28515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28515625" style="1" customWidth="1"/>
    <col min="5124" max="5124" width="7.7109375" style="1" bestFit="1" customWidth="1"/>
    <col min="5125" max="5125" width="7" style="1" customWidth="1"/>
    <col min="5126" max="5126" width="7.71093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28515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28515625" style="1" customWidth="1"/>
    <col min="5380" max="5380" width="7.7109375" style="1" bestFit="1" customWidth="1"/>
    <col min="5381" max="5381" width="7" style="1" customWidth="1"/>
    <col min="5382" max="5382" width="7.71093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28515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28515625" style="1" customWidth="1"/>
    <col min="5636" max="5636" width="7.7109375" style="1" bestFit="1" customWidth="1"/>
    <col min="5637" max="5637" width="7" style="1" customWidth="1"/>
    <col min="5638" max="5638" width="7.71093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28515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28515625" style="1" customWidth="1"/>
    <col min="5892" max="5892" width="7.7109375" style="1" bestFit="1" customWidth="1"/>
    <col min="5893" max="5893" width="7" style="1" customWidth="1"/>
    <col min="5894" max="5894" width="7.71093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28515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28515625" style="1" customWidth="1"/>
    <col min="6148" max="6148" width="7.7109375" style="1" bestFit="1" customWidth="1"/>
    <col min="6149" max="6149" width="7" style="1" customWidth="1"/>
    <col min="6150" max="6150" width="7.71093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28515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28515625" style="1" customWidth="1"/>
    <col min="6404" max="6404" width="7.7109375" style="1" bestFit="1" customWidth="1"/>
    <col min="6405" max="6405" width="7" style="1" customWidth="1"/>
    <col min="6406" max="6406" width="7.71093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28515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28515625" style="1" customWidth="1"/>
    <col min="6660" max="6660" width="7.7109375" style="1" bestFit="1" customWidth="1"/>
    <col min="6661" max="6661" width="7" style="1" customWidth="1"/>
    <col min="6662" max="6662" width="7.71093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28515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28515625" style="1" customWidth="1"/>
    <col min="6916" max="6916" width="7.7109375" style="1" bestFit="1" customWidth="1"/>
    <col min="6917" max="6917" width="7" style="1" customWidth="1"/>
    <col min="6918" max="6918" width="7.71093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28515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28515625" style="1" customWidth="1"/>
    <col min="7172" max="7172" width="7.7109375" style="1" bestFit="1" customWidth="1"/>
    <col min="7173" max="7173" width="7" style="1" customWidth="1"/>
    <col min="7174" max="7174" width="7.71093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28515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28515625" style="1" customWidth="1"/>
    <col min="7428" max="7428" width="7.7109375" style="1" bestFit="1" customWidth="1"/>
    <col min="7429" max="7429" width="7" style="1" customWidth="1"/>
    <col min="7430" max="7430" width="7.71093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28515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28515625" style="1" customWidth="1"/>
    <col min="7684" max="7684" width="7.7109375" style="1" bestFit="1" customWidth="1"/>
    <col min="7685" max="7685" width="7" style="1" customWidth="1"/>
    <col min="7686" max="7686" width="7.71093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28515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28515625" style="1" customWidth="1"/>
    <col min="7940" max="7940" width="7.7109375" style="1" bestFit="1" customWidth="1"/>
    <col min="7941" max="7941" width="7" style="1" customWidth="1"/>
    <col min="7942" max="7942" width="7.71093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28515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28515625" style="1" customWidth="1"/>
    <col min="8196" max="8196" width="7.7109375" style="1" bestFit="1" customWidth="1"/>
    <col min="8197" max="8197" width="7" style="1" customWidth="1"/>
    <col min="8198" max="8198" width="7.71093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28515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28515625" style="1" customWidth="1"/>
    <col min="8452" max="8452" width="7.7109375" style="1" bestFit="1" customWidth="1"/>
    <col min="8453" max="8453" width="7" style="1" customWidth="1"/>
    <col min="8454" max="8454" width="7.71093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28515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28515625" style="1" customWidth="1"/>
    <col min="8708" max="8708" width="7.7109375" style="1" bestFit="1" customWidth="1"/>
    <col min="8709" max="8709" width="7" style="1" customWidth="1"/>
    <col min="8710" max="8710" width="7.71093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28515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28515625" style="1" customWidth="1"/>
    <col min="8964" max="8964" width="7.7109375" style="1" bestFit="1" customWidth="1"/>
    <col min="8965" max="8965" width="7" style="1" customWidth="1"/>
    <col min="8966" max="8966" width="7.71093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28515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28515625" style="1" customWidth="1"/>
    <col min="9220" max="9220" width="7.7109375" style="1" bestFit="1" customWidth="1"/>
    <col min="9221" max="9221" width="7" style="1" customWidth="1"/>
    <col min="9222" max="9222" width="7.71093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28515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28515625" style="1" customWidth="1"/>
    <col min="9476" max="9476" width="7.7109375" style="1" bestFit="1" customWidth="1"/>
    <col min="9477" max="9477" width="7" style="1" customWidth="1"/>
    <col min="9478" max="9478" width="7.71093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28515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28515625" style="1" customWidth="1"/>
    <col min="9732" max="9732" width="7.7109375" style="1" bestFit="1" customWidth="1"/>
    <col min="9733" max="9733" width="7" style="1" customWidth="1"/>
    <col min="9734" max="9734" width="7.71093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28515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28515625" style="1" customWidth="1"/>
    <col min="9988" max="9988" width="7.7109375" style="1" bestFit="1" customWidth="1"/>
    <col min="9989" max="9989" width="7" style="1" customWidth="1"/>
    <col min="9990" max="9990" width="7.71093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28515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28515625" style="1" customWidth="1"/>
    <col min="10244" max="10244" width="7.7109375" style="1" bestFit="1" customWidth="1"/>
    <col min="10245" max="10245" width="7" style="1" customWidth="1"/>
    <col min="10246" max="10246" width="7.71093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28515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28515625" style="1" customWidth="1"/>
    <col min="10500" max="10500" width="7.7109375" style="1" bestFit="1" customWidth="1"/>
    <col min="10501" max="10501" width="7" style="1" customWidth="1"/>
    <col min="10502" max="10502" width="7.71093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28515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28515625" style="1" customWidth="1"/>
    <col min="10756" max="10756" width="7.7109375" style="1" bestFit="1" customWidth="1"/>
    <col min="10757" max="10757" width="7" style="1" customWidth="1"/>
    <col min="10758" max="10758" width="7.71093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28515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28515625" style="1" customWidth="1"/>
    <col min="11012" max="11012" width="7.7109375" style="1" bestFit="1" customWidth="1"/>
    <col min="11013" max="11013" width="7" style="1" customWidth="1"/>
    <col min="11014" max="11014" width="7.71093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28515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28515625" style="1" customWidth="1"/>
    <col min="11268" max="11268" width="7.7109375" style="1" bestFit="1" customWidth="1"/>
    <col min="11269" max="11269" width="7" style="1" customWidth="1"/>
    <col min="11270" max="11270" width="7.71093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28515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28515625" style="1" customWidth="1"/>
    <col min="11524" max="11524" width="7.7109375" style="1" bestFit="1" customWidth="1"/>
    <col min="11525" max="11525" width="7" style="1" customWidth="1"/>
    <col min="11526" max="11526" width="7.71093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28515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28515625" style="1" customWidth="1"/>
    <col min="11780" max="11780" width="7.7109375" style="1" bestFit="1" customWidth="1"/>
    <col min="11781" max="11781" width="7" style="1" customWidth="1"/>
    <col min="11782" max="11782" width="7.71093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28515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28515625" style="1" customWidth="1"/>
    <col min="12036" max="12036" width="7.7109375" style="1" bestFit="1" customWidth="1"/>
    <col min="12037" max="12037" width="7" style="1" customWidth="1"/>
    <col min="12038" max="12038" width="7.71093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28515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28515625" style="1" customWidth="1"/>
    <col min="12292" max="12292" width="7.7109375" style="1" bestFit="1" customWidth="1"/>
    <col min="12293" max="12293" width="7" style="1" customWidth="1"/>
    <col min="12294" max="12294" width="7.71093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28515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28515625" style="1" customWidth="1"/>
    <col min="12548" max="12548" width="7.7109375" style="1" bestFit="1" customWidth="1"/>
    <col min="12549" max="12549" width="7" style="1" customWidth="1"/>
    <col min="12550" max="12550" width="7.71093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28515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28515625" style="1" customWidth="1"/>
    <col min="12804" max="12804" width="7.7109375" style="1" bestFit="1" customWidth="1"/>
    <col min="12805" max="12805" width="7" style="1" customWidth="1"/>
    <col min="12806" max="12806" width="7.71093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28515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28515625" style="1" customWidth="1"/>
    <col min="13060" max="13060" width="7.7109375" style="1" bestFit="1" customWidth="1"/>
    <col min="13061" max="13061" width="7" style="1" customWidth="1"/>
    <col min="13062" max="13062" width="7.71093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28515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28515625" style="1" customWidth="1"/>
    <col min="13316" max="13316" width="7.7109375" style="1" bestFit="1" customWidth="1"/>
    <col min="13317" max="13317" width="7" style="1" customWidth="1"/>
    <col min="13318" max="13318" width="7.71093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28515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28515625" style="1" customWidth="1"/>
    <col min="13572" max="13572" width="7.7109375" style="1" bestFit="1" customWidth="1"/>
    <col min="13573" max="13573" width="7" style="1" customWidth="1"/>
    <col min="13574" max="13574" width="7.71093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28515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28515625" style="1" customWidth="1"/>
    <col min="13828" max="13828" width="7.7109375" style="1" bestFit="1" customWidth="1"/>
    <col min="13829" max="13829" width="7" style="1" customWidth="1"/>
    <col min="13830" max="13830" width="7.71093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28515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28515625" style="1" customWidth="1"/>
    <col min="14084" max="14084" width="7.7109375" style="1" bestFit="1" customWidth="1"/>
    <col min="14085" max="14085" width="7" style="1" customWidth="1"/>
    <col min="14086" max="14086" width="7.71093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28515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28515625" style="1" customWidth="1"/>
    <col min="14340" max="14340" width="7.7109375" style="1" bestFit="1" customWidth="1"/>
    <col min="14341" max="14341" width="7" style="1" customWidth="1"/>
    <col min="14342" max="14342" width="7.71093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28515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28515625" style="1" customWidth="1"/>
    <col min="14596" max="14596" width="7.7109375" style="1" bestFit="1" customWidth="1"/>
    <col min="14597" max="14597" width="7" style="1" customWidth="1"/>
    <col min="14598" max="14598" width="7.71093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28515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28515625" style="1" customWidth="1"/>
    <col min="14852" max="14852" width="7.7109375" style="1" bestFit="1" customWidth="1"/>
    <col min="14853" max="14853" width="7" style="1" customWidth="1"/>
    <col min="14854" max="14854" width="7.71093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28515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28515625" style="1" customWidth="1"/>
    <col min="15108" max="15108" width="7.7109375" style="1" bestFit="1" customWidth="1"/>
    <col min="15109" max="15109" width="7" style="1" customWidth="1"/>
    <col min="15110" max="15110" width="7.71093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28515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28515625" style="1" customWidth="1"/>
    <col min="15364" max="15364" width="7.7109375" style="1" bestFit="1" customWidth="1"/>
    <col min="15365" max="15365" width="7" style="1" customWidth="1"/>
    <col min="15366" max="15366" width="7.71093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28515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28515625" style="1" customWidth="1"/>
    <col min="15620" max="15620" width="7.7109375" style="1" bestFit="1" customWidth="1"/>
    <col min="15621" max="15621" width="7" style="1" customWidth="1"/>
    <col min="15622" max="15622" width="7.71093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28515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28515625" style="1" customWidth="1"/>
    <col min="15876" max="15876" width="7.7109375" style="1" bestFit="1" customWidth="1"/>
    <col min="15877" max="15877" width="7" style="1" customWidth="1"/>
    <col min="15878" max="15878" width="7.71093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28515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28515625" style="1" customWidth="1"/>
    <col min="16132" max="16132" width="7.7109375" style="1" bestFit="1" customWidth="1"/>
    <col min="16133" max="16133" width="7" style="1" customWidth="1"/>
    <col min="16134" max="16134" width="7.71093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Mayo 2024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90" t="s">
        <v>18</v>
      </c>
      <c r="E7" s="26"/>
      <c r="F7" s="191" t="s">
        <v>17</v>
      </c>
      <c r="G7" s="192"/>
      <c r="H7" s="191" t="s">
        <v>16</v>
      </c>
      <c r="I7" s="192"/>
      <c r="J7" s="191" t="s">
        <v>15</v>
      </c>
      <c r="K7" s="192"/>
      <c r="L7" s="191" t="s">
        <v>14</v>
      </c>
      <c r="M7" s="192"/>
    </row>
    <row r="8" spans="3:23" s="23" customFormat="1" ht="12.75" customHeight="1">
      <c r="C8" s="190"/>
      <c r="E8" s="25"/>
      <c r="F8" s="24" t="s">
        <v>13</v>
      </c>
      <c r="G8" s="96" t="str">
        <f>CONCATENATE("% ",RIGHT(M3,2),"/",RIGHT(M3,2)-1)</f>
        <v>% 24/23</v>
      </c>
      <c r="H8" s="24" t="s">
        <v>13</v>
      </c>
      <c r="I8" s="96" t="str">
        <f>G8</f>
        <v>% 24/23</v>
      </c>
      <c r="J8" s="24" t="s">
        <v>13</v>
      </c>
      <c r="K8" s="96" t="str">
        <f>I8</f>
        <v>% 24/23</v>
      </c>
      <c r="L8" s="24" t="s">
        <v>13</v>
      </c>
      <c r="M8" s="96" t="str">
        <f>K8</f>
        <v>% 24/23</v>
      </c>
    </row>
    <row r="9" spans="3:23" s="22" customFormat="1" ht="12.75" customHeight="1">
      <c r="C9" s="19"/>
      <c r="E9" s="17" t="s">
        <v>12</v>
      </c>
      <c r="F9" s="138" t="s">
        <v>3</v>
      </c>
      <c r="G9" s="14" t="s">
        <v>3</v>
      </c>
      <c r="H9" s="14">
        <f>Dat_01!Z8/1000</f>
        <v>0.28213199999999999</v>
      </c>
      <c r="I9" s="14">
        <f>IF(Dat_01!AB8*100=-100,"-",Dat_01!AB8*100)</f>
        <v>-5.1994919499999996</v>
      </c>
      <c r="J9" s="138" t="s">
        <v>3</v>
      </c>
      <c r="K9" s="14" t="s">
        <v>3</v>
      </c>
      <c r="L9" s="138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8" t="s">
        <v>3</v>
      </c>
      <c r="G10" s="14" t="s">
        <v>3</v>
      </c>
      <c r="H10" s="138">
        <f>Dat_01!Z15/1000</f>
        <v>2.2523739999999997</v>
      </c>
      <c r="I10" s="14">
        <f>Dat_01!AB15*100</f>
        <v>8.9579841299999998</v>
      </c>
      <c r="J10" s="138" t="s">
        <v>3</v>
      </c>
      <c r="K10" s="14" t="s">
        <v>3</v>
      </c>
      <c r="L10" s="138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38">
        <f>Dat_01!R16/1000</f>
        <v>0</v>
      </c>
      <c r="G11" s="14" t="str">
        <f>IF(Dat_01!R16=0,"-",Dat_01!T16*100)</f>
        <v>-</v>
      </c>
      <c r="H11" s="138">
        <f>Dat_01!Z16/1000</f>
        <v>147.01909400000002</v>
      </c>
      <c r="I11" s="14">
        <f>Dat_01!AB16*100</f>
        <v>11.43851723</v>
      </c>
      <c r="J11" s="138" t="s">
        <v>3</v>
      </c>
      <c r="K11" s="14" t="s">
        <v>3</v>
      </c>
      <c r="L11" s="138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8">
        <f>Dat_01!R17/1000</f>
        <v>58.204133999999996</v>
      </c>
      <c r="G12" s="14">
        <f>Dat_01!T17*100</f>
        <v>68.907268489999993</v>
      </c>
      <c r="H12" s="138">
        <f>Dat_01!Z17/1000</f>
        <v>35.421075999999999</v>
      </c>
      <c r="I12" s="14">
        <f>Dat_01!AB17*100</f>
        <v>15.00597286</v>
      </c>
      <c r="J12" s="138" t="s">
        <v>3</v>
      </c>
      <c r="K12" s="14" t="s">
        <v>3</v>
      </c>
      <c r="L12" s="138">
        <f>Dat_01!J17/1000</f>
        <v>7.731E-3</v>
      </c>
      <c r="M12" s="14">
        <f>IF(Dat_01!L17*100=-100,"-",Dat_01!L17*100)</f>
        <v>1.4833289600000001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4.1384999999999998E-2</v>
      </c>
      <c r="G13" s="14">
        <f>IF(Dat_01!T18=-100%,"-",Dat_01!T18*100)</f>
        <v>-71.341020049999997</v>
      </c>
      <c r="H13" s="138">
        <f>Dat_01!Z18/1000</f>
        <v>0.430983</v>
      </c>
      <c r="I13" s="14">
        <f>IF(Dat_01!AB18*100=-100,"-",Dat_01!AB18*100)</f>
        <v>-33.751590950000001</v>
      </c>
      <c r="J13" s="138" t="s">
        <v>3</v>
      </c>
      <c r="K13" s="14" t="s">
        <v>3</v>
      </c>
      <c r="L13" s="138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8">
        <f>Dat_01!R21/1000</f>
        <v>12.2750895</v>
      </c>
      <c r="G14" s="14">
        <f>Dat_01!T21*100</f>
        <v>0.38016615000000004</v>
      </c>
      <c r="H14" s="138" t="s">
        <v>3</v>
      </c>
      <c r="I14" s="14" t="s">
        <v>3</v>
      </c>
      <c r="J14" s="138" t="s">
        <v>3</v>
      </c>
      <c r="K14" s="14" t="s">
        <v>3</v>
      </c>
      <c r="L14" s="14">
        <f>Dat_01!J21/1000</f>
        <v>0.54797499999999999</v>
      </c>
      <c r="M14" s="14">
        <f>Dat_01!L21*100</f>
        <v>19.961339159999998</v>
      </c>
      <c r="N14" s="7"/>
      <c r="O14" s="7"/>
    </row>
    <row r="15" spans="3:23" ht="12.75" customHeight="1">
      <c r="C15" s="10"/>
      <c r="E15" s="152" t="s">
        <v>80</v>
      </c>
      <c r="F15" s="155">
        <f>SUM(F9:F14)</f>
        <v>70.520608499999994</v>
      </c>
      <c r="G15" s="156">
        <f>((SUM(Dat_01!R8,Dat_01!R15:R18,Dat_01!R20)/SUM(Dat_01!S8,Dat_01!S15:S18,Dat_01!S20))-1)*100</f>
        <v>49.782905336586978</v>
      </c>
      <c r="H15" s="155">
        <f>SUM(H9:H14)</f>
        <v>185.40565900000001</v>
      </c>
      <c r="I15" s="156">
        <f>((SUM(Dat_01!Z8,Dat_01!Z15:Z18,Dat_01!Z20)/SUM(Dat_01!AA8,Dat_01!AA15:AA18,Dat_01!AA20))-1)*100</f>
        <v>11.863254302003323</v>
      </c>
      <c r="J15" s="155" t="s">
        <v>3</v>
      </c>
      <c r="K15" s="156" t="s">
        <v>3</v>
      </c>
      <c r="L15" s="156">
        <f>SUM(L9:L14)</f>
        <v>0.55570600000000003</v>
      </c>
      <c r="M15" s="156">
        <f>((SUM(Dat_01!J8,Dat_01!J15:J18,Dat_01!J21)/SUM(Dat_01!K8,Dat_01!K15:K18,Dat_01!K20))-1)*100</f>
        <v>19.658233762766166</v>
      </c>
      <c r="N15" s="7"/>
      <c r="O15" s="7"/>
    </row>
    <row r="16" spans="3:23" ht="12.75" customHeight="1">
      <c r="C16" s="19"/>
      <c r="E16" s="17" t="s">
        <v>11</v>
      </c>
      <c r="F16" s="138">
        <f>Dat_01!R9/1000</f>
        <v>22.073955999999999</v>
      </c>
      <c r="G16" s="14" t="s">
        <v>3</v>
      </c>
      <c r="H16" s="138" t="s">
        <v>3</v>
      </c>
      <c r="I16" s="14" t="s">
        <v>3</v>
      </c>
      <c r="J16" s="138" t="s">
        <v>3</v>
      </c>
      <c r="K16" s="14" t="s">
        <v>3</v>
      </c>
      <c r="L16" s="138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39">
        <f>SUM(Dat_01!R10,Dat_01!R14)/1000</f>
        <v>11.891016</v>
      </c>
      <c r="G17" s="20">
        <f>((SUM(Dat_01!R10,Dat_01!R14)/SUM(Dat_01!S10,Dat_01!S14))-1)*100</f>
        <v>-6.4216050825489308</v>
      </c>
      <c r="H17" s="139">
        <f>SUM(Dat_01!Z10,Dat_01!Z14)/1000</f>
        <v>142.89773499999998</v>
      </c>
      <c r="I17" s="20">
        <f>((SUM(Dat_01!Z10,Dat_01!Z14)/SUM(Dat_01!AA10,Dat_01!AA14))-1)*100</f>
        <v>-6.3942952517193614</v>
      </c>
      <c r="J17" s="139">
        <f>Dat_01!B10/1000</f>
        <v>14.820530000000002</v>
      </c>
      <c r="K17" s="20">
        <f>Dat_01!D10*100</f>
        <v>4.6080011800000005</v>
      </c>
      <c r="L17" s="139">
        <f>Dat_01!J10/1000</f>
        <v>14.299282</v>
      </c>
      <c r="M17" s="20">
        <f>Dat_01!L10*100</f>
        <v>-1.93150456</v>
      </c>
      <c r="N17" s="146"/>
      <c r="O17" s="145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39">
        <f>Dat_01!R11/1000</f>
        <v>29.400922999999999</v>
      </c>
      <c r="G18" s="20">
        <f>Dat_01!T11*100</f>
        <v>-16.517511239999997</v>
      </c>
      <c r="H18" s="139">
        <f>Dat_01!Z11/1000</f>
        <v>13.174446</v>
      </c>
      <c r="I18" s="20">
        <f>Dat_01!AB11*100</f>
        <v>-43.861153999999999</v>
      </c>
      <c r="J18" s="139">
        <f>Dat_01!B11/1000</f>
        <v>5.9500000000000004E-3</v>
      </c>
      <c r="K18" s="20">
        <f>IF(Dat_01!D11=-100%,"-",Dat_01!D11*100)</f>
        <v>23.188405800000002</v>
      </c>
      <c r="L18" s="139">
        <f>Dat_01!J11/1000</f>
        <v>6.9369E-2</v>
      </c>
      <c r="M18" s="20">
        <f>IF(Dat_01!L11*100=-100,"-",Dat_01!L11*100)</f>
        <v>3599.68</v>
      </c>
      <c r="N18" s="146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39" t="s">
        <v>3</v>
      </c>
      <c r="G19" s="20" t="s">
        <v>3</v>
      </c>
      <c r="H19" s="139">
        <f>Dat_01!Z12/1000</f>
        <v>106.53814</v>
      </c>
      <c r="I19" s="20">
        <f>Dat_01!AB12*100</f>
        <v>25.514784239999997</v>
      </c>
      <c r="J19" s="139" t="s">
        <v>3</v>
      </c>
      <c r="K19" s="139" t="s">
        <v>3</v>
      </c>
      <c r="L19" s="139" t="s">
        <v>3</v>
      </c>
      <c r="M19" s="139" t="s">
        <v>3</v>
      </c>
      <c r="N19" s="146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8">
        <f>SUM(F17:F19)</f>
        <v>41.291938999999999</v>
      </c>
      <c r="G20" s="14">
        <f>((SUM(Dat_01!R10:R12,Dat_01!R14)/SUM(Dat_01!S10:S12,Dat_01!S14))-1)*100</f>
        <v>-13.840650288297896</v>
      </c>
      <c r="H20" s="138">
        <f>SUM(H17:H19)</f>
        <v>262.610321</v>
      </c>
      <c r="I20" s="14">
        <f>(H20/(H17/(I17/100+1)+H18/(I18/100+1)+H19/(I19/100+1))-1)*100</f>
        <v>0.61398362211224633</v>
      </c>
      <c r="J20" s="138">
        <f>SUM(J17:J19)</f>
        <v>14.826480000000002</v>
      </c>
      <c r="K20" s="14">
        <f>((SUM(Dat_01!B10:B12)/SUM(Dat_01!C10:C12))-1)*100</f>
        <v>4.6143333930969144</v>
      </c>
      <c r="L20" s="138">
        <f>SUM(L17:L19)</f>
        <v>14.368651</v>
      </c>
      <c r="M20" s="14">
        <f>((SUM(Dat_01!J10:J12)/SUM(Dat_01!K10:K12))-1)*100</f>
        <v>-1.4684229106258773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8">
        <f>Dat_01!R13/1000</f>
        <v>206.76333799999998</v>
      </c>
      <c r="G21" s="14">
        <f>Dat_01!T13*100</f>
        <v>-10.67591519</v>
      </c>
      <c r="H21" s="138">
        <f>Dat_01!Z13/1000</f>
        <v>259.74817300000001</v>
      </c>
      <c r="I21" s="14">
        <f>Dat_01!AB13*100</f>
        <v>-5.6630911899999994</v>
      </c>
      <c r="J21" s="138" t="s">
        <v>3</v>
      </c>
      <c r="K21" s="14" t="s">
        <v>3</v>
      </c>
      <c r="L21" s="138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8">
        <f>Dat_01!R19/1000</f>
        <v>3.5397620000000001</v>
      </c>
      <c r="G22" s="14">
        <f>Dat_01!T19*100</f>
        <v>2.2148620000000001</v>
      </c>
      <c r="H22" s="138">
        <f>Dat_01!Z19/1000</f>
        <v>0</v>
      </c>
      <c r="I22" s="14" t="s">
        <v>3</v>
      </c>
      <c r="J22" s="138" t="s">
        <v>3</v>
      </c>
      <c r="K22" s="14" t="s">
        <v>3</v>
      </c>
      <c r="L22" s="138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8">
        <f>Dat_01!R20/1000</f>
        <v>12.2750895</v>
      </c>
      <c r="G23" s="14">
        <f>Dat_01!T20*100</f>
        <v>0.38016615000000004</v>
      </c>
      <c r="H23" s="138" t="s">
        <v>3</v>
      </c>
      <c r="I23" s="14" t="s">
        <v>3</v>
      </c>
      <c r="J23" s="138" t="s">
        <v>3</v>
      </c>
      <c r="K23" s="14" t="s">
        <v>3</v>
      </c>
      <c r="L23" s="14">
        <f>Dat_01!J20/1000</f>
        <v>0.54797499999999999</v>
      </c>
      <c r="M23" s="14">
        <f>Dat_01!L20*100</f>
        <v>19.961339159999998</v>
      </c>
      <c r="N23" s="7"/>
      <c r="O23" s="7"/>
    </row>
    <row r="24" spans="3:23" ht="12.75" customHeight="1">
      <c r="C24" s="10"/>
      <c r="E24" s="152" t="s">
        <v>81</v>
      </c>
      <c r="F24" s="140">
        <f>SUM(F16,F20:F23)</f>
        <v>285.94408449999997</v>
      </c>
      <c r="G24" s="156">
        <f>((SUM(Dat_01!R9:R14,Dat_01!R19,Dat_01!R21)/SUM(Dat_01!S9:S14,Dat_01!S19,Dat_01!S21))-1)*100</f>
        <v>-2.8257910022334798</v>
      </c>
      <c r="H24" s="140">
        <f>SUM(H16,H20:H23)</f>
        <v>522.35849400000006</v>
      </c>
      <c r="I24" s="156">
        <f>((SUM(Dat_01!Z9:Z14,Dat_01!Z19,Dat_01!Z21)/SUM(Dat_01!AA9:AA14,Dat_01!AA19,Dat_01!AA21))-1)*100</f>
        <v>-2.60842702423697</v>
      </c>
      <c r="J24" s="140">
        <f>SUM(J16,J20:J23)</f>
        <v>14.826480000000002</v>
      </c>
      <c r="K24" s="156">
        <f>((SUM(Dat_01!B9:B14,Dat_01!B19,Dat_01!B21)/SUM(Dat_01!C9:C14,Dat_01!C19,Dat_01!C21))-1)*100</f>
        <v>4.6143333930969144</v>
      </c>
      <c r="L24" s="140">
        <f>SUM(L16,L20:L23)</f>
        <v>14.916625999999999</v>
      </c>
      <c r="M24" s="156">
        <f>((SUM(Dat_01!J9:J14,Dat_01!J19,Dat_01!J21)/SUM(Dat_01!K9:K14,Dat_01!K19,Dat_01!K21))-1)*100</f>
        <v>-0.81754272276601814</v>
      </c>
      <c r="N24" s="7"/>
      <c r="O24" s="7"/>
    </row>
    <row r="25" spans="3:23" ht="12.75" customHeight="1">
      <c r="C25" s="13"/>
      <c r="E25" s="12" t="s">
        <v>87</v>
      </c>
      <c r="F25" s="141">
        <f>Dat_01!R23/1000</f>
        <v>117.76488400000001</v>
      </c>
      <c r="G25" s="11">
        <f>Dat_01!T23*100</f>
        <v>-0.83993912999999998</v>
      </c>
      <c r="H25" s="141" t="s">
        <v>3</v>
      </c>
      <c r="I25" s="141" t="s">
        <v>3</v>
      </c>
      <c r="J25" s="141" t="s">
        <v>3</v>
      </c>
      <c r="K25" s="141" t="s">
        <v>3</v>
      </c>
      <c r="L25" s="141" t="s">
        <v>3</v>
      </c>
      <c r="M25" s="141" t="s">
        <v>3</v>
      </c>
      <c r="N25" s="7"/>
      <c r="O25" s="7"/>
    </row>
    <row r="26" spans="3:23" ht="16.350000000000001" customHeight="1">
      <c r="C26" s="10"/>
      <c r="E26" s="9" t="s">
        <v>1</v>
      </c>
      <c r="F26" s="142">
        <f>Dat_01!R24/1000</f>
        <v>474.22957700000001</v>
      </c>
      <c r="G26" s="8">
        <f>Dat_01!T24*100</f>
        <v>3.0701883400000001</v>
      </c>
      <c r="H26" s="142">
        <f>Dat_01!Z24/1000</f>
        <v>707.76415300000008</v>
      </c>
      <c r="I26" s="8">
        <f>Dat_01!AB24*100</f>
        <v>0.80790892000000003</v>
      </c>
      <c r="J26" s="142">
        <f>Dat_01!B24/1000</f>
        <v>14.82648</v>
      </c>
      <c r="K26" s="8">
        <f>Dat_01!D24*100</f>
        <v>4.6143333899999996</v>
      </c>
      <c r="L26" s="142">
        <f>Dat_01!J24/1000</f>
        <v>15.472332</v>
      </c>
      <c r="M26" s="8">
        <f>Dat_01!L24*100</f>
        <v>-0.20420547</v>
      </c>
      <c r="N26" s="7"/>
      <c r="O26" s="7"/>
    </row>
    <row r="27" spans="3:23" ht="16.350000000000001" customHeight="1">
      <c r="C27" s="10"/>
      <c r="E27" s="195" t="s">
        <v>56</v>
      </c>
      <c r="F27" s="195"/>
      <c r="G27" s="195"/>
      <c r="H27" s="195"/>
      <c r="I27" s="195"/>
      <c r="J27" s="195"/>
      <c r="K27" s="195"/>
      <c r="L27" s="153"/>
      <c r="M27" s="154"/>
      <c r="N27" s="7"/>
      <c r="O27" s="7"/>
    </row>
    <row r="28" spans="3:23" ht="34.5" customHeight="1">
      <c r="C28" s="10"/>
      <c r="E28" s="196" t="s">
        <v>105</v>
      </c>
      <c r="F28" s="196"/>
      <c r="G28" s="196"/>
      <c r="H28" s="196"/>
      <c r="I28" s="196"/>
      <c r="J28" s="196"/>
      <c r="K28" s="196"/>
      <c r="L28" s="196"/>
      <c r="M28" s="196"/>
      <c r="N28" s="7"/>
      <c r="O28" s="7"/>
    </row>
    <row r="29" spans="3:23" ht="12.75" customHeight="1">
      <c r="C29" s="3"/>
      <c r="D29" s="3"/>
      <c r="E29" s="194" t="s">
        <v>0</v>
      </c>
      <c r="F29" s="194"/>
      <c r="G29" s="194"/>
      <c r="H29" s="194"/>
      <c r="I29" s="194"/>
      <c r="J29" s="194"/>
      <c r="K29" s="194"/>
      <c r="L29" s="194"/>
      <c r="M29" s="194"/>
      <c r="O29" s="6"/>
    </row>
    <row r="30" spans="3:23" ht="12.75" customHeight="1">
      <c r="E30" s="193" t="s">
        <v>82</v>
      </c>
      <c r="F30" s="193"/>
      <c r="G30" s="193"/>
      <c r="H30" s="193"/>
      <c r="I30" s="193"/>
      <c r="J30" s="193"/>
      <c r="K30" s="193"/>
      <c r="L30" s="193"/>
      <c r="M30" s="193"/>
    </row>
    <row r="31" spans="3:23" ht="12.75" customHeight="1">
      <c r="C31" s="3"/>
      <c r="D31" s="3"/>
      <c r="E31" s="193" t="s">
        <v>85</v>
      </c>
      <c r="F31" s="193"/>
      <c r="G31" s="193"/>
      <c r="H31" s="193"/>
      <c r="I31" s="193"/>
      <c r="J31" s="193"/>
      <c r="K31" s="193"/>
      <c r="L31" s="193"/>
      <c r="M31" s="193"/>
    </row>
    <row r="32" spans="3:23" ht="12.75" customHeight="1">
      <c r="E32" s="193" t="s">
        <v>86</v>
      </c>
      <c r="F32" s="193"/>
      <c r="G32" s="193"/>
      <c r="H32" s="193"/>
      <c r="I32" s="193"/>
      <c r="J32" s="193"/>
      <c r="K32" s="193"/>
      <c r="L32" s="193"/>
      <c r="M32" s="193"/>
    </row>
    <row r="33" spans="3:13" ht="12.75" customHeight="1">
      <c r="E33" s="193"/>
      <c r="F33" s="193"/>
      <c r="G33" s="193"/>
      <c r="H33" s="193"/>
      <c r="I33" s="193"/>
      <c r="J33" s="193"/>
      <c r="K33" s="193"/>
      <c r="L33" s="193"/>
      <c r="M33" s="193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K18" sqref="K18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Mayo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31</v>
      </c>
      <c r="D7" s="39"/>
      <c r="E7" s="43"/>
    </row>
    <row r="8" spans="2:12" s="33" customFormat="1" ht="12.75" customHeight="1">
      <c r="B8" s="41"/>
      <c r="C8" s="197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4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7" t="s">
        <v>28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Mayo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32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28515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7109375" style="31" customWidth="1"/>
    <col min="6" max="6" width="11.42578125" style="30"/>
    <col min="7" max="7" width="19.7109375" style="30" customWidth="1"/>
    <col min="8" max="9" width="11.42578125" style="30"/>
    <col min="10" max="10" width="11" style="30" bestFit="1" customWidth="1"/>
    <col min="11" max="253" width="11.42578125" style="30"/>
    <col min="254" max="254" width="0.28515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7109375" style="30" customWidth="1"/>
    <col min="259" max="260" width="11.42578125" style="30"/>
    <col min="261" max="261" width="2.28515625" style="30" customWidth="1"/>
    <col min="262" max="262" width="11.42578125" style="30"/>
    <col min="263" max="263" width="9.5703125" style="30" customWidth="1"/>
    <col min="264" max="509" width="11.42578125" style="30"/>
    <col min="510" max="510" width="0.28515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7109375" style="30" customWidth="1"/>
    <col min="515" max="516" width="11.42578125" style="30"/>
    <col min="517" max="517" width="2.28515625" style="30" customWidth="1"/>
    <col min="518" max="518" width="11.42578125" style="30"/>
    <col min="519" max="519" width="9.5703125" style="30" customWidth="1"/>
    <col min="520" max="765" width="11.42578125" style="30"/>
    <col min="766" max="766" width="0.28515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7109375" style="30" customWidth="1"/>
    <col min="771" max="772" width="11.42578125" style="30"/>
    <col min="773" max="773" width="2.28515625" style="30" customWidth="1"/>
    <col min="774" max="774" width="11.42578125" style="30"/>
    <col min="775" max="775" width="9.5703125" style="30" customWidth="1"/>
    <col min="776" max="1021" width="11.42578125" style="30"/>
    <col min="1022" max="1022" width="0.28515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7109375" style="30" customWidth="1"/>
    <col min="1027" max="1028" width="11.42578125" style="30"/>
    <col min="1029" max="1029" width="2.28515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28515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7109375" style="30" customWidth="1"/>
    <col min="1283" max="1284" width="11.42578125" style="30"/>
    <col min="1285" max="1285" width="2.28515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28515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7109375" style="30" customWidth="1"/>
    <col min="1539" max="1540" width="11.42578125" style="30"/>
    <col min="1541" max="1541" width="2.28515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28515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7109375" style="30" customWidth="1"/>
    <col min="1795" max="1796" width="11.42578125" style="30"/>
    <col min="1797" max="1797" width="2.28515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28515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7109375" style="30" customWidth="1"/>
    <col min="2051" max="2052" width="11.42578125" style="30"/>
    <col min="2053" max="2053" width="2.28515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28515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7109375" style="30" customWidth="1"/>
    <col min="2307" max="2308" width="11.42578125" style="30"/>
    <col min="2309" max="2309" width="2.28515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28515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7109375" style="30" customWidth="1"/>
    <col min="2563" max="2564" width="11.42578125" style="30"/>
    <col min="2565" max="2565" width="2.28515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28515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7109375" style="30" customWidth="1"/>
    <col min="2819" max="2820" width="11.42578125" style="30"/>
    <col min="2821" max="2821" width="2.28515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28515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7109375" style="30" customWidth="1"/>
    <col min="3075" max="3076" width="11.42578125" style="30"/>
    <col min="3077" max="3077" width="2.28515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28515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7109375" style="30" customWidth="1"/>
    <col min="3331" max="3332" width="11.42578125" style="30"/>
    <col min="3333" max="3333" width="2.28515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28515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7109375" style="30" customWidth="1"/>
    <col min="3587" max="3588" width="11.42578125" style="30"/>
    <col min="3589" max="3589" width="2.28515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28515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7109375" style="30" customWidth="1"/>
    <col min="3843" max="3844" width="11.42578125" style="30"/>
    <col min="3845" max="3845" width="2.28515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28515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7109375" style="30" customWidth="1"/>
    <col min="4099" max="4100" width="11.42578125" style="30"/>
    <col min="4101" max="4101" width="2.28515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28515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7109375" style="30" customWidth="1"/>
    <col min="4355" max="4356" width="11.42578125" style="30"/>
    <col min="4357" max="4357" width="2.28515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28515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7109375" style="30" customWidth="1"/>
    <col min="4611" max="4612" width="11.42578125" style="30"/>
    <col min="4613" max="4613" width="2.28515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28515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7109375" style="30" customWidth="1"/>
    <col min="4867" max="4868" width="11.42578125" style="30"/>
    <col min="4869" max="4869" width="2.28515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28515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7109375" style="30" customWidth="1"/>
    <col min="5123" max="5124" width="11.42578125" style="30"/>
    <col min="5125" max="5125" width="2.28515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28515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7109375" style="30" customWidth="1"/>
    <col min="5379" max="5380" width="11.42578125" style="30"/>
    <col min="5381" max="5381" width="2.28515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28515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7109375" style="30" customWidth="1"/>
    <col min="5635" max="5636" width="11.42578125" style="30"/>
    <col min="5637" max="5637" width="2.28515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28515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7109375" style="30" customWidth="1"/>
    <col min="5891" max="5892" width="11.42578125" style="30"/>
    <col min="5893" max="5893" width="2.28515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28515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7109375" style="30" customWidth="1"/>
    <col min="6147" max="6148" width="11.42578125" style="30"/>
    <col min="6149" max="6149" width="2.28515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28515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7109375" style="30" customWidth="1"/>
    <col min="6403" max="6404" width="11.42578125" style="30"/>
    <col min="6405" max="6405" width="2.28515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28515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7109375" style="30" customWidth="1"/>
    <col min="6659" max="6660" width="11.42578125" style="30"/>
    <col min="6661" max="6661" width="2.28515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28515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7109375" style="30" customWidth="1"/>
    <col min="6915" max="6916" width="11.42578125" style="30"/>
    <col min="6917" max="6917" width="2.28515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28515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7109375" style="30" customWidth="1"/>
    <col min="7171" max="7172" width="11.42578125" style="30"/>
    <col min="7173" max="7173" width="2.28515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28515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7109375" style="30" customWidth="1"/>
    <col min="7427" max="7428" width="11.42578125" style="30"/>
    <col min="7429" max="7429" width="2.28515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28515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7109375" style="30" customWidth="1"/>
    <col min="7683" max="7684" width="11.42578125" style="30"/>
    <col min="7685" max="7685" width="2.28515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28515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7109375" style="30" customWidth="1"/>
    <col min="7939" max="7940" width="11.42578125" style="30"/>
    <col min="7941" max="7941" width="2.28515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28515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7109375" style="30" customWidth="1"/>
    <col min="8195" max="8196" width="11.42578125" style="30"/>
    <col min="8197" max="8197" width="2.28515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28515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7109375" style="30" customWidth="1"/>
    <col min="8451" max="8452" width="11.42578125" style="30"/>
    <col min="8453" max="8453" width="2.28515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28515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7109375" style="30" customWidth="1"/>
    <col min="8707" max="8708" width="11.42578125" style="30"/>
    <col min="8709" max="8709" width="2.28515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28515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7109375" style="30" customWidth="1"/>
    <col min="8963" max="8964" width="11.42578125" style="30"/>
    <col min="8965" max="8965" width="2.28515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28515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7109375" style="30" customWidth="1"/>
    <col min="9219" max="9220" width="11.42578125" style="30"/>
    <col min="9221" max="9221" width="2.28515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28515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7109375" style="30" customWidth="1"/>
    <col min="9475" max="9476" width="11.42578125" style="30"/>
    <col min="9477" max="9477" width="2.28515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28515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7109375" style="30" customWidth="1"/>
    <col min="9731" max="9732" width="11.42578125" style="30"/>
    <col min="9733" max="9733" width="2.28515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28515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7109375" style="30" customWidth="1"/>
    <col min="9987" max="9988" width="11.42578125" style="30"/>
    <col min="9989" max="9989" width="2.28515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28515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7109375" style="30" customWidth="1"/>
    <col min="10243" max="10244" width="11.42578125" style="30"/>
    <col min="10245" max="10245" width="2.28515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28515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7109375" style="30" customWidth="1"/>
    <col min="10499" max="10500" width="11.42578125" style="30"/>
    <col min="10501" max="10501" width="2.28515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28515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7109375" style="30" customWidth="1"/>
    <col min="10755" max="10756" width="11.42578125" style="30"/>
    <col min="10757" max="10757" width="2.28515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28515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7109375" style="30" customWidth="1"/>
    <col min="11011" max="11012" width="11.42578125" style="30"/>
    <col min="11013" max="11013" width="2.28515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28515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7109375" style="30" customWidth="1"/>
    <col min="11267" max="11268" width="11.42578125" style="30"/>
    <col min="11269" max="11269" width="2.28515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28515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7109375" style="30" customWidth="1"/>
    <col min="11523" max="11524" width="11.42578125" style="30"/>
    <col min="11525" max="11525" width="2.28515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28515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7109375" style="30" customWidth="1"/>
    <col min="11779" max="11780" width="11.42578125" style="30"/>
    <col min="11781" max="11781" width="2.28515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28515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7109375" style="30" customWidth="1"/>
    <col min="12035" max="12036" width="11.42578125" style="30"/>
    <col min="12037" max="12037" width="2.28515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28515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7109375" style="30" customWidth="1"/>
    <col min="12291" max="12292" width="11.42578125" style="30"/>
    <col min="12293" max="12293" width="2.28515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28515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7109375" style="30" customWidth="1"/>
    <col min="12547" max="12548" width="11.42578125" style="30"/>
    <col min="12549" max="12549" width="2.28515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28515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7109375" style="30" customWidth="1"/>
    <col min="12803" max="12804" width="11.42578125" style="30"/>
    <col min="12805" max="12805" width="2.28515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28515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7109375" style="30" customWidth="1"/>
    <col min="13059" max="13060" width="11.42578125" style="30"/>
    <col min="13061" max="13061" width="2.28515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28515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7109375" style="30" customWidth="1"/>
    <col min="13315" max="13316" width="11.42578125" style="30"/>
    <col min="13317" max="13317" width="2.28515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28515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7109375" style="30" customWidth="1"/>
    <col min="13571" max="13572" width="11.42578125" style="30"/>
    <col min="13573" max="13573" width="2.28515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28515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7109375" style="30" customWidth="1"/>
    <col min="13827" max="13828" width="11.42578125" style="30"/>
    <col min="13829" max="13829" width="2.28515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28515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7109375" style="30" customWidth="1"/>
    <col min="14083" max="14084" width="11.42578125" style="30"/>
    <col min="14085" max="14085" width="2.28515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28515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7109375" style="30" customWidth="1"/>
    <col min="14339" max="14340" width="11.42578125" style="30"/>
    <col min="14341" max="14341" width="2.28515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28515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7109375" style="30" customWidth="1"/>
    <col min="14595" max="14596" width="11.42578125" style="30"/>
    <col min="14597" max="14597" width="2.28515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28515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7109375" style="30" customWidth="1"/>
    <col min="14851" max="14852" width="11.42578125" style="30"/>
    <col min="14853" max="14853" width="2.28515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28515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7109375" style="30" customWidth="1"/>
    <col min="15107" max="15108" width="11.42578125" style="30"/>
    <col min="15109" max="15109" width="2.28515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28515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7109375" style="30" customWidth="1"/>
    <col min="15363" max="15364" width="11.42578125" style="30"/>
    <col min="15365" max="15365" width="2.28515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28515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7109375" style="30" customWidth="1"/>
    <col min="15619" max="15620" width="11.42578125" style="30"/>
    <col min="15621" max="15621" width="2.28515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28515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7109375" style="30" customWidth="1"/>
    <col min="15875" max="15876" width="11.42578125" style="30"/>
    <col min="15877" max="15877" width="2.28515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28515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7109375" style="30" customWidth="1"/>
    <col min="16131" max="16132" width="11.42578125" style="30"/>
    <col min="16133" max="16133" width="2.28515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Mayo 2024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7" t="s">
        <v>35</v>
      </c>
      <c r="D7" s="39"/>
      <c r="E7" s="43"/>
    </row>
    <row r="8" spans="2:12" s="33" customFormat="1" ht="12.75" customHeight="1">
      <c r="B8" s="41"/>
      <c r="C8" s="197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8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0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7" t="s">
        <v>49</v>
      </c>
      <c r="E24" s="37"/>
      <c r="J24" s="33"/>
      <c r="K24" s="33"/>
    </row>
    <row r="25" spans="2:12">
      <c r="C25" s="197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28515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28515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28515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28515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28515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28515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28515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28515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28515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28515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28515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28515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28515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28515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28515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28515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28515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28515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28515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28515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28515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28515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28515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28515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28515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28515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28515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28515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28515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28515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28515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28515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28515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28515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28515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28515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28515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28515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28515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28515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28515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28515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28515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28515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28515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28515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28515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28515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28515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28515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28515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28515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28515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28515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28515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28515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28515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28515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28515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28515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28515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28515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28515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28515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Mayo 2024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8" t="s">
        <v>36</v>
      </c>
      <c r="D7" s="58"/>
      <c r="E7" s="62"/>
    </row>
    <row r="8" spans="1:20" ht="12.75" customHeight="1">
      <c r="A8" s="61"/>
      <c r="B8" s="60"/>
      <c r="C8" s="198"/>
      <c r="D8" s="58"/>
      <c r="E8" s="62"/>
      <c r="F8" s="57"/>
    </row>
    <row r="9" spans="1:20" ht="12.75" customHeight="1">
      <c r="A9" s="61"/>
      <c r="B9" s="60"/>
      <c r="C9" s="198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49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2024-06-12T10:56:57Z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