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MAY\INF_ELABORADA\"/>
    </mc:Choice>
  </mc:AlternateContent>
  <xr:revisionPtr revIDLastSave="0" documentId="13_ncr:1_{CF2C228F-8D00-47F3-9FC3-E2F86620D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Dat_01!$A$85:$T$114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8" l="1"/>
  <c r="G68" i="18" l="1"/>
  <c r="B26" i="18"/>
  <c r="I17" i="22"/>
  <c r="G17" i="22"/>
  <c r="H17" i="22"/>
  <c r="I13" i="22"/>
  <c r="M20" i="22"/>
  <c r="K20" i="22"/>
  <c r="M18" i="22"/>
  <c r="M12" i="22"/>
  <c r="I9" i="22"/>
  <c r="C47" i="18" l="1"/>
  <c r="C68" i="18" l="1"/>
  <c r="K18" i="22" l="1"/>
  <c r="B56" i="18" l="1"/>
  <c r="C72" i="18" l="1"/>
  <c r="G52" i="18" l="1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s="1"/>
  <c r="B79" i="18" l="1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44" i="18" s="1"/>
  <c r="O136" i="18" l="1"/>
  <c r="O135" i="18"/>
  <c r="O140" i="18"/>
  <c r="O142" i="18"/>
  <c r="O141" i="18"/>
  <c r="O143" i="18"/>
  <c r="O119" i="18"/>
  <c r="C26" i="18" l="1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J20" i="22" l="1"/>
  <c r="J24" i="22" s="1"/>
  <c r="L20" i="22"/>
  <c r="L24" i="22" s="1"/>
  <c r="L15" i="22"/>
  <c r="H15" i="22"/>
  <c r="F15" i="22"/>
  <c r="F24" i="22"/>
  <c r="H20" i="22"/>
  <c r="I20" i="22" s="1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9" i="18"/>
  <c r="O138" i="18"/>
  <c r="O137" i="18"/>
  <c r="O146" i="18" s="1"/>
  <c r="N117" i="18"/>
  <c r="N144" i="18" s="1"/>
  <c r="O121" i="18"/>
  <c r="O122" i="18"/>
  <c r="O124" i="18"/>
  <c r="O125" i="18"/>
  <c r="O126" i="18"/>
  <c r="O127" i="18"/>
  <c r="O128" i="18"/>
  <c r="O129" i="18"/>
  <c r="O130" i="18"/>
  <c r="O131" i="18"/>
  <c r="O132" i="18"/>
  <c r="N140" i="18" l="1"/>
  <c r="N142" i="18"/>
  <c r="N141" i="18"/>
  <c r="N143" i="18"/>
  <c r="N136" i="18"/>
  <c r="O133" i="18"/>
  <c r="N120" i="18"/>
  <c r="N123" i="18"/>
  <c r="N135" i="18"/>
  <c r="N137" i="18"/>
  <c r="N138" i="18"/>
  <c r="N139" i="18"/>
  <c r="M117" i="18"/>
  <c r="M144" i="18" s="1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M140" i="18" l="1"/>
  <c r="M142" i="18"/>
  <c r="M141" i="18"/>
  <c r="M143" i="18"/>
  <c r="M136" i="18"/>
  <c r="M120" i="18"/>
  <c r="M123" i="18"/>
  <c r="N133" i="18"/>
  <c r="N146" i="18"/>
  <c r="M135" i="18"/>
  <c r="M137" i="18"/>
  <c r="M138" i="18"/>
  <c r="M139" i="18"/>
  <c r="L117" i="18"/>
  <c r="L144" i="18" s="1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41" i="18" l="1"/>
  <c r="L143" i="18"/>
  <c r="L136" i="18"/>
  <c r="L140" i="18"/>
  <c r="L142" i="18"/>
  <c r="L123" i="18"/>
  <c r="L120" i="18"/>
  <c r="M133" i="18"/>
  <c r="M146" i="18"/>
  <c r="L135" i="18"/>
  <c r="L137" i="18"/>
  <c r="L138" i="18"/>
  <c r="L139" i="18"/>
  <c r="K117" i="18"/>
  <c r="K144" i="18" s="1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41" i="18" l="1"/>
  <c r="K143" i="18"/>
  <c r="K136" i="18"/>
  <c r="K142" i="18"/>
  <c r="K140" i="18"/>
  <c r="K120" i="18"/>
  <c r="K123" i="18"/>
  <c r="L133" i="18"/>
  <c r="E3" i="13"/>
  <c r="K135" i="18"/>
  <c r="K139" i="18"/>
  <c r="K138" i="18"/>
  <c r="K137" i="18"/>
  <c r="J117" i="18"/>
  <c r="J144" i="18" s="1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J141" i="18" l="1"/>
  <c r="J143" i="18"/>
  <c r="J136" i="18"/>
  <c r="J140" i="18"/>
  <c r="J142" i="18"/>
  <c r="H55" i="18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7" i="18"/>
  <c r="J138" i="18"/>
  <c r="J139" i="18"/>
  <c r="I117" i="18"/>
  <c r="I144" i="18" s="1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41" i="18" l="1"/>
  <c r="I143" i="18"/>
  <c r="I136" i="18"/>
  <c r="I142" i="18"/>
  <c r="I140" i="18"/>
  <c r="I120" i="18"/>
  <c r="I123" i="18"/>
  <c r="J133" i="18"/>
  <c r="J146" i="18"/>
  <c r="I135" i="18"/>
  <c r="I137" i="18"/>
  <c r="I138" i="18"/>
  <c r="I139" i="18"/>
  <c r="H117" i="18"/>
  <c r="H144" i="18" s="1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43" i="18" l="1"/>
  <c r="H136" i="18"/>
  <c r="H140" i="18"/>
  <c r="H142" i="18"/>
  <c r="H141" i="18"/>
  <c r="H123" i="18"/>
  <c r="H120" i="18"/>
  <c r="I133" i="18"/>
  <c r="H135" i="18"/>
  <c r="H137" i="18"/>
  <c r="H138" i="18"/>
  <c r="H139" i="18"/>
  <c r="I146" i="18"/>
  <c r="G117" i="18"/>
  <c r="G144" i="18" s="1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43" i="18" l="1"/>
  <c r="G140" i="18"/>
  <c r="G142" i="18"/>
  <c r="G141" i="18"/>
  <c r="G136" i="18"/>
  <c r="G123" i="18"/>
  <c r="G120" i="18"/>
  <c r="H133" i="18"/>
  <c r="H146" i="18"/>
  <c r="G138" i="18"/>
  <c r="G137" i="18"/>
  <c r="G135" i="18"/>
  <c r="G139" i="18"/>
  <c r="F117" i="18"/>
  <c r="F144" i="18" s="1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40" i="18" l="1"/>
  <c r="F142" i="18"/>
  <c r="F141" i="18"/>
  <c r="F143" i="18"/>
  <c r="F136" i="18"/>
  <c r="F120" i="18"/>
  <c r="F123" i="18"/>
  <c r="G133" i="18"/>
  <c r="G146" i="18"/>
  <c r="F135" i="18"/>
  <c r="F137" i="18"/>
  <c r="F138" i="18"/>
  <c r="F139" i="18"/>
  <c r="E117" i="18"/>
  <c r="E144" i="18" s="1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42" i="18" l="1"/>
  <c r="E141" i="18"/>
  <c r="E143" i="18"/>
  <c r="E136" i="18"/>
  <c r="E140" i="18"/>
  <c r="E120" i="18"/>
  <c r="E123" i="18"/>
  <c r="F133" i="18"/>
  <c r="E135" i="18"/>
  <c r="E137" i="18"/>
  <c r="E138" i="18"/>
  <c r="E139" i="18"/>
  <c r="F146" i="18"/>
  <c r="D117" i="18"/>
  <c r="D144" i="18" s="1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42" i="18" l="1"/>
  <c r="D141" i="18"/>
  <c r="D143" i="18"/>
  <c r="D136" i="18"/>
  <c r="D140" i="18"/>
  <c r="D123" i="18"/>
  <c r="D120" i="18"/>
  <c r="E133" i="18"/>
  <c r="E146" i="18"/>
  <c r="D135" i="18"/>
  <c r="D137" i="18"/>
  <c r="D138" i="18"/>
  <c r="D139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C144" i="18" l="1"/>
  <c r="C119" i="18"/>
  <c r="C135" i="18"/>
  <c r="C132" i="18"/>
  <c r="C130" i="18"/>
  <c r="C141" i="18"/>
  <c r="C120" i="18"/>
  <c r="C136" i="18"/>
  <c r="C142" i="18"/>
  <c r="C139" i="18"/>
  <c r="C140" i="18"/>
  <c r="C122" i="18"/>
  <c r="C143" i="18"/>
  <c r="D133" i="18"/>
  <c r="C123" i="18"/>
  <c r="D146" i="18"/>
  <c r="C131" i="18"/>
  <c r="C125" i="18"/>
  <c r="C121" i="18"/>
  <c r="C138" i="18"/>
  <c r="C137" i="18"/>
  <c r="C127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<sst xmlns="http://schemas.openxmlformats.org/spreadsheetml/2006/main" count="427" uniqueCount="131">
  <si>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</si>
  <si>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</si>
  <si>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</si>
  <si>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</si>
  <si>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</si>
  <si>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</si>
  <si>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</si>
  <si>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</si>
  <si>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</si>
  <si>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</si>
  <si>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</si>
  <si>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</si>
  <si>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</si>
  <si>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</si>
  <si>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</si>
  <si>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</si>
  <si>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</si>
  <si>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</si>
  <si>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</si>
  <si>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</si>
  <si>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</si>
  <si>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</si>
  <si>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</si>
  <si>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</si>
  <si>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</si>
  <si>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</si>
  <si>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</si>
  <si>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</si>
  <si>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</si>
  <si>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</si>
  <si>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</si>
  <si>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</si>
  <si>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</si>
  <si>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</si>
  <si>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</si>
  <si>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</si>
  <si>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</si>
  <si>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</si>
  <si>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</si>
  <si>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</si>
  <si>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</si>
  <si>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</si>
  <si>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</si>
  <si>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</si>
  <si>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</si>
  <si>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</si>
  <si>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</si>
  <si>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</si>
  <si>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</si>
  <si>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</si>
  <si>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</si>
  <si>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</si>
  <si>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</si>
  <si>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</si>
  <si>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</si>
  <si>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</si>
  <si>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</si>
  <si>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</si>
  <si>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</si>
  <si>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</si>
  <si>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</si>
  <si>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</si>
  <si>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</si>
  <si>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</si>
  <si>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</si>
  <si>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</si>
  <si>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</si>
  <si>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</si>
  <si>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</si>
  <si>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</si>
  <si>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</si>
  <si>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</si>
  <si>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</si>
  <si>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</si>
  <si>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</si>
  <si>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</si>
  <si>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</si>
  <si>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</si>
  <si>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</si>
  <si>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</si>
  <si>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</si>
  <si>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</si>
  <si>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</si>
  <si>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</si>
  <si>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</si>
  <si>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</si>
  <si>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</si>
  <si>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</si>
  <si>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</si>
  <si>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</si>
  <si>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</si>
  <si>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</si>
  <si>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</si>
  <si>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</si>
  <si>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</si>
  <si>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</si>
  <si>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</si>
  <si>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</si>
  <si>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</si>
  <si>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</si>
  <si>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</si>
  <si>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</si>
  <si>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</si>
  <si>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</si>
  <si>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</si>
  <si>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</si>
  <si>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</si>
  <si>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</si>
  <si>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</si>
  <si>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</si>
  <si>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</si>
  <si>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</si>
  <si>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</si>
  <si>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</si>
  <si>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</si>
  <si>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</si>
  <si>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</si>
  <si>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</si>
  <si>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2023</t>
  </si>
  <si>
    <t>Febrero 2023</t>
  </si>
  <si>
    <t>Marzo 2023</t>
  </si>
  <si>
    <t>Abril 2023</t>
  </si>
  <si>
    <t>Mayo 2023</t>
  </si>
  <si>
    <t>31/05/2023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</si>
  <si>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10:44:32"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msgID="9E1011E211EE06B278270080EF85A454"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</si>
  <si>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ut="06/09/2023 10:56:05"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msgID="C072B07311EE06B378270080EF95C250"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nrr="1326" nrc="2496"&gt;&lt;pg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</si>
  <si>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Junio 2023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</si>
  <si>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ut="06/09/2023 11:01:52" si="2.000000013da963302754d5d2bffdc6ffd2777b0b28260ce9a05e7d2c077c6ad9729d78b8bf34374932d1e445fc5eb0938d952f257a3abdb6ca190c3e16c304e97717f69e9b9e9d4694cdb9b1264f6711f8335469299bb51e96a9025a0ad2cded959631767a59a8f0ec2318d9e7339ad9cc4eeb8df53e9dcb4802b977eee325c0df59c8f346ed9ee537ad28ed59c0d8da9cd72e380eb9b656a6c01815f15b59cb0d25.p.3082.0.1.Europe/Madrid.upriv*_1*_pidn2*_36*_session*-lat*_1.0000000161e11191f9965f2b1d73b89f84aa91d9bc6025e097cbe7a04001c2065b16434e25acb0f8911854e3d26d8fb6f33c712c4f9ae56f.00000001a931c39f185c02e1482851dc88d46995bc6025e09cd2f94ddf694b94e424f938007b74e1b0a0e13bb61414684bb265c0663985bd.0.1.1.BDEbi.D066E1C611E6257C10D00080EF253B44.0-3082.1.1_-0.1.0_-3082.1.1_5.5.0.*0.0000000118a73fa194bde8d97f2ad3c1af23d048c911585a514cedc380ede741d47c756c706b66d6.0.23.11*.2*.0400*.31152J.e.000000013fea5705374a7c84a4c5633d72182bf8c911585ad6f0f079d0fcb3f25e71ea20bd5bc2aa.0.10*.131*.122*.122.0.0" msgID="6021A84F11EE06B478270080EF85A454"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rows="30" cols="20" /&gt;&lt;esdo ews="" ece="" ptn="" /&gt;&lt;/excel&gt;&lt;pgs&gt;&lt;pg rows="27" cols="18" nrr="1899" nrc="1463"&gt;&lt;pg /&gt;&lt;bls&gt;&lt;bl sr="1" sc="1" rfetch="27" cfetch="18" posid="1" darows="0" dacols="1"&gt;&lt;excel&gt;&lt;epo ews="Dat_01" ece="A85" enr="MSTR.Serie_Balance_B.C._Mensual_Baleares_y_Canarias" ptn="" qtn="" rows="30" cols="20" /&gt;&lt;esdo ews="" ece="" ptn="" /&gt;&lt;/excel&gt;&lt;gridRng&gt;&lt;sect id="TITLE_AREA" rngprop="1:1:3:2" /&gt;&lt;sect id="ROWHEADERS_AREA" rngprop="4:1:27:2" /&gt;&lt;sect id="COLUMNHEADERS_AREA" rngprop="1:3:3:18" /&gt;&lt;sect id="DATA_AREA" rngprop="4:3:27:18"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</si>
  <si>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ut="06/09/2023 11:04:07" si="2.00000001160b42f1755d2739cf9debbc439c2724591a3343f292cb6074553a37346e8a4298c1999b90e7bceca2c003ab67a588826f615cb4795c36509c951420aced94b555e721b3d2905f569070d7ba53b8204d745a7145f9026f70906faceda0420c7868238ee866973792361c682d1355dc0ce4bc87f6cc47184b76e35f628ace103b0ec99ff9e4b5dc62298694c71adb864163c5fdc825f80f5985e4e8355f9a.p.3082.0.1.Europe/Madrid.upriv*_1*_pidn2*_37*_session*-lat*_1.00000001d9f1b9512fefe929dd9e0b0f91b20fc1bc6025e02f30bce2b1be8081b231d4b8c26aca13d08074e8eababd3cd8fb015ce7089f10.00000001885117a81169a7f6b7c37d489eaa20cfbc6025e015c166ebc2520b8bc4a3cc57212ee524b5b4e217e3686eae43a6ee25a1ef26f2.0.1.1.BDEbi.D066E1C611E6257C10D00080EF253B44.0-3082.1.1_-0.1.0_-3082.1.1_5.5.0.*0.0000000142bdb2ee09e9892cd9cd0491d952e2bfc911585a38b42fb186ff6fb15f46ff14d301fba8.0.23.11*.2*.0400*.31152J.e.000000015e3013028304b2dc33eaa3a7bcee82a9c911585a83b53ec125a4b0a2554c873c996aa1e7.0.10*.131*.122*.122.0.0" msgID="4FF1A38911EE06B578270080EF95C352"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nrr="104" nrc="684"&gt;&lt;pg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</si>
  <si>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95b5c624dd1149ad88e622766891ebf6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</si>
  <si>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ut="06/09/2023 11:04:38" si="2.00000001160b42f1755d2739cf9debbc439c2724591a3343f292cb6074553a37346e8a4298c1999b90e7bceca2c003ab67a588826f615cb4795c36509c951420aced94b555e721b3d2905f569070d7ba53b8204d745a7145f9026f70906faceda0420c7868238ee866973792361c682d1355dc0ce4bc87f6cc47184b76e35f628ace103b0ec99ff9e4b5dc62298694c71adb864163c5fdc825f80f5985e4e8355f9a.p.3082.0.1.Europe/Madrid.upriv*_1*_pidn2*_37*_session*-lat*_1.00000001d9f1b9512fefe929dd9e0b0f91b20fc1bc6025e02f30bce2b1be8081b231d4b8c26aca13d08074e8eababd3cd8fb015ce7089f10.00000001885117a81169a7f6b7c37d489eaa20cfbc6025e015c166ebc2520b8bc4a3cc57212ee524b5b4e217e3686eae43a6ee25a1ef26f2.0.1.1.BDEbi.D066E1C611E6257C10D00080EF253B44.0-3082.1.1_-0.1.0_-3082.1.1_5.5.0.*0.0000000142bdb2ee09e9892cd9cd0491d952e2bfc911585a38b42fb186ff6fb15f46ff14d301fba8.0.23.11*.2*.0400*.31152J.e.000000015e3013028304b2dc33eaa3a7bcee82a9c911585a83b53ec125a4b0a2554c873c996aa1e7.0.10*.131*.122*.122.0.0" msgID="659AE7BC11EE06B578270080EFE56350"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nrr="59" nrc="720"&gt;&lt;pg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</si>
</sst>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  <numFmt numFmtId="173" formatCode="0.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3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17">
    <xf numFmtId="0" fontId="0" fillId="0" borderId="0" xfId="0"/>
    <xf numFmtId="0" fontId="2" fillId="0" borderId="0" xfId="1" applyFont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Font="1" applyAlignment="1">
      <alignment vertical="center" wrapText="1"/>
    </xf>
    <xf numFmtId="3" fontId="2" fillId="0" borderId="0" xfId="1" applyNumberFormat="1" applyFont="1"/>
    <xf numFmtId="164" fontId="4" fillId="0" borderId="0" xfId="1" applyNumberFormat="1" applyFont="1"/>
    <xf numFmtId="165" fontId="7" fillId="2" borderId="1" xfId="3" applyNumberFormat="1" applyFont="1" applyFill="1" applyBorder="1" applyAlignment="1">
      <alignment horizontal="right" indent="1"/>
    </xf>
    <xf numFmtId="3" fontId="7" fillId="2" borderId="1" xfId="1" applyNumberFormat="1" applyFont="1" applyFill="1" applyBorder="1" applyAlignment="1">
      <alignment horizontal="left"/>
    </xf>
    <xf numFmtId="0" fontId="2" fillId="0" borderId="0" xfId="1" applyFont="1" applyAlignment="1">
      <alignment vertical="top"/>
    </xf>
    <xf numFmtId="165" fontId="5" fillId="2" borderId="1" xfId="3" applyNumberFormat="1" applyFont="1" applyFill="1" applyBorder="1" applyAlignment="1">
      <alignment horizontal="right" indent="1"/>
    </xf>
    <xf numFmtId="165" fontId="5" fillId="2" borderId="1" xfId="2" applyNumberFormat="1" applyFont="1" applyFill="1" applyBorder="1" applyAlignment="1">
      <alignment horizontal="left"/>
    </xf>
    <xf numFmtId="0" fontId="2" fillId="0" borderId="0" xfId="1" applyFont="1" applyAlignment="1">
      <alignment vertical="center"/>
    </xf>
    <xf numFmtId="165" fontId="5" fillId="2" borderId="0" xfId="3" applyNumberFormat="1" applyFont="1" applyFill="1" applyAlignment="1">
      <alignment horizontal="right" indent="1"/>
    </xf>
    <xf numFmtId="166" fontId="5" fillId="2" borderId="0" xfId="4" applyFont="1" applyFill="1" applyAlignment="1">
      <alignment horizontal="left"/>
    </xf>
    <xf numFmtId="165" fontId="2" fillId="0" borderId="0" xfId="1" applyNumberFormat="1" applyFont="1"/>
    <xf numFmtId="165" fontId="5" fillId="2" borderId="0" xfId="2" applyNumberFormat="1" applyFont="1" applyFill="1" applyAlignment="1">
      <alignment horizontal="left"/>
    </xf>
    <xf numFmtId="3" fontId="4" fillId="0" borderId="0" xfId="1" applyNumberFormat="1" applyFont="1"/>
    <xf numFmtId="0" fontId="8" fillId="0" borderId="0" xfId="1" applyFont="1" applyAlignment="1">
      <alignment vertical="top" wrapText="1"/>
    </xf>
    <xf numFmtId="165" fontId="9" fillId="2" borderId="0" xfId="3" applyNumberFormat="1" applyFont="1" applyFill="1" applyAlignment="1">
      <alignment horizontal="right" indent="1"/>
    </xf>
    <xf numFmtId="0" fontId="9" fillId="2" borderId="0" xfId="2" applyFont="1" applyFill="1" applyAlignment="1">
      <alignment horizontal="left" indent="1"/>
    </xf>
    <xf numFmtId="0" fontId="10" fillId="0" borderId="0" xfId="1" applyFont="1"/>
    <xf numFmtId="0" fontId="4" fillId="0" borderId="0" xfId="1" applyFont="1"/>
    <xf numFmtId="3" fontId="11" fillId="3" borderId="2" xfId="1" applyNumberFormat="1" applyFont="1" applyFill="1" applyBorder="1" applyAlignment="1">
      <alignment horizontal="right" indent="1"/>
    </xf>
    <xf numFmtId="0" fontId="12" fillId="3" borderId="2" xfId="2" applyFont="1" applyFill="1" applyBorder="1" applyAlignment="1">
      <alignment horizontal="center"/>
    </xf>
    <xf numFmtId="0" fontId="12" fillId="3" borderId="0" xfId="2" applyFont="1" applyFill="1" applyAlignment="1">
      <alignment horizontal="center"/>
    </xf>
    <xf numFmtId="166" fontId="14" fillId="0" borderId="0" xfId="4" applyFont="1"/>
    <xf numFmtId="166" fontId="14" fillId="0" borderId="0" xfId="4" applyFont="1" applyAlignment="1">
      <alignment horizontal="right"/>
    </xf>
    <xf numFmtId="0" fontId="14" fillId="0" borderId="0" xfId="5" applyFont="1" applyAlignment="1">
      <alignment horizontal="right"/>
    </xf>
    <xf numFmtId="0" fontId="16" fillId="0" borderId="0" xfId="6" applyFont="1"/>
    <xf numFmtId="0" fontId="15" fillId="0" borderId="0" xfId="6"/>
    <xf numFmtId="166" fontId="10" fillId="0" borderId="0" xfId="4" applyFont="1"/>
    <xf numFmtId="0" fontId="17" fillId="0" borderId="0" xfId="6" applyFont="1"/>
    <xf numFmtId="0" fontId="8" fillId="0" borderId="0" xfId="2" applyFont="1" applyAlignment="1">
      <alignment vertical="center"/>
    </xf>
    <xf numFmtId="0" fontId="7" fillId="0" borderId="0" xfId="6" applyFont="1" applyAlignment="1">
      <alignment vertical="top" wrapText="1"/>
    </xf>
    <xf numFmtId="0" fontId="2" fillId="0" borderId="0" xfId="6" applyFont="1" applyAlignment="1">
      <alignment horizontal="justify" vertical="center" wrapText="1"/>
    </xf>
    <xf numFmtId="0" fontId="2" fillId="0" borderId="0" xfId="6" applyFont="1" applyAlignment="1">
      <alignment vertical="center" wrapText="1"/>
    </xf>
    <xf numFmtId="166" fontId="19" fillId="0" borderId="0" xfId="7" applyFont="1" applyAlignment="1">
      <alignment horizontal="left" readingOrder="1"/>
    </xf>
    <xf numFmtId="0" fontId="17" fillId="0" borderId="0" xfId="6" applyFont="1" applyAlignment="1">
      <alignment horizontal="left" indent="1"/>
    </xf>
    <xf numFmtId="0" fontId="8" fillId="0" borderId="0" xfId="6" applyFont="1" applyAlignment="1">
      <alignment horizontal="left" vertical="center" indent="1"/>
    </xf>
    <xf numFmtId="0" fontId="20" fillId="0" borderId="0" xfId="6" applyFont="1"/>
    <xf numFmtId="0" fontId="2" fillId="0" borderId="0" xfId="6" applyFont="1" applyAlignment="1">
      <alignment horizontal="left" vertical="top"/>
    </xf>
    <xf numFmtId="0" fontId="8" fillId="0" borderId="0" xfId="6" applyFont="1" applyAlignment="1">
      <alignment horizontal="left"/>
    </xf>
    <xf numFmtId="0" fontId="5" fillId="0" borderId="0" xfId="6" applyFont="1" applyAlignment="1">
      <alignment horizontal="left" vertical="top" wrapText="1"/>
    </xf>
    <xf numFmtId="0" fontId="8" fillId="0" borderId="0" xfId="6" applyFont="1"/>
    <xf numFmtId="166" fontId="14" fillId="0" borderId="0" xfId="4" quotePrefix="1" applyFont="1" applyAlignment="1">
      <alignment horizontal="right"/>
    </xf>
    <xf numFmtId="0" fontId="2" fillId="0" borderId="0" xfId="6" applyFont="1"/>
    <xf numFmtId="166" fontId="8" fillId="0" borderId="0" xfId="4" applyFont="1"/>
    <xf numFmtId="0" fontId="21" fillId="0" borderId="0" xfId="5" applyFont="1" applyAlignment="1">
      <alignment horizontal="right"/>
    </xf>
    <xf numFmtId="166" fontId="0" fillId="0" borderId="0" xfId="4" applyFont="1"/>
    <xf numFmtId="0" fontId="5" fillId="0" borderId="0" xfId="8" applyFont="1" applyAlignment="1">
      <alignment wrapText="1"/>
    </xf>
    <xf numFmtId="0" fontId="5" fillId="0" borderId="0" xfId="8" applyFont="1" applyAlignment="1">
      <alignment horizontal="justify" wrapText="1"/>
    </xf>
    <xf numFmtId="0" fontId="2" fillId="0" borderId="0" xfId="4" applyNumberFormat="1" applyFont="1"/>
    <xf numFmtId="0" fontId="2" fillId="0" borderId="0" xfId="8" applyFont="1" applyAlignment="1">
      <alignment vertical="center" wrapText="1"/>
    </xf>
    <xf numFmtId="0" fontId="2" fillId="0" borderId="0" xfId="8" applyFont="1" applyAlignment="1">
      <alignment horizontal="justify" wrapText="1"/>
    </xf>
    <xf numFmtId="3" fontId="0" fillId="0" borderId="0" xfId="4" applyNumberFormat="1" applyFont="1"/>
    <xf numFmtId="166" fontId="3" fillId="0" borderId="0" xfId="4"/>
    <xf numFmtId="166" fontId="17" fillId="0" borderId="0" xfId="4" applyFont="1" applyAlignment="1">
      <alignment horizontal="left" indent="1"/>
    </xf>
    <xf numFmtId="166" fontId="8" fillId="0" borderId="0" xfId="4" applyFont="1" applyAlignment="1">
      <alignment horizontal="left" vertical="center" indent="1"/>
    </xf>
    <xf numFmtId="166" fontId="20" fillId="0" borderId="0" xfId="4" applyFont="1"/>
    <xf numFmtId="166" fontId="17" fillId="0" borderId="0" xfId="4" applyFont="1"/>
    <xf numFmtId="166" fontId="8" fillId="0" borderId="0" xfId="4" applyFont="1" applyAlignment="1">
      <alignment horizontal="left"/>
    </xf>
    <xf numFmtId="166" fontId="17" fillId="0" borderId="0" xfId="4" applyFont="1" applyAlignment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/>
    <xf numFmtId="0" fontId="21" fillId="0" borderId="0" xfId="5" applyFont="1"/>
    <xf numFmtId="0" fontId="8" fillId="0" borderId="0" xfId="6" applyFont="1" applyAlignment="1">
      <alignment vertical="top" wrapText="1"/>
    </xf>
    <xf numFmtId="166" fontId="21" fillId="0" borderId="0" xfId="4" applyFont="1" applyAlignment="1">
      <alignment horizontal="right"/>
    </xf>
    <xf numFmtId="0" fontId="23" fillId="4" borderId="0" xfId="10" applyFont="1" applyFill="1" applyAlignment="1">
      <alignment horizontal="left"/>
    </xf>
    <xf numFmtId="166" fontId="23" fillId="4" borderId="5" xfId="4" applyFont="1" applyFill="1" applyBorder="1"/>
    <xf numFmtId="167" fontId="23" fillId="4" borderId="5" xfId="4" applyNumberFormat="1" applyFont="1" applyFill="1" applyBorder="1" applyAlignment="1">
      <alignment horizontal="right"/>
    </xf>
    <xf numFmtId="2" fontId="23" fillId="4" borderId="5" xfId="4" applyNumberFormat="1" applyFont="1" applyFill="1" applyBorder="1" applyAlignment="1">
      <alignment horizontal="right" indent="1"/>
    </xf>
    <xf numFmtId="0" fontId="7" fillId="0" borderId="0" xfId="10" applyFont="1" applyAlignment="1">
      <alignment vertical="top" wrapText="1"/>
    </xf>
    <xf numFmtId="166" fontId="24" fillId="2" borderId="0" xfId="4" applyFont="1" applyFill="1" applyAlignment="1">
      <alignment horizontal="left"/>
    </xf>
    <xf numFmtId="3" fontId="7" fillId="2" borderId="0" xfId="4" applyNumberFormat="1" applyFont="1" applyFill="1" applyAlignment="1">
      <alignment horizontal="right"/>
    </xf>
    <xf numFmtId="167" fontId="5" fillId="2" borderId="0" xfId="4" applyNumberFormat="1" applyFont="1" applyFill="1" applyAlignment="1">
      <alignment horizontal="right"/>
    </xf>
    <xf numFmtId="166" fontId="5" fillId="2" borderId="0" xfId="4" applyFont="1" applyFill="1" applyAlignment="1">
      <alignment horizontal="left" indent="1"/>
    </xf>
    <xf numFmtId="166" fontId="5" fillId="2" borderId="5" xfId="4" applyFont="1" applyFill="1" applyBorder="1" applyAlignment="1">
      <alignment horizontal="left" indent="1"/>
    </xf>
    <xf numFmtId="167" fontId="5" fillId="2" borderId="5" xfId="4" applyNumberFormat="1" applyFont="1" applyFill="1" applyBorder="1" applyAlignment="1">
      <alignment horizontal="right"/>
    </xf>
    <xf numFmtId="165" fontId="2" fillId="0" borderId="0" xfId="3" applyNumberFormat="1" applyFont="1" applyAlignment="1">
      <alignment horizontal="right" indent="1"/>
    </xf>
    <xf numFmtId="166" fontId="2" fillId="0" borderId="0" xfId="4" applyFont="1" applyAlignment="1">
      <alignment horizontal="left"/>
    </xf>
    <xf numFmtId="1" fontId="18" fillId="0" borderId="0" xfId="4" applyNumberFormat="1" applyFont="1" applyAlignment="1">
      <alignment horizontal="right" indent="1"/>
    </xf>
    <xf numFmtId="0" fontId="2" fillId="0" borderId="0" xfId="4" applyNumberFormat="1" applyFont="1" applyAlignment="1">
      <alignment horizontal="left"/>
    </xf>
    <xf numFmtId="0" fontId="3" fillId="0" borderId="0" xfId="11"/>
    <xf numFmtId="0" fontId="1" fillId="0" borderId="0" xfId="11" applyFont="1"/>
    <xf numFmtId="0" fontId="25" fillId="0" borderId="0" xfId="11" applyFont="1"/>
    <xf numFmtId="0" fontId="26" fillId="0" borderId="0" xfId="11" applyFont="1"/>
    <xf numFmtId="0" fontId="8" fillId="0" borderId="0" xfId="11" applyFont="1"/>
    <xf numFmtId="0" fontId="8" fillId="0" borderId="0" xfId="11" applyFont="1" applyAlignment="1">
      <alignment horizontal="right" vertical="center"/>
    </xf>
    <xf numFmtId="0" fontId="26" fillId="2" borderId="0" xfId="11" applyFont="1" applyFill="1" applyAlignment="1">
      <alignment horizontal="left" indent="1"/>
    </xf>
    <xf numFmtId="0" fontId="27" fillId="2" borderId="0" xfId="11" applyFont="1" applyFill="1" applyAlignment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Alignment="1">
      <alignment horizontal="right"/>
    </xf>
    <xf numFmtId="168" fontId="5" fillId="2" borderId="0" xfId="4" applyNumberFormat="1" applyFont="1" applyFill="1" applyAlignment="1">
      <alignment horizontal="right"/>
    </xf>
    <xf numFmtId="168" fontId="5" fillId="2" borderId="5" xfId="4" applyNumberFormat="1" applyFont="1" applyFill="1" applyBorder="1" applyAlignment="1">
      <alignment horizontal="right"/>
    </xf>
    <xf numFmtId="0" fontId="11" fillId="3" borderId="2" xfId="1" quotePrefix="1" applyFont="1" applyFill="1" applyBorder="1" applyAlignment="1">
      <alignment horizontal="right" indent="1"/>
    </xf>
    <xf numFmtId="0" fontId="23" fillId="4" borderId="5" xfId="4" quotePrefix="1" applyNumberFormat="1" applyFont="1" applyFill="1" applyBorder="1" applyAlignment="1">
      <alignment horizontal="right" indent="1"/>
    </xf>
    <xf numFmtId="0" fontId="23" fillId="4" borderId="5" xfId="4" applyNumberFormat="1" applyFont="1" applyFill="1" applyBorder="1" applyAlignment="1">
      <alignment horizontal="right" indent="1"/>
    </xf>
    <xf numFmtId="11" fontId="0" fillId="0" borderId="0" xfId="0" applyNumberFormat="1"/>
    <xf numFmtId="166" fontId="43" fillId="0" borderId="0" xfId="4" applyFont="1"/>
    <xf numFmtId="0" fontId="44" fillId="0" borderId="0" xfId="6" applyFont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Alignment="1">
      <alignment horizontal="right" indent="1"/>
    </xf>
    <xf numFmtId="165" fontId="44" fillId="2" borderId="0" xfId="3" applyNumberFormat="1" applyFont="1" applyFill="1" applyAlignment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>
      <alignment horizontal="right" indent="1"/>
    </xf>
    <xf numFmtId="165" fontId="43" fillId="2" borderId="3" xfId="3" applyNumberFormat="1" applyFont="1" applyFill="1" applyBorder="1" applyAlignment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166" fontId="44" fillId="2" borderId="0" xfId="4" applyFont="1" applyFill="1" applyAlignment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Alignment="1">
      <alignment horizontal="right" indent="1"/>
    </xf>
    <xf numFmtId="165" fontId="44" fillId="2" borderId="1" xfId="3" applyNumberFormat="1" applyFont="1" applyFill="1" applyBorder="1" applyAlignment="1">
      <alignment horizontal="right" indent="1"/>
    </xf>
    <xf numFmtId="3" fontId="43" fillId="2" borderId="1" xfId="3" applyNumberFormat="1" applyFont="1" applyFill="1" applyBorder="1"/>
    <xf numFmtId="165" fontId="43" fillId="2" borderId="1" xfId="3" applyNumberFormat="1" applyFont="1" applyFill="1" applyBorder="1" applyAlignment="1">
      <alignment horizontal="right" indent="1"/>
    </xf>
    <xf numFmtId="3" fontId="43" fillId="0" borderId="4" xfId="3" applyNumberFormat="1" applyFont="1" applyBorder="1"/>
    <xf numFmtId="3" fontId="43" fillId="0" borderId="4" xfId="3" applyNumberFormat="1" applyFont="1" applyBorder="1" applyAlignment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>
      <alignment horizontal="right" indent="1"/>
    </xf>
    <xf numFmtId="165" fontId="44" fillId="2" borderId="26" xfId="3" applyNumberFormat="1" applyFont="1" applyFill="1" applyBorder="1" applyAlignment="1">
      <alignment horizontal="right" indent="1"/>
    </xf>
    <xf numFmtId="165" fontId="43" fillId="2" borderId="26" xfId="3" applyNumberFormat="1" applyFont="1" applyFill="1" applyBorder="1" applyAlignment="1">
      <alignment horizontal="right" indent="1"/>
    </xf>
    <xf numFmtId="165" fontId="44" fillId="0" borderId="8" xfId="2" applyNumberFormat="1" applyFont="1" applyBorder="1" applyAlignment="1">
      <alignment horizontal="left"/>
    </xf>
    <xf numFmtId="165" fontId="44" fillId="0" borderId="8" xfId="3" applyNumberFormat="1" applyFont="1" applyBorder="1" applyAlignment="1">
      <alignment horizontal="right" indent="1"/>
    </xf>
    <xf numFmtId="166" fontId="42" fillId="9" borderId="29" xfId="4" applyFont="1" applyFill="1" applyBorder="1" applyAlignment="1">
      <alignment horizontal="center" vertical="center"/>
    </xf>
    <xf numFmtId="3" fontId="43" fillId="0" borderId="30" xfId="3" applyNumberFormat="1" applyFont="1" applyBorder="1" applyAlignment="1">
      <alignment horizontal="right" indent="1"/>
    </xf>
    <xf numFmtId="3" fontId="44" fillId="0" borderId="8" xfId="3" applyNumberFormat="1" applyFont="1" applyBorder="1" applyAlignment="1">
      <alignment horizontal="right" indent="1"/>
    </xf>
    <xf numFmtId="3" fontId="44" fillId="0" borderId="28" xfId="3" applyNumberFormat="1" applyFont="1" applyBorder="1" applyAlignment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3" fontId="5" fillId="2" borderId="0" xfId="3" applyNumberFormat="1" applyFont="1" applyFill="1" applyAlignment="1">
      <alignment horizontal="right" indent="1"/>
    </xf>
    <xf numFmtId="3" fontId="9" fillId="2" borderId="0" xfId="3" applyNumberFormat="1" applyFont="1" applyFill="1" applyAlignment="1">
      <alignment horizontal="right" indent="1"/>
    </xf>
    <xf numFmtId="3" fontId="7" fillId="2" borderId="2" xfId="3" applyNumberFormat="1" applyFont="1" applyFill="1" applyBorder="1" applyAlignment="1">
      <alignment horizontal="right" indent="1"/>
    </xf>
    <xf numFmtId="3" fontId="5" fillId="2" borderId="1" xfId="3" applyNumberFormat="1" applyFont="1" applyFill="1" applyBorder="1" applyAlignment="1">
      <alignment horizontal="right" indent="1"/>
    </xf>
    <xf numFmtId="3" fontId="7" fillId="2" borderId="1" xfId="3" applyNumberFormat="1" applyFont="1" applyFill="1" applyBorder="1" applyAlignment="1">
      <alignment horizontal="right" indent="1"/>
    </xf>
    <xf numFmtId="0" fontId="42" fillId="9" borderId="31" xfId="0" applyFont="1" applyFill="1" applyBorder="1" applyAlignment="1">
      <alignment horizontal="center"/>
    </xf>
    <xf numFmtId="165" fontId="44" fillId="2" borderId="32" xfId="3" applyNumberFormat="1" applyFont="1" applyFill="1" applyBorder="1" applyAlignment="1">
      <alignment horizontal="right" indent="1"/>
    </xf>
    <xf numFmtId="165" fontId="4" fillId="0" borderId="0" xfId="1" applyNumberFormat="1" applyFont="1"/>
    <xf numFmtId="4" fontId="4" fillId="0" borderId="0" xfId="1" applyNumberFormat="1" applyFont="1"/>
    <xf numFmtId="165" fontId="7" fillId="2" borderId="0" xfId="4" applyNumberFormat="1" applyFont="1" applyFill="1" applyAlignment="1">
      <alignment horizontal="right"/>
    </xf>
    <xf numFmtId="0" fontId="2" fillId="10" borderId="0" xfId="6" applyFont="1" applyFill="1"/>
    <xf numFmtId="165" fontId="3" fillId="0" borderId="0" xfId="4" applyNumberFormat="1"/>
    <xf numFmtId="165" fontId="2" fillId="0" borderId="0" xfId="6" applyNumberFormat="1" applyFont="1"/>
    <xf numFmtId="165" fontId="17" fillId="0" borderId="0" xfId="6" applyNumberFormat="1" applyFont="1"/>
    <xf numFmtId="165" fontId="7" fillId="2" borderId="2" xfId="4" applyNumberFormat="1" applyFont="1" applyFill="1" applyBorder="1"/>
    <xf numFmtId="3" fontId="7" fillId="0" borderId="0" xfId="3" applyNumberFormat="1" applyFont="1" applyAlignment="1">
      <alignment horizontal="right" indent="1"/>
    </xf>
    <xf numFmtId="165" fontId="7" fillId="0" borderId="0" xfId="3" applyNumberFormat="1" applyFont="1" applyAlignment="1">
      <alignment horizontal="right" indent="1"/>
    </xf>
    <xf numFmtId="3" fontId="7" fillId="2" borderId="2" xfId="4" applyNumberFormat="1" applyFont="1" applyFill="1" applyBorder="1" applyAlignment="1">
      <alignment horizontal="right" indent="1"/>
    </xf>
    <xf numFmtId="165" fontId="7" fillId="2" borderId="2" xfId="4" applyNumberFormat="1" applyFont="1" applyFill="1" applyBorder="1" applyAlignment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/>
    <xf numFmtId="0" fontId="49" fillId="0" borderId="0" xfId="0" applyFont="1"/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45" fillId="0" borderId="0" xfId="0" applyNumberFormat="1" applyFont="1"/>
    <xf numFmtId="164" fontId="34" fillId="5" borderId="10" xfId="28" applyAlignment="1">
      <alignment horizontal="right" vertical="center"/>
    </xf>
    <xf numFmtId="10" fontId="34" fillId="5" borderId="10" xfId="17" applyAlignment="1">
      <alignment horizontal="right" vertical="center"/>
    </xf>
    <xf numFmtId="164" fontId="32" fillId="6" borderId="10" xfId="29" applyAlignment="1">
      <alignment horizontal="right" vertical="center"/>
    </xf>
    <xf numFmtId="10" fontId="32" fillId="6" borderId="10" xfId="15" applyAlignment="1">
      <alignment horizontal="right" vertical="center"/>
    </xf>
    <xf numFmtId="165" fontId="34" fillId="5" borderId="10" xfId="16" applyAlignment="1">
      <alignment horizontal="right" vertical="center"/>
    </xf>
    <xf numFmtId="165" fontId="32" fillId="6" borderId="10" xfId="13" applyAlignment="1">
      <alignment horizontal="right" vertical="center"/>
    </xf>
    <xf numFmtId="10" fontId="19" fillId="5" borderId="10" xfId="33" applyAlignment="1">
      <alignment horizontal="right" vertical="center"/>
    </xf>
    <xf numFmtId="173" fontId="34" fillId="5" borderId="10" xfId="16" applyNumberFormat="1">
      <alignment horizontal="right" vertical="center"/>
    </xf>
    <xf numFmtId="173" fontId="32" fillId="6" borderId="10" xfId="13" applyNumberForma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73" fontId="0" fillId="0" borderId="0" xfId="0" applyNumberFormat="1"/>
    <xf numFmtId="166" fontId="5" fillId="0" borderId="0" xfId="4" applyFont="1" applyAlignment="1">
      <alignment horizontal="justify" wrapText="1"/>
    </xf>
    <xf numFmtId="0" fontId="7" fillId="0" borderId="0" xfId="10" applyFont="1" applyAlignment="1">
      <alignment horizontal="left" vertical="top" wrapText="1"/>
    </xf>
    <xf numFmtId="2" fontId="23" fillId="4" borderId="0" xfId="4" quotePrefix="1" applyNumberFormat="1" applyFont="1" applyFill="1" applyAlignment="1">
      <alignment horizontal="right" indent="1"/>
    </xf>
    <xf numFmtId="2" fontId="23" fillId="4" borderId="0" xfId="4" applyNumberFormat="1" applyFont="1" applyFill="1" applyAlignment="1">
      <alignment horizontal="right" indent="1"/>
    </xf>
    <xf numFmtId="166" fontId="5" fillId="0" borderId="6" xfId="4" applyFont="1" applyBorder="1" applyAlignment="1">
      <alignment horizontal="left"/>
    </xf>
    <xf numFmtId="0" fontId="7" fillId="0" borderId="0" xfId="1" applyFont="1" applyAlignment="1">
      <alignment horizontal="left" vertical="top" wrapText="1"/>
    </xf>
    <xf numFmtId="3" fontId="11" fillId="3" borderId="2" xfId="2" applyNumberFormat="1" applyFont="1" applyFill="1" applyBorder="1" applyAlignment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Font="1" applyAlignment="1">
      <alignment horizontal="justify" vertical="center" wrapText="1"/>
    </xf>
    <xf numFmtId="0" fontId="5" fillId="0" borderId="0" xfId="2" applyFont="1" applyAlignment="1">
      <alignment horizontal="left"/>
    </xf>
    <xf numFmtId="0" fontId="5" fillId="0" borderId="7" xfId="4" applyNumberFormat="1" applyFont="1" applyBorder="1" applyAlignment="1">
      <alignment horizontal="justify"/>
    </xf>
    <xf numFmtId="0" fontId="5" fillId="0" borderId="0" xfId="4" applyNumberFormat="1" applyFont="1" applyAlignment="1">
      <alignment horizontal="justify" wrapText="1"/>
    </xf>
    <xf numFmtId="0" fontId="7" fillId="0" borderId="0" xfId="6" applyFont="1" applyAlignment="1">
      <alignment horizontal="left" vertical="top" wrapText="1"/>
    </xf>
    <xf numFmtId="166" fontId="7" fillId="0" borderId="0" xfId="4" applyFont="1" applyAlignment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7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5934959349593483"/>
                  <c:y val="-8.06917322834645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-3.2222244094488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8279418731195175"/>
                  <c:y val="3.06801181102362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5609743294283338"/>
                  <c:y val="0.171568627450980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1951219512195122"/>
                  <c:y val="6.0049999999999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8099212598425196"/>
                  <c:y val="-7.27724409448819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16910569105691056"/>
                  <c:y val="-0.186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024390243902439"/>
                  <c:y val="-0.226452254129998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52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16565802445426034"/>
                  <c:y val="-0.136998224486645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10492286025225"/>
                      <c:h val="0.175392156862745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2.7627657969880888</c:v>
                </c:pt>
                <c:pt idx="2">
                  <c:v>7.6571345074461963</c:v>
                </c:pt>
                <c:pt idx="3">
                  <c:v>50.327534900469587</c:v>
                </c:pt>
                <c:pt idx="4">
                  <c:v>0</c:v>
                </c:pt>
                <c:pt idx="5">
                  <c:v>0.76479915361811279</c:v>
                </c:pt>
                <c:pt idx="6">
                  <c:v>2.6587497142468166</c:v>
                </c:pt>
                <c:pt idx="7">
                  <c:v>2.6587497142468166</c:v>
                </c:pt>
                <c:pt idx="8">
                  <c:v>5.4279271361545582E-2</c:v>
                </c:pt>
                <c:pt idx="9">
                  <c:v>7.2749873559590936</c:v>
                </c:pt>
                <c:pt idx="10">
                  <c:v>1.9603293973471103E-2</c:v>
                </c:pt>
                <c:pt idx="11">
                  <c:v>25.821396291690252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2032520325203253"/>
                  <c:y val="-0.112745098039215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-7.35294117647059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8373996543115037"/>
                  <c:y val="-0.113264242704956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8.6178861788617889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11.304794534199331</c:v>
                </c:pt>
                <c:pt idx="1">
                  <c:v>6.5335338228332791</c:v>
                </c:pt>
                <c:pt idx="2">
                  <c:v>28.266673232071383</c:v>
                </c:pt>
                <c:pt idx="3">
                  <c:v>38.568471899637771</c:v>
                </c:pt>
                <c:pt idx="4">
                  <c:v>0</c:v>
                </c:pt>
                <c:pt idx="5">
                  <c:v>0.54007109211268201</c:v>
                </c:pt>
                <c:pt idx="6">
                  <c:v>1.7528993183211237</c:v>
                </c:pt>
                <c:pt idx="7">
                  <c:v>1.7528993183211237</c:v>
                </c:pt>
                <c:pt idx="8">
                  <c:v>0.1690797938728196</c:v>
                </c:pt>
                <c:pt idx="9">
                  <c:v>11.011746091624481</c:v>
                </c:pt>
                <c:pt idx="10">
                  <c:v>9.9830897005989114E-2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-1.0302370000000001</c:v>
                </c:pt>
                <c:pt idx="1">
                  <c:v>29.141857000000002</c:v>
                </c:pt>
                <c:pt idx="2">
                  <c:v>50.189168000000002</c:v>
                </c:pt>
                <c:pt idx="3">
                  <c:v>5.2653150000000002</c:v>
                </c:pt>
                <c:pt idx="4">
                  <c:v>-0.60380599999999995</c:v>
                </c:pt>
                <c:pt idx="5">
                  <c:v>-0.613232</c:v>
                </c:pt>
                <c:pt idx="6">
                  <c:v>-0.58811800000000003</c:v>
                </c:pt>
                <c:pt idx="7">
                  <c:v>-0.62679200000000002</c:v>
                </c:pt>
                <c:pt idx="8">
                  <c:v>-0.72771799999999998</c:v>
                </c:pt>
                <c:pt idx="9">
                  <c:v>-0.70697299999999996</c:v>
                </c:pt>
                <c:pt idx="10">
                  <c:v>-0.51834000000000002</c:v>
                </c:pt>
                <c:pt idx="11">
                  <c:v>-0.60865999999999998</c:v>
                </c:pt>
                <c:pt idx="12">
                  <c:v>-0.83296899999999996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70.042819000000009</c:v>
                </c:pt>
                <c:pt idx="1">
                  <c:v>85.898263999999998</c:v>
                </c:pt>
                <c:pt idx="2">
                  <c:v>121.496702</c:v>
                </c:pt>
                <c:pt idx="3">
                  <c:v>132.469054</c:v>
                </c:pt>
                <c:pt idx="4">
                  <c:v>93.246324000000001</c:v>
                </c:pt>
                <c:pt idx="5">
                  <c:v>60.668753000000002</c:v>
                </c:pt>
                <c:pt idx="6">
                  <c:v>32.393524999999997</c:v>
                </c:pt>
                <c:pt idx="7">
                  <c:v>28.980339000000001</c:v>
                </c:pt>
                <c:pt idx="8">
                  <c:v>54.403029000000004</c:v>
                </c:pt>
                <c:pt idx="9">
                  <c:v>47.337153999999998</c:v>
                </c:pt>
                <c:pt idx="10">
                  <c:v>40.752212</c:v>
                </c:pt>
                <c:pt idx="11">
                  <c:v>36.577028999999996</c:v>
                </c:pt>
                <c:pt idx="12">
                  <c:v>47.925082000000003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317.55595499999998</c:v>
                </c:pt>
                <c:pt idx="1">
                  <c:v>367.58788099999998</c:v>
                </c:pt>
                <c:pt idx="2">
                  <c:v>396.959791</c:v>
                </c:pt>
                <c:pt idx="3">
                  <c:v>456.377207</c:v>
                </c:pt>
                <c:pt idx="4">
                  <c:v>377.07382699999999</c:v>
                </c:pt>
                <c:pt idx="5">
                  <c:v>297.32130999999998</c:v>
                </c:pt>
                <c:pt idx="6">
                  <c:v>234.47985499999999</c:v>
                </c:pt>
                <c:pt idx="7">
                  <c:v>251.18496099999999</c:v>
                </c:pt>
                <c:pt idx="8">
                  <c:v>236.33414099999999</c:v>
                </c:pt>
                <c:pt idx="9">
                  <c:v>250.50749099999999</c:v>
                </c:pt>
                <c:pt idx="10">
                  <c:v>233.28242</c:v>
                </c:pt>
                <c:pt idx="11">
                  <c:v>207.738203</c:v>
                </c:pt>
                <c:pt idx="12">
                  <c:v>231.47546199999999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0.16079099999999999</c:v>
                </c:pt>
                <c:pt idx="1">
                  <c:v>6.1459E-2</c:v>
                </c:pt>
                <c:pt idx="2">
                  <c:v>3.0289E-2</c:v>
                </c:pt>
                <c:pt idx="3">
                  <c:v>3.2219999999999999E-2</c:v>
                </c:pt>
                <c:pt idx="4">
                  <c:v>1.2760000000000001E-2</c:v>
                </c:pt>
                <c:pt idx="5">
                  <c:v>2.8530000000000001E-3</c:v>
                </c:pt>
                <c:pt idx="6">
                  <c:v>2.5883E-2</c:v>
                </c:pt>
                <c:pt idx="7">
                  <c:v>0.100989</c:v>
                </c:pt>
                <c:pt idx="8">
                  <c:v>0.21573000000000001</c:v>
                </c:pt>
                <c:pt idx="9">
                  <c:v>0.18323999999999999</c:v>
                </c:pt>
                <c:pt idx="10">
                  <c:v>0.20035</c:v>
                </c:pt>
                <c:pt idx="11">
                  <c:v>0.12734500000000001</c:v>
                </c:pt>
                <c:pt idx="12">
                  <c:v>0.24965100000000001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27.351011</c:v>
                </c:pt>
                <c:pt idx="1">
                  <c:v>29.26784</c:v>
                </c:pt>
                <c:pt idx="2">
                  <c:v>33.069572000000001</c:v>
                </c:pt>
                <c:pt idx="3">
                  <c:v>29.670628000000001</c:v>
                </c:pt>
                <c:pt idx="4">
                  <c:v>25.077711000000001</c:v>
                </c:pt>
                <c:pt idx="5">
                  <c:v>23.563777000000002</c:v>
                </c:pt>
                <c:pt idx="6">
                  <c:v>17.217534000000001</c:v>
                </c:pt>
                <c:pt idx="7">
                  <c:v>15.034399000000001</c:v>
                </c:pt>
                <c:pt idx="8">
                  <c:v>18.176791999999999</c:v>
                </c:pt>
                <c:pt idx="9">
                  <c:v>21.958507000000001</c:v>
                </c:pt>
                <c:pt idx="10">
                  <c:v>34.017825999999999</c:v>
                </c:pt>
                <c:pt idx="11">
                  <c:v>36.519472</c:v>
                </c:pt>
                <c:pt idx="12">
                  <c:v>33.460431999999997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0.166327</c:v>
                </c:pt>
                <c:pt idx="1">
                  <c:v>0.111179</c:v>
                </c:pt>
                <c:pt idx="2">
                  <c:v>9.5128000000000004E-2</c:v>
                </c:pt>
                <c:pt idx="3">
                  <c:v>5.6752999999999998E-2</c:v>
                </c:pt>
                <c:pt idx="4">
                  <c:v>7.1924000000000002E-2</c:v>
                </c:pt>
                <c:pt idx="5">
                  <c:v>9.6991999999999995E-2</c:v>
                </c:pt>
                <c:pt idx="6">
                  <c:v>8.4503999999999996E-2</c:v>
                </c:pt>
                <c:pt idx="7">
                  <c:v>7.7099000000000001E-2</c:v>
                </c:pt>
                <c:pt idx="8">
                  <c:v>9.3608999999999998E-2</c:v>
                </c:pt>
                <c:pt idx="9">
                  <c:v>0.13599800000000001</c:v>
                </c:pt>
                <c:pt idx="10">
                  <c:v>0.11230800000000001</c:v>
                </c:pt>
                <c:pt idx="11">
                  <c:v>7.399E-2</c:v>
                </c:pt>
                <c:pt idx="12">
                  <c:v>9.0162999999999993E-2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1.9461250000000001</c:v>
                </c:pt>
                <c:pt idx="1">
                  <c:v>1.5363420000000001</c:v>
                </c:pt>
                <c:pt idx="2">
                  <c:v>1.1719729999999999</c:v>
                </c:pt>
                <c:pt idx="3">
                  <c:v>5.1333999999999998E-2</c:v>
                </c:pt>
                <c:pt idx="4">
                  <c:v>2.0373130000000002</c:v>
                </c:pt>
                <c:pt idx="5">
                  <c:v>1.826864</c:v>
                </c:pt>
                <c:pt idx="6">
                  <c:v>2.5541079999999998</c:v>
                </c:pt>
                <c:pt idx="7">
                  <c:v>2.9410020000000001</c:v>
                </c:pt>
                <c:pt idx="8">
                  <c:v>3.055609</c:v>
                </c:pt>
                <c:pt idx="9">
                  <c:v>3.0516040000000002</c:v>
                </c:pt>
                <c:pt idx="10">
                  <c:v>3.5856219999999999</c:v>
                </c:pt>
                <c:pt idx="11">
                  <c:v>3.6202459999999999</c:v>
                </c:pt>
                <c:pt idx="12">
                  <c:v>3.5176020000000001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11.846197500000001</c:v>
                </c:pt>
                <c:pt idx="1">
                  <c:v>13.186323</c:v>
                </c:pt>
                <c:pt idx="2">
                  <c:v>16.1606655</c:v>
                </c:pt>
                <c:pt idx="3">
                  <c:v>13.6723105</c:v>
                </c:pt>
                <c:pt idx="4">
                  <c:v>13.5816645</c:v>
                </c:pt>
                <c:pt idx="5">
                  <c:v>11.230755</c:v>
                </c:pt>
                <c:pt idx="6">
                  <c:v>10.188828000000001</c:v>
                </c:pt>
                <c:pt idx="7">
                  <c:v>10.4136255</c:v>
                </c:pt>
                <c:pt idx="8">
                  <c:v>7.3618245</c:v>
                </c:pt>
                <c:pt idx="9">
                  <c:v>9.8298860000000001</c:v>
                </c:pt>
                <c:pt idx="10">
                  <c:v>9.6378819999999994</c:v>
                </c:pt>
                <c:pt idx="11">
                  <c:v>10.65733</c:v>
                </c:pt>
                <c:pt idx="12">
                  <c:v>12.228600500000001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11.846197500000001</c:v>
                </c:pt>
                <c:pt idx="1">
                  <c:v>13.186323</c:v>
                </c:pt>
                <c:pt idx="2">
                  <c:v>16.1606655</c:v>
                </c:pt>
                <c:pt idx="3">
                  <c:v>13.6723105</c:v>
                </c:pt>
                <c:pt idx="4">
                  <c:v>13.5816645</c:v>
                </c:pt>
                <c:pt idx="5">
                  <c:v>11.230755</c:v>
                </c:pt>
                <c:pt idx="6">
                  <c:v>10.188828000000001</c:v>
                </c:pt>
                <c:pt idx="7">
                  <c:v>10.4136255</c:v>
                </c:pt>
                <c:pt idx="8">
                  <c:v>7.3618245</c:v>
                </c:pt>
                <c:pt idx="9">
                  <c:v>9.8298860000000001</c:v>
                </c:pt>
                <c:pt idx="10">
                  <c:v>9.6378819999999994</c:v>
                </c:pt>
                <c:pt idx="11">
                  <c:v>10.65733</c:v>
                </c:pt>
                <c:pt idx="12">
                  <c:v>12.228600500000001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32.047055999999998</c:v>
                </c:pt>
                <c:pt idx="1">
                  <c:v>35.225064000000003</c:v>
                </c:pt>
                <c:pt idx="2">
                  <c:v>67.033137999999994</c:v>
                </c:pt>
                <c:pt idx="3">
                  <c:v>77.653036</c:v>
                </c:pt>
                <c:pt idx="4">
                  <c:v>70.647335999999996</c:v>
                </c:pt>
                <c:pt idx="5">
                  <c:v>61.365385000000003</c:v>
                </c:pt>
                <c:pt idx="6">
                  <c:v>55.991686000000001</c:v>
                </c:pt>
                <c:pt idx="7">
                  <c:v>79.778822000000005</c:v>
                </c:pt>
                <c:pt idx="8">
                  <c:v>123.950131</c:v>
                </c:pt>
                <c:pt idx="9">
                  <c:v>89.734262000000001</c:v>
                </c:pt>
                <c:pt idx="10">
                  <c:v>82.194308000000007</c:v>
                </c:pt>
                <c:pt idx="11">
                  <c:v>98.033413999999993</c:v>
                </c:pt>
                <c:pt idx="12">
                  <c:v>118.762416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7235772357723578"/>
                  <c:y val="4.9019607843137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7235772357723578"/>
                  <c:y val="-3.921568627450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14.941342827816639</c:v>
                </c:pt>
                <c:pt idx="1">
                  <c:v>15.955836841902871</c:v>
                </c:pt>
                <c:pt idx="2">
                  <c:v>14.788142282047048</c:v>
                </c:pt>
                <c:pt idx="3">
                  <c:v>26.515950461800752</c:v>
                </c:pt>
                <c:pt idx="4">
                  <c:v>1.1704521696796728</c:v>
                </c:pt>
                <c:pt idx="5">
                  <c:v>4.6572965913955565E-2</c:v>
                </c:pt>
                <c:pt idx="6">
                  <c:v>0.34684603562235328</c:v>
                </c:pt>
                <c:pt idx="7">
                  <c:v>19.620853498348787</c:v>
                </c:pt>
                <c:pt idx="8">
                  <c:v>6.5007570734350377</c:v>
                </c:pt>
                <c:pt idx="9">
                  <c:v>0.11324584343288142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9837398373983739"/>
                  <c:y val="-3.0825999691215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7886178861788621"/>
                  <c:y val="-4.171181102362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8.1302093335893985E-3"/>
                  <c:y val="-0.15310618341824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41495291029797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-0.25365840855258948"/>
                  <c:y val="-6.78429133858267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21.784278686238583</c:v>
                </c:pt>
                <c:pt idx="1">
                  <c:v>3.3487954363089942</c:v>
                </c:pt>
                <c:pt idx="2">
                  <c:v>12.112393316932705</c:v>
                </c:pt>
                <c:pt idx="3">
                  <c:v>39.290775300818979</c:v>
                </c:pt>
                <c:pt idx="4">
                  <c:v>0</c:v>
                </c:pt>
                <c:pt idx="5">
                  <c:v>4.2511199782345806E-2</c:v>
                </c:pt>
                <c:pt idx="6">
                  <c:v>0.29498585015580714</c:v>
                </c:pt>
                <c:pt idx="7">
                  <c:v>18.686411475481908</c:v>
                </c:pt>
                <c:pt idx="8">
                  <c:v>4.3470152982797412</c:v>
                </c:pt>
                <c:pt idx="9">
                  <c:v>9.2833436000939087E-2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0.29870099999999999</c:v>
                </c:pt>
                <c:pt idx="1">
                  <c:v>0.28138299999999999</c:v>
                </c:pt>
                <c:pt idx="2">
                  <c:v>0.29436099999999998</c:v>
                </c:pt>
                <c:pt idx="3">
                  <c:v>0.29274699999999998</c:v>
                </c:pt>
                <c:pt idx="4">
                  <c:v>0.28892499999999999</c:v>
                </c:pt>
                <c:pt idx="5">
                  <c:v>0.29400900000000002</c:v>
                </c:pt>
                <c:pt idx="6">
                  <c:v>0.27748800000000001</c:v>
                </c:pt>
                <c:pt idx="7">
                  <c:v>0.28856799999999999</c:v>
                </c:pt>
                <c:pt idx="8">
                  <c:v>0.27497500000000002</c:v>
                </c:pt>
                <c:pt idx="9">
                  <c:v>0.25442500000000001</c:v>
                </c:pt>
                <c:pt idx="10">
                  <c:v>0.29023300000000002</c:v>
                </c:pt>
                <c:pt idx="11">
                  <c:v>0.27610800000000002</c:v>
                </c:pt>
                <c:pt idx="12">
                  <c:v>0.29790899999999998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244.42555600000003</c:v>
                </c:pt>
                <c:pt idx="1">
                  <c:v>215.54708500000001</c:v>
                </c:pt>
                <c:pt idx="2">
                  <c:v>238.315326</c:v>
                </c:pt>
                <c:pt idx="3">
                  <c:v>264.80231099999997</c:v>
                </c:pt>
                <c:pt idx="4">
                  <c:v>286.046403</c:v>
                </c:pt>
                <c:pt idx="5">
                  <c:v>308.95133199999998</c:v>
                </c:pt>
                <c:pt idx="6">
                  <c:v>271.88252899999998</c:v>
                </c:pt>
                <c:pt idx="7">
                  <c:v>312.87680900000004</c:v>
                </c:pt>
                <c:pt idx="8">
                  <c:v>282.44358199999999</c:v>
                </c:pt>
                <c:pt idx="9">
                  <c:v>296.20417700000002</c:v>
                </c:pt>
                <c:pt idx="10">
                  <c:v>261.84115199999997</c:v>
                </c:pt>
                <c:pt idx="11">
                  <c:v>260.1001</c:v>
                </c:pt>
                <c:pt idx="12">
                  <c:v>261.00792300000001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303.45663500000001</c:v>
                </c:pt>
                <c:pt idx="1">
                  <c:v>283.58392400000002</c:v>
                </c:pt>
                <c:pt idx="2">
                  <c:v>295.51749599999999</c:v>
                </c:pt>
                <c:pt idx="3">
                  <c:v>269.79137200000002</c:v>
                </c:pt>
                <c:pt idx="4">
                  <c:v>285.29845599999999</c:v>
                </c:pt>
                <c:pt idx="5">
                  <c:v>305.38632699999999</c:v>
                </c:pt>
                <c:pt idx="6">
                  <c:v>309.74341800000002</c:v>
                </c:pt>
                <c:pt idx="7">
                  <c:v>347.66188299999999</c:v>
                </c:pt>
                <c:pt idx="8">
                  <c:v>279.418815</c:v>
                </c:pt>
                <c:pt idx="9">
                  <c:v>289.33312999999998</c:v>
                </c:pt>
                <c:pt idx="10">
                  <c:v>284.83144399999998</c:v>
                </c:pt>
                <c:pt idx="11">
                  <c:v>279.54366599999997</c:v>
                </c:pt>
                <c:pt idx="12">
                  <c:v>275.34098399999999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1.9171739999999999</c:v>
                </c:pt>
                <c:pt idx="1">
                  <c:v>2.44956</c:v>
                </c:pt>
                <c:pt idx="2">
                  <c:v>3.5629430000000002</c:v>
                </c:pt>
                <c:pt idx="3">
                  <c:v>3.5176750000000001</c:v>
                </c:pt>
                <c:pt idx="4">
                  <c:v>2.0750950000000001</c:v>
                </c:pt>
                <c:pt idx="5">
                  <c:v>1.3500719999999999</c:v>
                </c:pt>
                <c:pt idx="6">
                  <c:v>1.1694089999999999</c:v>
                </c:pt>
                <c:pt idx="7">
                  <c:v>0.36710399999999999</c:v>
                </c:pt>
                <c:pt idx="8">
                  <c:v>1.6495040000000001</c:v>
                </c:pt>
                <c:pt idx="9">
                  <c:v>0.82934099999999999</c:v>
                </c:pt>
                <c:pt idx="10">
                  <c:v>1.5724450000000001</c:v>
                </c:pt>
                <c:pt idx="11">
                  <c:v>1.573337</c:v>
                </c:pt>
                <c:pt idx="12">
                  <c:v>2.0671949999999999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116.96555499999999</c:v>
                </c:pt>
                <c:pt idx="1">
                  <c:v>160.356527</c:v>
                </c:pt>
                <c:pt idx="2">
                  <c:v>181.49906899999999</c:v>
                </c:pt>
                <c:pt idx="3">
                  <c:v>185.782734</c:v>
                </c:pt>
                <c:pt idx="4">
                  <c:v>123.26133799999999</c:v>
                </c:pt>
                <c:pt idx="5">
                  <c:v>85.078937999999994</c:v>
                </c:pt>
                <c:pt idx="6">
                  <c:v>102.221262</c:v>
                </c:pt>
                <c:pt idx="7">
                  <c:v>37.913117999999997</c:v>
                </c:pt>
                <c:pt idx="8">
                  <c:v>132.72816599999999</c:v>
                </c:pt>
                <c:pt idx="9">
                  <c:v>42.685206000000001</c:v>
                </c:pt>
                <c:pt idx="10">
                  <c:v>131.43829199999999</c:v>
                </c:pt>
                <c:pt idx="11">
                  <c:v>103.68509299999999</c:v>
                </c:pt>
                <c:pt idx="12">
                  <c:v>130.95020099999999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32.971663999999997</c:v>
                </c:pt>
                <c:pt idx="1">
                  <c:v>30.752493999999999</c:v>
                </c:pt>
                <c:pt idx="2">
                  <c:v>34.434815</c:v>
                </c:pt>
                <c:pt idx="3">
                  <c:v>32.263370000000002</c:v>
                </c:pt>
                <c:pt idx="4">
                  <c:v>26.538736</c:v>
                </c:pt>
                <c:pt idx="5">
                  <c:v>26.753266</c:v>
                </c:pt>
                <c:pt idx="6">
                  <c:v>23.169461999999999</c:v>
                </c:pt>
                <c:pt idx="7">
                  <c:v>19.006923</c:v>
                </c:pt>
                <c:pt idx="8">
                  <c:v>22.065138000000001</c:v>
                </c:pt>
                <c:pt idx="9">
                  <c:v>20.222797</c:v>
                </c:pt>
                <c:pt idx="10">
                  <c:v>32.125762000000002</c:v>
                </c:pt>
                <c:pt idx="11">
                  <c:v>29.890439000000001</c:v>
                </c:pt>
                <c:pt idx="12">
                  <c:v>30.462913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may.-22</c:v>
                </c:pt>
                <c:pt idx="1">
                  <c:v>jun.-22</c:v>
                </c:pt>
                <c:pt idx="2">
                  <c:v>jul.-22</c:v>
                </c:pt>
                <c:pt idx="3">
                  <c:v>ago.-22</c:v>
                </c:pt>
                <c:pt idx="4">
                  <c:v>sep.-22</c:v>
                </c:pt>
                <c:pt idx="5">
                  <c:v>oct.-22</c:v>
                </c:pt>
                <c:pt idx="6">
                  <c:v>nov.-22</c:v>
                </c:pt>
                <c:pt idx="7">
                  <c:v>dic.-22</c:v>
                </c:pt>
                <c:pt idx="8">
                  <c:v>ene.-23</c:v>
                </c:pt>
                <c:pt idx="9">
                  <c:v>feb.-23</c:v>
                </c:pt>
                <c:pt idx="10">
                  <c:v>mar.-23</c:v>
                </c:pt>
                <c:pt idx="11">
                  <c:v>abr.-23</c:v>
                </c:pt>
                <c:pt idx="12">
                  <c:v>may.-23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0.72146399999999999</c:v>
                </c:pt>
                <c:pt idx="1">
                  <c:v>0.696106</c:v>
                </c:pt>
                <c:pt idx="2">
                  <c:v>0.688222</c:v>
                </c:pt>
                <c:pt idx="3">
                  <c:v>0.71531400000000001</c:v>
                </c:pt>
                <c:pt idx="4">
                  <c:v>0.714812</c:v>
                </c:pt>
                <c:pt idx="5">
                  <c:v>0.73132799999999998</c:v>
                </c:pt>
                <c:pt idx="6">
                  <c:v>0.76498500000000003</c:v>
                </c:pt>
                <c:pt idx="7">
                  <c:v>0.78453200000000001</c:v>
                </c:pt>
                <c:pt idx="8">
                  <c:v>0.78413299999999997</c:v>
                </c:pt>
                <c:pt idx="9">
                  <c:v>0.71108700000000002</c:v>
                </c:pt>
                <c:pt idx="10">
                  <c:v>0.73842799999999997</c:v>
                </c:pt>
                <c:pt idx="11">
                  <c:v>0.63095199999999996</c:v>
                </c:pt>
                <c:pt idx="12">
                  <c:v>0.65055600000000002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409574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A2057E3-2298-458F-BD8F-FE7D60DC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B212E58-FDCF-4976-A0A4-FFEEF133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A55EFE-58DA-4458-9D10-BF763A8A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0650"/>
          <a:ext cx="184149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 editAs="oneCell">
    <xdr:from>
      <xdr:col>2</xdr:col>
      <xdr:colOff>28575</xdr:colOff>
      <xdr:row>1</xdr:row>
      <xdr:rowOff>123825</xdr:rowOff>
    </xdr:from>
    <xdr:to>
      <xdr:col>4</xdr:col>
      <xdr:colOff>130174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067006B-9AA2-4202-99DE-3645567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FF1BC4B-2F3F-49AF-BC0F-C83FAD0E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4B017-3165-4D21-9E84-1E7CFF5E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123825</xdr:rowOff>
    </xdr:from>
    <xdr:to>
      <xdr:col>4</xdr:col>
      <xdr:colOff>142874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66A40C-C5EB-40FA-A0C9-45EE1492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123824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011151C-71A4-4DF0-8BA0-9FD9F126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84" customWidth="1"/>
    <col min="2" max="2" width="2.5703125" style="84" customWidth="1"/>
    <col min="3" max="3" width="16.42578125" style="84" customWidth="1"/>
    <col min="4" max="4" width="4.5703125" style="84" customWidth="1"/>
    <col min="5" max="5" width="95.5703125" style="84" customWidth="1"/>
    <col min="6" max="16384" width="11.42578125" style="84"/>
  </cols>
  <sheetData>
    <row r="1" spans="2:15" ht="0.75" customHeight="1"/>
    <row r="2" spans="2:15" ht="21" customHeight="1">
      <c r="B2" s="84" t="s">
        <v>50</v>
      </c>
      <c r="C2" s="85"/>
      <c r="D2" s="85"/>
      <c r="E2" s="29" t="s">
        <v>19</v>
      </c>
    </row>
    <row r="3" spans="2:15" ht="15" customHeight="1">
      <c r="C3" s="85"/>
      <c r="D3" s="85"/>
      <c r="E3" s="46" t="str">
        <f>Dat_01!A2</f>
        <v>Mayo 2023</v>
      </c>
    </row>
    <row r="4" spans="2:15" s="87" customFormat="1" ht="20.25" customHeight="1">
      <c r="B4" s="86"/>
      <c r="C4" s="27" t="s">
        <v>46</v>
      </c>
    </row>
    <row r="5" spans="2:15" s="87" customFormat="1" ht="8.25" customHeight="1">
      <c r="B5" s="86"/>
      <c r="C5" s="88"/>
    </row>
    <row r="6" spans="2:15" s="87" customFormat="1" ht="3" customHeight="1">
      <c r="B6" s="86"/>
      <c r="C6" s="88"/>
    </row>
    <row r="7" spans="2:15" s="87" customFormat="1" ht="7.5" customHeight="1">
      <c r="B7" s="86"/>
      <c r="C7" s="89"/>
      <c r="D7" s="90"/>
      <c r="E7" s="90"/>
    </row>
    <row r="8" spans="2:15" ht="12.6" customHeight="1">
      <c r="D8" s="91" t="s">
        <v>51</v>
      </c>
      <c r="E8" s="92" t="str">
        <f>'SN1'!C7</f>
        <v>Componentes de la variación de la demanda Islas Baleares</v>
      </c>
    </row>
    <row r="9" spans="2:15" s="87" customFormat="1" ht="12.6" customHeight="1">
      <c r="B9" s="86"/>
      <c r="C9" s="93"/>
      <c r="D9" s="91" t="s">
        <v>51</v>
      </c>
      <c r="E9" s="92" t="str">
        <f>'SN2'!C7</f>
        <v>Componentes de la variación de la demanda Islas Canarias</v>
      </c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2:15" s="87" customFormat="1" ht="12.6" customHeight="1">
      <c r="B10" s="86"/>
      <c r="C10" s="93"/>
      <c r="D10" s="91" t="s">
        <v>51</v>
      </c>
      <c r="E10" s="92" t="s">
        <v>53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2:15" ht="12.6" customHeight="1">
      <c r="D11" s="91" t="s">
        <v>51</v>
      </c>
      <c r="E11" s="92" t="str">
        <f>'SN4'!C7</f>
        <v>Estructura de potencia instalada Islas Baleares</v>
      </c>
    </row>
    <row r="12" spans="2:15" ht="12.6" customHeight="1">
      <c r="D12" s="91" t="s">
        <v>51</v>
      </c>
      <c r="E12" s="92" t="str">
        <f>'SN4'!C24</f>
        <v>Cobertura de la demanda mensual Islas Baleares</v>
      </c>
    </row>
    <row r="13" spans="2:15" ht="12.6" customHeight="1">
      <c r="D13" s="91" t="s">
        <v>51</v>
      </c>
      <c r="E13" s="92" t="str">
        <f>'SN5'!C7</f>
        <v xml:space="preserve">Evolución de la cobertura de la demanda de las Islas Baleares
</v>
      </c>
    </row>
    <row r="14" spans="2:15" ht="12.6" customHeight="1">
      <c r="D14" s="91" t="s">
        <v>51</v>
      </c>
      <c r="E14" s="92" t="str">
        <f>'SN6'!C7</f>
        <v>Estructura de potencia instalada Islas Canarias</v>
      </c>
    </row>
    <row r="15" spans="2:15" ht="12.6" customHeight="1">
      <c r="D15" s="91" t="s">
        <v>51</v>
      </c>
      <c r="E15" s="92" t="str">
        <f>'SN6'!C24</f>
        <v>Cobertura de la demanda mensual Islas Canarias</v>
      </c>
    </row>
    <row r="16" spans="2:15" ht="12.75" customHeight="1">
      <c r="D16" s="91" t="s">
        <v>51</v>
      </c>
      <c r="E16" s="92" t="str">
        <f>'SN7'!C7</f>
        <v xml:space="preserve">Evolución de la cobertura de la demanda de las Islas Canarias
</v>
      </c>
    </row>
    <row r="17" spans="2:5" s="87" customFormat="1" ht="7.5" customHeight="1">
      <c r="B17" s="86"/>
      <c r="C17" s="89"/>
      <c r="D17" s="90"/>
      <c r="E17" s="90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="90" zoomScaleNormal="90" workbookViewId="0">
      <selection activeCell="C71" sqref="C71"/>
    </sheetView>
  </sheetViews>
  <sheetFormatPr baseColWidth="10" defaultColWidth="11.42578125" defaultRowHeight="12"/>
  <cols>
    <col min="1" max="1" width="7.85546875" style="102" bestFit="1" customWidth="1"/>
    <col min="2" max="2" width="12.85546875" style="102" bestFit="1" customWidth="1"/>
    <col min="3" max="3" width="23.7109375" style="102" bestFit="1" customWidth="1"/>
    <col min="4" max="4" width="19.85546875" style="102" bestFit="1" customWidth="1"/>
    <col min="5" max="5" width="20.5703125" style="102" bestFit="1" customWidth="1"/>
    <col min="6" max="6" width="32.28515625" style="102" bestFit="1" customWidth="1"/>
    <col min="7" max="7" width="23.7109375" style="102" bestFit="1" customWidth="1"/>
    <col min="8" max="8" width="19.85546875" style="102" bestFit="1" customWidth="1"/>
    <col min="9" max="9" width="20.42578125" style="102" bestFit="1" customWidth="1"/>
    <col min="10" max="11" width="27.85546875" style="102" bestFit="1" customWidth="1"/>
    <col min="12" max="12" width="24" style="102" bestFit="1" customWidth="1"/>
    <col min="13" max="13" width="24.7109375" style="102" bestFit="1" customWidth="1"/>
    <col min="14" max="14" width="32" style="102" bestFit="1" customWidth="1"/>
    <col min="15" max="33" width="21.7109375" style="102" customWidth="1"/>
    <col min="34" max="16384" width="11.42578125" style="102"/>
  </cols>
  <sheetData>
    <row r="1" spans="1:33">
      <c r="A1" s="132" t="s">
        <v>67</v>
      </c>
      <c r="B1" s="132" t="s">
        <v>71</v>
      </c>
    </row>
    <row r="2" spans="1:33">
      <c r="A2" s="133" t="s">
        <v>122</v>
      </c>
      <c r="B2" s="133" t="s">
        <v>123</v>
      </c>
    </row>
    <row r="4" spans="1:33" ht="15">
      <c r="A4" s="134" t="s">
        <v>67</v>
      </c>
      <c r="B4" s="198" t="s">
        <v>122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</row>
    <row r="5" spans="1:33" ht="15">
      <c r="A5" s="134" t="s">
        <v>68</v>
      </c>
      <c r="B5" s="214" t="s">
        <v>15</v>
      </c>
      <c r="C5" s="215"/>
      <c r="D5" s="215"/>
      <c r="E5" s="215"/>
      <c r="F5" s="215"/>
      <c r="G5" s="215"/>
      <c r="H5" s="215"/>
      <c r="I5" s="216"/>
      <c r="J5" s="214" t="s">
        <v>14</v>
      </c>
      <c r="K5" s="215"/>
      <c r="L5" s="215"/>
      <c r="M5" s="215"/>
      <c r="N5" s="215"/>
      <c r="O5" s="215"/>
      <c r="P5" s="215"/>
      <c r="Q5" s="216"/>
      <c r="R5" s="214" t="s">
        <v>57</v>
      </c>
      <c r="S5" s="215"/>
      <c r="T5" s="215"/>
      <c r="U5" s="215"/>
      <c r="V5" s="215"/>
      <c r="W5" s="215"/>
      <c r="X5" s="215"/>
      <c r="Y5" s="216"/>
      <c r="Z5" s="214" t="s">
        <v>58</v>
      </c>
      <c r="AA5" s="215"/>
      <c r="AB5" s="215"/>
      <c r="AC5" s="215"/>
      <c r="AD5" s="215"/>
      <c r="AE5" s="215"/>
      <c r="AF5" s="215"/>
      <c r="AG5" s="215"/>
    </row>
    <row r="6" spans="1:33">
      <c r="A6" s="134" t="s">
        <v>69</v>
      </c>
      <c r="B6" s="182" t="s">
        <v>59</v>
      </c>
      <c r="C6" s="182" t="s">
        <v>60</v>
      </c>
      <c r="D6" s="182" t="s">
        <v>61</v>
      </c>
      <c r="E6" s="182" t="s">
        <v>62</v>
      </c>
      <c r="F6" s="182" t="s">
        <v>63</v>
      </c>
      <c r="G6" s="182" t="s">
        <v>64</v>
      </c>
      <c r="H6" s="182" t="s">
        <v>65</v>
      </c>
      <c r="I6" s="182" t="s">
        <v>66</v>
      </c>
      <c r="J6" s="182" t="s">
        <v>59</v>
      </c>
      <c r="K6" s="182" t="s">
        <v>60</v>
      </c>
      <c r="L6" s="182" t="s">
        <v>61</v>
      </c>
      <c r="M6" s="182" t="s">
        <v>62</v>
      </c>
      <c r="N6" s="182" t="s">
        <v>63</v>
      </c>
      <c r="O6" s="182" t="s">
        <v>64</v>
      </c>
      <c r="P6" s="182" t="s">
        <v>65</v>
      </c>
      <c r="Q6" s="182" t="s">
        <v>66</v>
      </c>
      <c r="R6" s="182" t="s">
        <v>59</v>
      </c>
      <c r="S6" s="182" t="s">
        <v>60</v>
      </c>
      <c r="T6" s="182" t="s">
        <v>61</v>
      </c>
      <c r="U6" s="182" t="s">
        <v>62</v>
      </c>
      <c r="V6" s="182" t="s">
        <v>63</v>
      </c>
      <c r="W6" s="182" t="s">
        <v>64</v>
      </c>
      <c r="X6" s="182" t="s">
        <v>65</v>
      </c>
      <c r="Y6" s="182" t="s">
        <v>66</v>
      </c>
      <c r="Z6" s="182" t="s">
        <v>59</v>
      </c>
      <c r="AA6" s="182" t="s">
        <v>60</v>
      </c>
      <c r="AB6" s="182" t="s">
        <v>61</v>
      </c>
      <c r="AC6" s="182" t="s">
        <v>62</v>
      </c>
      <c r="AD6" s="182" t="s">
        <v>63</v>
      </c>
      <c r="AE6" s="182" t="s">
        <v>64</v>
      </c>
      <c r="AF6" s="182" t="s">
        <v>65</v>
      </c>
      <c r="AG6" s="182" t="s">
        <v>66</v>
      </c>
    </row>
    <row r="7" spans="1:33">
      <c r="A7" s="134" t="s">
        <v>70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</row>
    <row r="8" spans="1:33">
      <c r="A8" s="133" t="s">
        <v>12</v>
      </c>
      <c r="B8" s="171">
        <v>0</v>
      </c>
      <c r="C8" s="171">
        <v>0</v>
      </c>
      <c r="D8" s="172">
        <v>0</v>
      </c>
      <c r="E8" s="171">
        <v>0</v>
      </c>
      <c r="F8" s="171">
        <v>0</v>
      </c>
      <c r="G8" s="172">
        <v>0</v>
      </c>
      <c r="H8" s="171">
        <v>0</v>
      </c>
      <c r="I8" s="172">
        <v>0</v>
      </c>
      <c r="J8" s="171">
        <v>0</v>
      </c>
      <c r="K8" s="171">
        <v>0</v>
      </c>
      <c r="L8" s="172">
        <v>0</v>
      </c>
      <c r="M8" s="171">
        <v>0</v>
      </c>
      <c r="N8" s="171">
        <v>0</v>
      </c>
      <c r="O8" s="172">
        <v>0</v>
      </c>
      <c r="P8" s="171">
        <v>0</v>
      </c>
      <c r="Q8" s="172">
        <v>0</v>
      </c>
      <c r="R8" s="171">
        <v>0</v>
      </c>
      <c r="S8" s="171">
        <v>0</v>
      </c>
      <c r="T8" s="172">
        <v>0</v>
      </c>
      <c r="U8" s="171">
        <v>0</v>
      </c>
      <c r="V8" s="171">
        <v>0</v>
      </c>
      <c r="W8" s="172">
        <v>0</v>
      </c>
      <c r="X8" s="171">
        <v>0</v>
      </c>
      <c r="Y8" s="172">
        <v>0</v>
      </c>
      <c r="Z8" s="171">
        <v>297.90899999999999</v>
      </c>
      <c r="AA8" s="171">
        <v>298.70100000000002</v>
      </c>
      <c r="AB8" s="172">
        <v>-2.6514809000000002E-3</v>
      </c>
      <c r="AC8" s="171">
        <v>1393.65</v>
      </c>
      <c r="AD8" s="171">
        <v>1414.0139999999999</v>
      </c>
      <c r="AE8" s="172">
        <v>-1.4401554699999999E-2</v>
      </c>
      <c r="AF8" s="171">
        <v>3411.1309999999999</v>
      </c>
      <c r="AG8" s="172">
        <v>6.1592402099999999E-2</v>
      </c>
    </row>
    <row r="9" spans="1:33">
      <c r="A9" s="133" t="s">
        <v>11</v>
      </c>
      <c r="B9" s="171">
        <v>0</v>
      </c>
      <c r="C9" s="171">
        <v>0</v>
      </c>
      <c r="D9" s="172">
        <v>0</v>
      </c>
      <c r="E9" s="171">
        <v>0</v>
      </c>
      <c r="F9" s="171">
        <v>0</v>
      </c>
      <c r="G9" s="172">
        <v>0</v>
      </c>
      <c r="H9" s="171">
        <v>0</v>
      </c>
      <c r="I9" s="172">
        <v>0</v>
      </c>
      <c r="J9" s="171">
        <v>0</v>
      </c>
      <c r="K9" s="171">
        <v>0</v>
      </c>
      <c r="L9" s="172">
        <v>0</v>
      </c>
      <c r="M9" s="171">
        <v>0</v>
      </c>
      <c r="N9" s="171">
        <v>0</v>
      </c>
      <c r="O9" s="172">
        <v>0</v>
      </c>
      <c r="P9" s="171">
        <v>0</v>
      </c>
      <c r="Q9" s="172">
        <v>0</v>
      </c>
      <c r="R9" s="171">
        <v>-832.96900000000005</v>
      </c>
      <c r="S9" s="171">
        <v>-1030.2370000000001</v>
      </c>
      <c r="T9" s="172">
        <v>-0.19147827149999999</v>
      </c>
      <c r="U9" s="171">
        <v>-3394.66</v>
      </c>
      <c r="V9" s="171">
        <v>-3512.1869999999999</v>
      </c>
      <c r="W9" s="172">
        <v>-3.3462626000000002E-2</v>
      </c>
      <c r="X9" s="171">
        <v>78769.732000000004</v>
      </c>
      <c r="Y9" s="172">
        <v>0.76314749110000002</v>
      </c>
      <c r="Z9" s="171">
        <v>0</v>
      </c>
      <c r="AA9" s="171">
        <v>0</v>
      </c>
      <c r="AB9" s="172">
        <v>0</v>
      </c>
      <c r="AC9" s="171">
        <v>0</v>
      </c>
      <c r="AD9" s="171">
        <v>0</v>
      </c>
      <c r="AE9" s="172">
        <v>0</v>
      </c>
      <c r="AF9" s="171">
        <v>0</v>
      </c>
      <c r="AG9" s="172">
        <v>0</v>
      </c>
    </row>
    <row r="10" spans="1:33">
      <c r="A10" s="133" t="s">
        <v>78</v>
      </c>
      <c r="B10" s="171">
        <v>14167.683000000001</v>
      </c>
      <c r="C10" s="171">
        <v>16199.483</v>
      </c>
      <c r="D10" s="172">
        <v>-0.12542375580000001</v>
      </c>
      <c r="E10" s="171">
        <v>75649.714999999997</v>
      </c>
      <c r="F10" s="171">
        <v>81214.94</v>
      </c>
      <c r="G10" s="172">
        <v>-6.8524645800000006E-2</v>
      </c>
      <c r="H10" s="171">
        <v>189355.54</v>
      </c>
      <c r="I10" s="172">
        <v>-4.4572677900000003E-2</v>
      </c>
      <c r="J10" s="171">
        <v>14581.069</v>
      </c>
      <c r="K10" s="171">
        <v>14310.450999999999</v>
      </c>
      <c r="L10" s="172">
        <v>1.8910515100000001E-2</v>
      </c>
      <c r="M10" s="171">
        <v>71614.839000000007</v>
      </c>
      <c r="N10" s="171">
        <v>72965.888999999996</v>
      </c>
      <c r="O10" s="172">
        <v>-1.8516186399999999E-2</v>
      </c>
      <c r="P10" s="171">
        <v>183221.81700000001</v>
      </c>
      <c r="Q10" s="172">
        <v>-3.7131953199999998E-2</v>
      </c>
      <c r="R10" s="171">
        <v>12707.01</v>
      </c>
      <c r="S10" s="171">
        <v>43134.307000000001</v>
      </c>
      <c r="T10" s="172">
        <v>-0.70540827279999996</v>
      </c>
      <c r="U10" s="171">
        <v>46087.406999999999</v>
      </c>
      <c r="V10" s="171">
        <v>167561.185</v>
      </c>
      <c r="W10" s="172">
        <v>-0.72495177209999995</v>
      </c>
      <c r="X10" s="171">
        <v>279942.027</v>
      </c>
      <c r="Y10" s="172">
        <v>-0.40160727629999998</v>
      </c>
      <c r="Z10" s="171">
        <v>152672.84400000001</v>
      </c>
      <c r="AA10" s="171">
        <v>142200.139</v>
      </c>
      <c r="AB10" s="172">
        <v>7.3647642499999999E-2</v>
      </c>
      <c r="AC10" s="171">
        <v>744729.36</v>
      </c>
      <c r="AD10" s="171">
        <v>702354.701</v>
      </c>
      <c r="AE10" s="172">
        <v>6.0332277900000002E-2</v>
      </c>
      <c r="AF10" s="171">
        <v>1797614.6869999999</v>
      </c>
      <c r="AG10" s="172">
        <v>1.50282725E-2</v>
      </c>
    </row>
    <row r="11" spans="1:33">
      <c r="A11" s="133" t="s">
        <v>9</v>
      </c>
      <c r="B11" s="171">
        <v>4.83</v>
      </c>
      <c r="C11" s="171">
        <v>4.2679999999999998</v>
      </c>
      <c r="D11" s="172">
        <v>0.13167760070000001</v>
      </c>
      <c r="E11" s="171">
        <v>32.563000000000002</v>
      </c>
      <c r="F11" s="171">
        <v>47.764000000000003</v>
      </c>
      <c r="G11" s="172">
        <v>-0.31825224019999998</v>
      </c>
      <c r="H11" s="171">
        <v>463.33</v>
      </c>
      <c r="I11" s="172">
        <v>1.0920099695000001</v>
      </c>
      <c r="J11" s="171">
        <v>1.875</v>
      </c>
      <c r="K11" s="171">
        <v>19.233000000000001</v>
      </c>
      <c r="L11" s="172">
        <v>-0.90251130869999996</v>
      </c>
      <c r="M11" s="171">
        <v>11.183</v>
      </c>
      <c r="N11" s="171">
        <v>77.260999999999996</v>
      </c>
      <c r="O11" s="172">
        <v>-0.85525685659999995</v>
      </c>
      <c r="P11" s="171">
        <v>33.814</v>
      </c>
      <c r="Q11" s="172">
        <v>-0.65173955139999995</v>
      </c>
      <c r="R11" s="171">
        <v>35218.072</v>
      </c>
      <c r="S11" s="171">
        <v>26908.511999999999</v>
      </c>
      <c r="T11" s="172">
        <v>0.30880785979999997</v>
      </c>
      <c r="U11" s="171">
        <v>180907.09899999999</v>
      </c>
      <c r="V11" s="171">
        <v>86727.137000000002</v>
      </c>
      <c r="W11" s="172">
        <v>1.0859341754</v>
      </c>
      <c r="X11" s="171">
        <v>490087.93900000001</v>
      </c>
      <c r="Y11" s="172">
        <v>0.9171956362</v>
      </c>
      <c r="Z11" s="171">
        <v>23467.611000000001</v>
      </c>
      <c r="AA11" s="171">
        <v>15375.763999999999</v>
      </c>
      <c r="AB11" s="172">
        <v>0.52627284080000003</v>
      </c>
      <c r="AC11" s="171">
        <v>103123.97199999999</v>
      </c>
      <c r="AD11" s="171">
        <v>97664.37</v>
      </c>
      <c r="AE11" s="172">
        <v>5.5901676300000001E-2</v>
      </c>
      <c r="AF11" s="171">
        <v>266450.47600000002</v>
      </c>
      <c r="AG11" s="172">
        <v>0.16872502850000001</v>
      </c>
    </row>
    <row r="12" spans="1:33">
      <c r="A12" s="133" t="s">
        <v>8</v>
      </c>
      <c r="B12" s="171">
        <v>0</v>
      </c>
      <c r="C12" s="171">
        <v>0</v>
      </c>
      <c r="D12" s="172">
        <v>0</v>
      </c>
      <c r="E12" s="171">
        <v>0</v>
      </c>
      <c r="F12" s="171">
        <v>0</v>
      </c>
      <c r="G12" s="172">
        <v>0</v>
      </c>
      <c r="H12" s="171">
        <v>0</v>
      </c>
      <c r="I12" s="172">
        <v>0</v>
      </c>
      <c r="J12" s="171">
        <v>0</v>
      </c>
      <c r="K12" s="171">
        <v>0</v>
      </c>
      <c r="L12" s="172">
        <v>0</v>
      </c>
      <c r="M12" s="171">
        <v>0</v>
      </c>
      <c r="N12" s="171">
        <v>0</v>
      </c>
      <c r="O12" s="172">
        <v>0</v>
      </c>
      <c r="P12" s="171">
        <v>0</v>
      </c>
      <c r="Q12" s="172">
        <v>0</v>
      </c>
      <c r="R12" s="171">
        <v>0</v>
      </c>
      <c r="S12" s="171">
        <v>0</v>
      </c>
      <c r="T12" s="172">
        <v>0</v>
      </c>
      <c r="U12" s="171">
        <v>0</v>
      </c>
      <c r="V12" s="171">
        <v>0</v>
      </c>
      <c r="W12" s="172">
        <v>0</v>
      </c>
      <c r="X12" s="171">
        <v>0</v>
      </c>
      <c r="Y12" s="172">
        <v>0</v>
      </c>
      <c r="Z12" s="171">
        <v>84880.948999999993</v>
      </c>
      <c r="AA12" s="171">
        <v>86849.653000000006</v>
      </c>
      <c r="AB12" s="172">
        <v>-2.26679547E-2</v>
      </c>
      <c r="AC12" s="171">
        <v>513807.58</v>
      </c>
      <c r="AD12" s="171">
        <v>524957.42799999996</v>
      </c>
      <c r="AE12" s="172">
        <v>-2.1239528000000001E-2</v>
      </c>
      <c r="AF12" s="171">
        <v>1196083.216</v>
      </c>
      <c r="AG12" s="172">
        <v>1.5400358100000001E-2</v>
      </c>
    </row>
    <row r="13" spans="1:33">
      <c r="A13" s="133" t="s">
        <v>25</v>
      </c>
      <c r="B13" s="171">
        <v>0</v>
      </c>
      <c r="C13" s="171">
        <v>0</v>
      </c>
      <c r="D13" s="172">
        <v>0</v>
      </c>
      <c r="E13" s="171">
        <v>0</v>
      </c>
      <c r="F13" s="171">
        <v>0</v>
      </c>
      <c r="G13" s="172">
        <v>0</v>
      </c>
      <c r="H13" s="171">
        <v>0</v>
      </c>
      <c r="I13" s="172">
        <v>0</v>
      </c>
      <c r="J13" s="171">
        <v>0</v>
      </c>
      <c r="K13" s="171">
        <v>0</v>
      </c>
      <c r="L13" s="172">
        <v>0</v>
      </c>
      <c r="M13" s="171">
        <v>0</v>
      </c>
      <c r="N13" s="171">
        <v>0</v>
      </c>
      <c r="O13" s="172">
        <v>0</v>
      </c>
      <c r="P13" s="171">
        <v>0</v>
      </c>
      <c r="Q13" s="172">
        <v>0</v>
      </c>
      <c r="R13" s="171">
        <v>231475.462</v>
      </c>
      <c r="S13" s="171">
        <v>317555.95500000002</v>
      </c>
      <c r="T13" s="172">
        <v>-0.27107189030000001</v>
      </c>
      <c r="U13" s="171">
        <v>1159337.7169999999</v>
      </c>
      <c r="V13" s="171">
        <v>1604695.5179999999</v>
      </c>
      <c r="W13" s="172">
        <v>-0.27753414650000002</v>
      </c>
      <c r="X13" s="171">
        <v>3540322.5490000001</v>
      </c>
      <c r="Y13" s="172">
        <v>-0.1169917509</v>
      </c>
      <c r="Z13" s="171">
        <v>275340.984</v>
      </c>
      <c r="AA13" s="171">
        <v>303456.63500000001</v>
      </c>
      <c r="AB13" s="172">
        <v>-9.2651297600000002E-2</v>
      </c>
      <c r="AC13" s="171">
        <v>1408468.0390000001</v>
      </c>
      <c r="AD13" s="171">
        <v>1493027.6510000001</v>
      </c>
      <c r="AE13" s="172">
        <v>-5.6636333499999997E-2</v>
      </c>
      <c r="AF13" s="171">
        <v>3505450.915</v>
      </c>
      <c r="AG13" s="172">
        <v>-1.0089241400000001E-2</v>
      </c>
    </row>
    <row r="14" spans="1:33">
      <c r="A14" s="133" t="s">
        <v>24</v>
      </c>
      <c r="B14" s="171">
        <v>0</v>
      </c>
      <c r="C14" s="171">
        <v>0</v>
      </c>
      <c r="D14" s="172">
        <v>0</v>
      </c>
      <c r="E14" s="171">
        <v>0</v>
      </c>
      <c r="F14" s="171">
        <v>0</v>
      </c>
      <c r="G14" s="172">
        <v>0</v>
      </c>
      <c r="H14" s="171">
        <v>0</v>
      </c>
      <c r="I14" s="172">
        <v>0</v>
      </c>
      <c r="J14" s="171">
        <v>0</v>
      </c>
      <c r="K14" s="171">
        <v>0</v>
      </c>
      <c r="L14" s="172">
        <v>0</v>
      </c>
      <c r="M14" s="171">
        <v>0</v>
      </c>
      <c r="N14" s="171">
        <v>0</v>
      </c>
      <c r="O14" s="172">
        <v>0</v>
      </c>
      <c r="P14" s="171">
        <v>0</v>
      </c>
      <c r="Q14" s="172">
        <v>0</v>
      </c>
      <c r="R14" s="171">
        <v>0</v>
      </c>
      <c r="S14" s="171">
        <v>0</v>
      </c>
      <c r="T14" s="172">
        <v>0</v>
      </c>
      <c r="U14" s="171">
        <v>0</v>
      </c>
      <c r="V14" s="171">
        <v>0</v>
      </c>
      <c r="W14" s="172">
        <v>0</v>
      </c>
      <c r="X14" s="171">
        <v>12117.501</v>
      </c>
      <c r="Y14" s="172">
        <v>0.1169343268</v>
      </c>
      <c r="Z14" s="171">
        <v>-13.481</v>
      </c>
      <c r="AA14" s="171">
        <v>0</v>
      </c>
      <c r="AB14" s="172">
        <v>0</v>
      </c>
      <c r="AC14" s="171">
        <v>-63.978000000000002</v>
      </c>
      <c r="AD14" s="171">
        <v>0</v>
      </c>
      <c r="AE14" s="172">
        <v>0</v>
      </c>
      <c r="AF14" s="171">
        <v>-129.65</v>
      </c>
      <c r="AG14" s="172">
        <v>0</v>
      </c>
    </row>
    <row r="15" spans="1:33">
      <c r="A15" s="133" t="s">
        <v>6</v>
      </c>
      <c r="B15" s="171">
        <v>0</v>
      </c>
      <c r="C15" s="171">
        <v>0</v>
      </c>
      <c r="D15" s="172">
        <v>0</v>
      </c>
      <c r="E15" s="171">
        <v>0</v>
      </c>
      <c r="F15" s="171">
        <v>0</v>
      </c>
      <c r="G15" s="172">
        <v>0</v>
      </c>
      <c r="H15" s="171">
        <v>0</v>
      </c>
      <c r="I15" s="172">
        <v>0</v>
      </c>
      <c r="J15" s="171">
        <v>0</v>
      </c>
      <c r="K15" s="171">
        <v>0</v>
      </c>
      <c r="L15" s="172">
        <v>0</v>
      </c>
      <c r="M15" s="171">
        <v>0</v>
      </c>
      <c r="N15" s="171">
        <v>0</v>
      </c>
      <c r="O15" s="172">
        <v>0</v>
      </c>
      <c r="P15" s="171">
        <v>0</v>
      </c>
      <c r="Q15" s="172">
        <v>0</v>
      </c>
      <c r="R15" s="171">
        <v>0</v>
      </c>
      <c r="S15" s="171">
        <v>0</v>
      </c>
      <c r="T15" s="172">
        <v>0</v>
      </c>
      <c r="U15" s="171">
        <v>0</v>
      </c>
      <c r="V15" s="171">
        <v>0</v>
      </c>
      <c r="W15" s="172">
        <v>0</v>
      </c>
      <c r="X15" s="171">
        <v>0</v>
      </c>
      <c r="Y15" s="172">
        <v>0</v>
      </c>
      <c r="Z15" s="171">
        <v>2067.1950000000002</v>
      </c>
      <c r="AA15" s="171">
        <v>1917.174</v>
      </c>
      <c r="AB15" s="172">
        <v>7.8251113400000002E-2</v>
      </c>
      <c r="AC15" s="171">
        <v>7691.8220000000001</v>
      </c>
      <c r="AD15" s="171">
        <v>8388.9860000000008</v>
      </c>
      <c r="AE15" s="172">
        <v>-8.3104680400000006E-2</v>
      </c>
      <c r="AF15" s="171">
        <v>22183.68</v>
      </c>
      <c r="AG15" s="172">
        <v>-4.7221457699999997E-2</v>
      </c>
    </row>
    <row r="16" spans="1:33">
      <c r="A16" s="133" t="s">
        <v>5</v>
      </c>
      <c r="B16" s="171">
        <v>0</v>
      </c>
      <c r="C16" s="171">
        <v>0</v>
      </c>
      <c r="D16" s="172">
        <v>0</v>
      </c>
      <c r="E16" s="171">
        <v>0</v>
      </c>
      <c r="F16" s="171">
        <v>0</v>
      </c>
      <c r="G16" s="172">
        <v>0</v>
      </c>
      <c r="H16" s="171">
        <v>0</v>
      </c>
      <c r="I16" s="172">
        <v>0</v>
      </c>
      <c r="J16" s="171">
        <v>0</v>
      </c>
      <c r="K16" s="171">
        <v>0</v>
      </c>
      <c r="L16" s="172">
        <v>0</v>
      </c>
      <c r="M16" s="171">
        <v>0</v>
      </c>
      <c r="N16" s="171">
        <v>0</v>
      </c>
      <c r="O16" s="172">
        <v>0</v>
      </c>
      <c r="P16" s="171">
        <v>0</v>
      </c>
      <c r="Q16" s="172">
        <v>0</v>
      </c>
      <c r="R16" s="171">
        <v>249.65100000000001</v>
      </c>
      <c r="S16" s="171">
        <v>160.791</v>
      </c>
      <c r="T16" s="172">
        <v>0.55264287180000005</v>
      </c>
      <c r="U16" s="171">
        <v>976.31600000000003</v>
      </c>
      <c r="V16" s="171">
        <v>1182.9169999999999</v>
      </c>
      <c r="W16" s="172">
        <v>-0.174653843</v>
      </c>
      <c r="X16" s="171">
        <v>1242.769</v>
      </c>
      <c r="Y16" s="172">
        <v>-0.4576002884</v>
      </c>
      <c r="Z16" s="171">
        <v>130950.201</v>
      </c>
      <c r="AA16" s="171">
        <v>116965.55499999999</v>
      </c>
      <c r="AB16" s="172">
        <v>0.1195620882</v>
      </c>
      <c r="AC16" s="171">
        <v>541486.95799999998</v>
      </c>
      <c r="AD16" s="171">
        <v>496322.03499999997</v>
      </c>
      <c r="AE16" s="172">
        <v>9.099923E-2</v>
      </c>
      <c r="AF16" s="171">
        <v>1417599.9439999999</v>
      </c>
      <c r="AG16" s="172">
        <v>3.3447173500000003E-2</v>
      </c>
    </row>
    <row r="17" spans="1:33">
      <c r="A17" s="133" t="s">
        <v>4</v>
      </c>
      <c r="B17" s="171">
        <v>0</v>
      </c>
      <c r="C17" s="171">
        <v>0</v>
      </c>
      <c r="D17" s="172">
        <v>0</v>
      </c>
      <c r="E17" s="171">
        <v>0</v>
      </c>
      <c r="F17" s="171">
        <v>0</v>
      </c>
      <c r="G17" s="172">
        <v>0</v>
      </c>
      <c r="H17" s="171">
        <v>0</v>
      </c>
      <c r="I17" s="172">
        <v>0</v>
      </c>
      <c r="J17" s="171">
        <v>7.6180000000000003</v>
      </c>
      <c r="K17" s="171">
        <v>7.9569999999999999</v>
      </c>
      <c r="L17" s="172">
        <v>-4.2603996499999998E-2</v>
      </c>
      <c r="M17" s="171">
        <v>31.789000000000001</v>
      </c>
      <c r="N17" s="171">
        <v>29.829000000000001</v>
      </c>
      <c r="O17" s="172">
        <v>6.5707868200000005E-2</v>
      </c>
      <c r="P17" s="171">
        <v>74.177999999999997</v>
      </c>
      <c r="Q17" s="172">
        <v>0.20598946479999999</v>
      </c>
      <c r="R17" s="171">
        <v>33460.432000000001</v>
      </c>
      <c r="S17" s="171">
        <v>27351.010999999999</v>
      </c>
      <c r="T17" s="172">
        <v>0.22337093860000001</v>
      </c>
      <c r="U17" s="171">
        <v>144133.02900000001</v>
      </c>
      <c r="V17" s="171">
        <v>95818.065000000002</v>
      </c>
      <c r="W17" s="172">
        <v>0.50423648190000003</v>
      </c>
      <c r="X17" s="171">
        <v>317034.49</v>
      </c>
      <c r="Y17" s="172">
        <v>0.46889787290000001</v>
      </c>
      <c r="Z17" s="171">
        <v>30462.913</v>
      </c>
      <c r="AA17" s="171">
        <v>32971.663999999997</v>
      </c>
      <c r="AB17" s="172">
        <v>-7.6088091900000002E-2</v>
      </c>
      <c r="AC17" s="171">
        <v>134767.049</v>
      </c>
      <c r="AD17" s="171">
        <v>121361.694</v>
      </c>
      <c r="AE17" s="172">
        <v>0.1104578764</v>
      </c>
      <c r="AF17" s="171">
        <v>327686.11499999999</v>
      </c>
      <c r="AG17" s="172">
        <v>0.19165910990000001</v>
      </c>
    </row>
    <row r="18" spans="1:33">
      <c r="A18" s="133" t="s">
        <v>22</v>
      </c>
      <c r="B18" s="171">
        <v>0</v>
      </c>
      <c r="C18" s="171">
        <v>0</v>
      </c>
      <c r="D18" s="172">
        <v>0</v>
      </c>
      <c r="E18" s="171">
        <v>0</v>
      </c>
      <c r="F18" s="171">
        <v>0</v>
      </c>
      <c r="G18" s="172">
        <v>0</v>
      </c>
      <c r="H18" s="171">
        <v>0</v>
      </c>
      <c r="I18" s="172">
        <v>0</v>
      </c>
      <c r="J18" s="171">
        <v>0</v>
      </c>
      <c r="K18" s="171">
        <v>0</v>
      </c>
      <c r="L18" s="172">
        <v>0</v>
      </c>
      <c r="M18" s="171">
        <v>0</v>
      </c>
      <c r="N18" s="171">
        <v>0</v>
      </c>
      <c r="O18" s="172">
        <v>0</v>
      </c>
      <c r="P18" s="171">
        <v>0</v>
      </c>
      <c r="Q18" s="172">
        <v>0</v>
      </c>
      <c r="R18" s="171">
        <v>90.162999999999997</v>
      </c>
      <c r="S18" s="171">
        <v>166.327</v>
      </c>
      <c r="T18" s="172">
        <v>-0.4579172353</v>
      </c>
      <c r="U18" s="171">
        <v>506.06799999999998</v>
      </c>
      <c r="V18" s="171">
        <v>1189.019</v>
      </c>
      <c r="W18" s="172">
        <v>-0.57438190639999998</v>
      </c>
      <c r="X18" s="171">
        <v>1099.6469999999999</v>
      </c>
      <c r="Y18" s="172">
        <v>-0.51450592179999999</v>
      </c>
      <c r="Z18" s="171">
        <v>650.55600000000004</v>
      </c>
      <c r="AA18" s="171">
        <v>721.46400000000006</v>
      </c>
      <c r="AB18" s="172">
        <v>-9.8283490200000004E-2</v>
      </c>
      <c r="AC18" s="171">
        <v>3515.1559999999999</v>
      </c>
      <c r="AD18" s="171">
        <v>3826.0610000000001</v>
      </c>
      <c r="AE18" s="172">
        <v>-8.1259812599999995E-2</v>
      </c>
      <c r="AF18" s="171">
        <v>8610.4549999999999</v>
      </c>
      <c r="AG18" s="172">
        <v>2.3973610000000002E-3</v>
      </c>
    </row>
    <row r="19" spans="1:33">
      <c r="A19" s="133" t="s">
        <v>23</v>
      </c>
      <c r="B19" s="171">
        <v>0</v>
      </c>
      <c r="C19" s="171">
        <v>0</v>
      </c>
      <c r="D19" s="172">
        <v>0</v>
      </c>
      <c r="E19" s="171">
        <v>0</v>
      </c>
      <c r="F19" s="171">
        <v>0</v>
      </c>
      <c r="G19" s="172">
        <v>0</v>
      </c>
      <c r="H19" s="171">
        <v>0</v>
      </c>
      <c r="I19" s="172">
        <v>0</v>
      </c>
      <c r="J19" s="171">
        <v>0</v>
      </c>
      <c r="K19" s="171">
        <v>0</v>
      </c>
      <c r="L19" s="172">
        <v>0</v>
      </c>
      <c r="M19" s="171">
        <v>0</v>
      </c>
      <c r="N19" s="171">
        <v>0</v>
      </c>
      <c r="O19" s="172">
        <v>0</v>
      </c>
      <c r="P19" s="171">
        <v>0</v>
      </c>
      <c r="Q19" s="172">
        <v>0</v>
      </c>
      <c r="R19" s="171">
        <v>3517.6019999999999</v>
      </c>
      <c r="S19" s="171">
        <v>1946.125</v>
      </c>
      <c r="T19" s="172">
        <v>0.80749026909999999</v>
      </c>
      <c r="U19" s="171">
        <v>16830.683000000001</v>
      </c>
      <c r="V19" s="171">
        <v>14247.418</v>
      </c>
      <c r="W19" s="172">
        <v>0.18131460730000001</v>
      </c>
      <c r="X19" s="171">
        <v>28949.618999999999</v>
      </c>
      <c r="Y19" s="172">
        <v>-0.2517446404</v>
      </c>
      <c r="Z19" s="171">
        <v>0</v>
      </c>
      <c r="AA19" s="171">
        <v>0</v>
      </c>
      <c r="AB19" s="172">
        <v>0</v>
      </c>
      <c r="AC19" s="171">
        <v>0</v>
      </c>
      <c r="AD19" s="171">
        <v>0</v>
      </c>
      <c r="AE19" s="172">
        <v>0</v>
      </c>
      <c r="AF19" s="171">
        <v>0</v>
      </c>
      <c r="AG19" s="172">
        <v>0</v>
      </c>
    </row>
    <row r="20" spans="1:33">
      <c r="A20" s="133" t="s">
        <v>54</v>
      </c>
      <c r="B20" s="171">
        <v>0</v>
      </c>
      <c r="C20" s="171">
        <v>0</v>
      </c>
      <c r="D20" s="172">
        <v>0</v>
      </c>
      <c r="E20" s="171">
        <v>0</v>
      </c>
      <c r="F20" s="171">
        <v>0</v>
      </c>
      <c r="G20" s="172">
        <v>0</v>
      </c>
      <c r="H20" s="171">
        <v>0</v>
      </c>
      <c r="I20" s="172">
        <v>0</v>
      </c>
      <c r="J20" s="171">
        <v>456.79300000000001</v>
      </c>
      <c r="K20" s="171">
        <v>637.35649999999998</v>
      </c>
      <c r="L20" s="172">
        <v>-0.28330063319999998</v>
      </c>
      <c r="M20" s="171">
        <v>2333.4580000000001</v>
      </c>
      <c r="N20" s="171">
        <v>2437.9699999999998</v>
      </c>
      <c r="O20" s="172">
        <v>-4.2868452000000001E-2</v>
      </c>
      <c r="P20" s="171">
        <v>5742.8154999999997</v>
      </c>
      <c r="Q20" s="172">
        <v>-5.3999874000000003E-3</v>
      </c>
      <c r="R20" s="171">
        <v>12228.6005</v>
      </c>
      <c r="S20" s="171">
        <v>11846.1975</v>
      </c>
      <c r="T20" s="172">
        <v>3.2280653800000003E-2</v>
      </c>
      <c r="U20" s="171">
        <v>49715.523000000001</v>
      </c>
      <c r="V20" s="171">
        <v>44627.11</v>
      </c>
      <c r="W20" s="172">
        <v>0.1140206704</v>
      </c>
      <c r="X20" s="171">
        <v>138149.69500000001</v>
      </c>
      <c r="Y20" s="172">
        <v>0.1138981157</v>
      </c>
      <c r="Z20" s="171">
        <v>0</v>
      </c>
      <c r="AA20" s="171">
        <v>0</v>
      </c>
      <c r="AB20" s="172">
        <v>0</v>
      </c>
      <c r="AC20" s="171">
        <v>0</v>
      </c>
      <c r="AD20" s="171">
        <v>0</v>
      </c>
      <c r="AE20" s="172">
        <v>0</v>
      </c>
      <c r="AF20" s="171">
        <v>0</v>
      </c>
      <c r="AG20" s="172">
        <v>0</v>
      </c>
    </row>
    <row r="21" spans="1:33">
      <c r="A21" s="133" t="s">
        <v>55</v>
      </c>
      <c r="B21" s="171">
        <v>0</v>
      </c>
      <c r="C21" s="171">
        <v>0</v>
      </c>
      <c r="D21" s="172">
        <v>0</v>
      </c>
      <c r="E21" s="171">
        <v>0</v>
      </c>
      <c r="F21" s="171">
        <v>0</v>
      </c>
      <c r="G21" s="172">
        <v>0</v>
      </c>
      <c r="H21" s="171">
        <v>0</v>
      </c>
      <c r="I21" s="172">
        <v>0</v>
      </c>
      <c r="J21" s="171">
        <v>456.79300000000001</v>
      </c>
      <c r="K21" s="171">
        <v>637.35649999999998</v>
      </c>
      <c r="L21" s="172">
        <v>-0.28330063319999998</v>
      </c>
      <c r="M21" s="171">
        <v>2333.4580000000001</v>
      </c>
      <c r="N21" s="171">
        <v>2437.9699999999998</v>
      </c>
      <c r="O21" s="172">
        <v>-4.2868452000000001E-2</v>
      </c>
      <c r="P21" s="171">
        <v>5742.8154999999997</v>
      </c>
      <c r="Q21" s="172">
        <v>-5.3999874000000003E-3</v>
      </c>
      <c r="R21" s="171">
        <v>12228.6005</v>
      </c>
      <c r="S21" s="171">
        <v>11846.1975</v>
      </c>
      <c r="T21" s="172">
        <v>3.2280653800000003E-2</v>
      </c>
      <c r="U21" s="171">
        <v>49715.523000000001</v>
      </c>
      <c r="V21" s="171">
        <v>44627.11</v>
      </c>
      <c r="W21" s="172">
        <v>0.1140206704</v>
      </c>
      <c r="X21" s="171">
        <v>138149.69500000001</v>
      </c>
      <c r="Y21" s="172">
        <v>0.1138981157</v>
      </c>
      <c r="Z21" s="171">
        <v>0</v>
      </c>
      <c r="AA21" s="171">
        <v>0</v>
      </c>
      <c r="AB21" s="172">
        <v>0</v>
      </c>
      <c r="AC21" s="171">
        <v>0</v>
      </c>
      <c r="AD21" s="171">
        <v>0</v>
      </c>
      <c r="AE21" s="172">
        <v>0</v>
      </c>
      <c r="AF21" s="171">
        <v>0</v>
      </c>
      <c r="AG21" s="172">
        <v>0</v>
      </c>
    </row>
    <row r="22" spans="1:33">
      <c r="A22" s="137" t="s">
        <v>2</v>
      </c>
      <c r="B22" s="173">
        <v>14172.513000000001</v>
      </c>
      <c r="C22" s="173">
        <v>16203.751</v>
      </c>
      <c r="D22" s="174">
        <v>-0.12535603640000001</v>
      </c>
      <c r="E22" s="173">
        <v>75682.278000000006</v>
      </c>
      <c r="F22" s="173">
        <v>81262.703999999998</v>
      </c>
      <c r="G22" s="174">
        <v>-6.8671428899999998E-2</v>
      </c>
      <c r="H22" s="173">
        <v>189818.87</v>
      </c>
      <c r="I22" s="174">
        <v>-4.3303968200000001E-2</v>
      </c>
      <c r="J22" s="173">
        <v>15504.147999999999</v>
      </c>
      <c r="K22" s="173">
        <v>15612.353999999999</v>
      </c>
      <c r="L22" s="174">
        <v>-6.9307934000000003E-3</v>
      </c>
      <c r="M22" s="173">
        <v>76324.726999999999</v>
      </c>
      <c r="N22" s="173">
        <v>77948.918999999994</v>
      </c>
      <c r="O22" s="174">
        <v>-2.0836619899999999E-2</v>
      </c>
      <c r="P22" s="173">
        <v>194815.44</v>
      </c>
      <c r="Q22" s="174">
        <v>-3.5539235699999998E-2</v>
      </c>
      <c r="R22" s="173">
        <v>340342.62400000001</v>
      </c>
      <c r="S22" s="173">
        <v>439885.18599999999</v>
      </c>
      <c r="T22" s="174">
        <v>-0.2262921443</v>
      </c>
      <c r="U22" s="173">
        <v>1644814.7050000001</v>
      </c>
      <c r="V22" s="173">
        <v>2057163.2919999999</v>
      </c>
      <c r="W22" s="174">
        <v>-0.20044523859999999</v>
      </c>
      <c r="X22" s="173">
        <v>5025865.6629999997</v>
      </c>
      <c r="Y22" s="174">
        <v>-5.0915428200000001E-2</v>
      </c>
      <c r="Z22" s="173">
        <v>700777.68099999998</v>
      </c>
      <c r="AA22" s="173">
        <v>700756.74899999995</v>
      </c>
      <c r="AB22" s="174">
        <v>2.98705649713924E-5</v>
      </c>
      <c r="AC22" s="173">
        <v>3458919.608</v>
      </c>
      <c r="AD22" s="173">
        <v>3449316.94</v>
      </c>
      <c r="AE22" s="174">
        <v>2.7839331999999998E-3</v>
      </c>
      <c r="AF22" s="173">
        <v>8544960.9690000005</v>
      </c>
      <c r="AG22" s="174">
        <v>1.7270115499999999E-2</v>
      </c>
    </row>
    <row r="23" spans="1:33">
      <c r="A23" s="133" t="s">
        <v>21</v>
      </c>
      <c r="B23" s="171">
        <v>0</v>
      </c>
      <c r="C23" s="171">
        <v>0</v>
      </c>
      <c r="D23" s="172">
        <v>0</v>
      </c>
      <c r="E23" s="171">
        <v>0</v>
      </c>
      <c r="F23" s="171">
        <v>0</v>
      </c>
      <c r="G23" s="172">
        <v>0</v>
      </c>
      <c r="H23" s="171">
        <v>0</v>
      </c>
      <c r="I23" s="172">
        <v>0</v>
      </c>
      <c r="J23" s="171">
        <v>0</v>
      </c>
      <c r="K23" s="171">
        <v>0</v>
      </c>
      <c r="L23" s="172">
        <v>0</v>
      </c>
      <c r="M23" s="171">
        <v>0</v>
      </c>
      <c r="N23" s="171">
        <v>0</v>
      </c>
      <c r="O23" s="172">
        <v>0</v>
      </c>
      <c r="P23" s="171">
        <v>0</v>
      </c>
      <c r="Q23" s="172">
        <v>0</v>
      </c>
      <c r="R23" s="171">
        <v>118762.416</v>
      </c>
      <c r="S23" s="171">
        <v>32047.056</v>
      </c>
      <c r="T23" s="172">
        <v>2.7058760092999998</v>
      </c>
      <c r="U23" s="171">
        <v>512674.53100000002</v>
      </c>
      <c r="V23" s="171">
        <v>155039.23699999999</v>
      </c>
      <c r="W23" s="172">
        <v>2.3067405446999998</v>
      </c>
      <c r="X23" s="171">
        <v>960368.99800000002</v>
      </c>
      <c r="Y23" s="172">
        <v>1.1678919911000001</v>
      </c>
      <c r="Z23" s="171">
        <v>0</v>
      </c>
      <c r="AA23" s="171">
        <v>0</v>
      </c>
      <c r="AB23" s="172">
        <v>0</v>
      </c>
      <c r="AC23" s="171">
        <v>0</v>
      </c>
      <c r="AD23" s="171">
        <v>0</v>
      </c>
      <c r="AE23" s="172">
        <v>0</v>
      </c>
      <c r="AF23" s="171">
        <v>0</v>
      </c>
      <c r="AG23" s="172">
        <v>0</v>
      </c>
    </row>
    <row r="24" spans="1:33">
      <c r="A24" s="137" t="s">
        <v>79</v>
      </c>
      <c r="B24" s="173">
        <v>14172.513000000001</v>
      </c>
      <c r="C24" s="173">
        <v>16203.751</v>
      </c>
      <c r="D24" s="174">
        <v>-0.12535603640000001</v>
      </c>
      <c r="E24" s="173">
        <v>75682.278000000006</v>
      </c>
      <c r="F24" s="173">
        <v>81262.703999999998</v>
      </c>
      <c r="G24" s="174">
        <v>-6.8671428899999998E-2</v>
      </c>
      <c r="H24" s="173">
        <v>189818.87</v>
      </c>
      <c r="I24" s="174">
        <v>-4.3303968200000001E-2</v>
      </c>
      <c r="J24" s="173">
        <v>15504.147999999999</v>
      </c>
      <c r="K24" s="173">
        <v>15612.353999999999</v>
      </c>
      <c r="L24" s="174">
        <v>-6.9307934000000003E-3</v>
      </c>
      <c r="M24" s="173">
        <v>76324.726999999999</v>
      </c>
      <c r="N24" s="173">
        <v>77948.918999999994</v>
      </c>
      <c r="O24" s="174">
        <v>-2.0836619899999999E-2</v>
      </c>
      <c r="P24" s="173">
        <v>194815.44</v>
      </c>
      <c r="Q24" s="174">
        <v>-3.5539235699999998E-2</v>
      </c>
      <c r="R24" s="173">
        <v>459105.04</v>
      </c>
      <c r="S24" s="173">
        <v>471932.24200000003</v>
      </c>
      <c r="T24" s="174">
        <v>-2.71801773E-2</v>
      </c>
      <c r="U24" s="173">
        <v>2157489.236</v>
      </c>
      <c r="V24" s="173">
        <v>2212202.5290000001</v>
      </c>
      <c r="W24" s="174">
        <v>-2.47324973E-2</v>
      </c>
      <c r="X24" s="173">
        <v>5986234.6610000003</v>
      </c>
      <c r="Y24" s="174">
        <v>4.3173468499999999E-2</v>
      </c>
      <c r="Z24" s="173">
        <v>700777.68099999998</v>
      </c>
      <c r="AA24" s="173">
        <v>700756.74899999995</v>
      </c>
      <c r="AB24" s="174">
        <v>2.98705649713924E-5</v>
      </c>
      <c r="AC24" s="173">
        <v>3458919.608</v>
      </c>
      <c r="AD24" s="173">
        <v>3449316.94</v>
      </c>
      <c r="AE24" s="174">
        <v>2.7839331999999998E-3</v>
      </c>
      <c r="AF24" s="173">
        <v>8544960.9690000005</v>
      </c>
      <c r="AG24" s="174">
        <v>1.7270115499999999E-2</v>
      </c>
    </row>
    <row r="26" spans="1:33">
      <c r="A26" s="102" t="s">
        <v>103</v>
      </c>
      <c r="B26" s="162">
        <f>SUM(B24,J24,R24,Z24)</f>
        <v>1189559.382</v>
      </c>
      <c r="C26" s="162">
        <f>SUM(C24,K24,S24,AA24)</f>
        <v>1204505.0959999999</v>
      </c>
      <c r="D26" s="163">
        <f>((B26/C26)-1)*100</f>
        <v>-1.2408178304627038</v>
      </c>
      <c r="R26" s="163"/>
      <c r="Z26" s="163"/>
    </row>
    <row r="29" spans="1:33" ht="15">
      <c r="A29" s="134" t="s">
        <v>67</v>
      </c>
      <c r="B29" s="198" t="str">
        <f>A2</f>
        <v>Mayo 2023</v>
      </c>
      <c r="C29" s="199"/>
    </row>
    <row r="30" spans="1:33" ht="15">
      <c r="A30" s="134" t="s">
        <v>69</v>
      </c>
      <c r="B30" s="209" t="s">
        <v>72</v>
      </c>
      <c r="C30" s="210"/>
    </row>
    <row r="31" spans="1:33">
      <c r="A31" s="132" t="s">
        <v>68</v>
      </c>
      <c r="B31" s="161" t="s">
        <v>57</v>
      </c>
      <c r="C31" s="161" t="s">
        <v>58</v>
      </c>
    </row>
    <row r="32" spans="1:33">
      <c r="A32" s="134" t="s">
        <v>70</v>
      </c>
      <c r="B32" s="135"/>
      <c r="C32" s="135"/>
    </row>
    <row r="33" spans="1:4">
      <c r="A33" s="133" t="s">
        <v>12</v>
      </c>
      <c r="B33" s="178"/>
      <c r="C33" s="178">
        <v>1.52</v>
      </c>
    </row>
    <row r="34" spans="1:4">
      <c r="A34" s="133" t="s">
        <v>11</v>
      </c>
      <c r="B34" s="178">
        <v>241.2</v>
      </c>
      <c r="C34" s="178"/>
    </row>
    <row r="35" spans="1:4">
      <c r="A35" s="133" t="s">
        <v>78</v>
      </c>
      <c r="B35" s="178">
        <v>139.4</v>
      </c>
      <c r="C35" s="178">
        <v>487.64</v>
      </c>
    </row>
    <row r="36" spans="1:4">
      <c r="A36" s="133" t="s">
        <v>9</v>
      </c>
      <c r="B36" s="178">
        <v>603.1</v>
      </c>
      <c r="C36" s="178">
        <v>520.75</v>
      </c>
    </row>
    <row r="37" spans="1:4">
      <c r="A37" s="133" t="s">
        <v>8</v>
      </c>
      <c r="B37" s="178"/>
      <c r="C37" s="178">
        <v>482.64</v>
      </c>
    </row>
    <row r="38" spans="1:4">
      <c r="A38" s="133" t="s">
        <v>25</v>
      </c>
      <c r="B38" s="178">
        <v>822.9</v>
      </c>
      <c r="C38" s="178">
        <v>865.4</v>
      </c>
    </row>
    <row r="39" spans="1:4">
      <c r="A39" s="133" t="s">
        <v>24</v>
      </c>
      <c r="B39" s="178"/>
      <c r="C39" s="178"/>
    </row>
    <row r="40" spans="1:4">
      <c r="A40" s="133" t="s">
        <v>6</v>
      </c>
      <c r="B40" s="178"/>
      <c r="C40" s="178">
        <v>11.32</v>
      </c>
    </row>
    <row r="41" spans="1:4">
      <c r="A41" s="133" t="s">
        <v>5</v>
      </c>
      <c r="B41" s="178">
        <v>3.6074999999999999</v>
      </c>
      <c r="C41" s="178">
        <v>640.36500000000001</v>
      </c>
      <c r="D41" s="167"/>
    </row>
    <row r="42" spans="1:4">
      <c r="A42" s="133" t="s">
        <v>4</v>
      </c>
      <c r="B42" s="178">
        <v>234.947495</v>
      </c>
      <c r="C42" s="178">
        <v>212.16494499999999</v>
      </c>
      <c r="D42" s="167"/>
    </row>
    <row r="43" spans="1:4">
      <c r="A43" s="133" t="s">
        <v>22</v>
      </c>
      <c r="B43" s="178">
        <v>2.13</v>
      </c>
      <c r="C43" s="178">
        <v>3.6960000000000002</v>
      </c>
    </row>
    <row r="44" spans="1:4">
      <c r="A44" s="133" t="s">
        <v>23</v>
      </c>
      <c r="B44" s="178">
        <v>11.523</v>
      </c>
      <c r="C44" s="178">
        <v>38.200000000000003</v>
      </c>
    </row>
    <row r="45" spans="1:4">
      <c r="A45" s="133" t="s">
        <v>54</v>
      </c>
      <c r="B45" s="178">
        <v>37.4</v>
      </c>
      <c r="C45" s="178"/>
    </row>
    <row r="46" spans="1:4">
      <c r="A46" s="133" t="s">
        <v>55</v>
      </c>
      <c r="B46" s="178">
        <v>37.4</v>
      </c>
      <c r="C46" s="178"/>
    </row>
    <row r="47" spans="1:4">
      <c r="A47" s="137" t="s">
        <v>2</v>
      </c>
      <c r="B47" s="179">
        <f>SUM(B33:B46)</f>
        <v>2133.6079950000003</v>
      </c>
      <c r="C47" s="179">
        <f>SUM(C33:C46)</f>
        <v>3263.6959449999999</v>
      </c>
    </row>
    <row r="48" spans="1:4" ht="15">
      <c r="A48"/>
      <c r="B48" s="170"/>
      <c r="C48" s="183"/>
      <c r="D48" s="166"/>
    </row>
    <row r="49" spans="1:8" ht="15">
      <c r="A49"/>
      <c r="B49"/>
      <c r="C49"/>
    </row>
    <row r="50" spans="1:8">
      <c r="A50" s="100" t="s">
        <v>30</v>
      </c>
      <c r="B50" s="101"/>
      <c r="C50" s="101"/>
      <c r="F50" s="100" t="s">
        <v>34</v>
      </c>
      <c r="G50" s="101"/>
      <c r="H50" s="101"/>
    </row>
    <row r="51" spans="1:8">
      <c r="A51" s="103"/>
      <c r="B51" s="104" t="s">
        <v>29</v>
      </c>
      <c r="C51" s="104" t="s">
        <v>26</v>
      </c>
      <c r="F51" s="103"/>
      <c r="G51" s="104" t="s">
        <v>29</v>
      </c>
      <c r="H51" s="104" t="s">
        <v>26</v>
      </c>
    </row>
    <row r="52" spans="1:8">
      <c r="A52" s="105" t="s">
        <v>11</v>
      </c>
      <c r="B52" s="106">
        <f>B34</f>
        <v>241.2</v>
      </c>
      <c r="C52" s="107">
        <f t="shared" ref="C52:C57" si="0">B52/$B$63*100</f>
        <v>11.304794534199331</v>
      </c>
      <c r="D52" s="165"/>
      <c r="F52" s="105" t="s">
        <v>10</v>
      </c>
      <c r="G52" s="106">
        <f>C35</f>
        <v>487.64</v>
      </c>
      <c r="H52" s="107">
        <f>G52/$G$62*100</f>
        <v>14.941342827816639</v>
      </c>
    </row>
    <row r="53" spans="1:8">
      <c r="A53" s="105" t="s">
        <v>10</v>
      </c>
      <c r="B53" s="106">
        <f t="shared" ref="B53:B54" si="1">B35</f>
        <v>139.4</v>
      </c>
      <c r="C53" s="107">
        <f t="shared" si="0"/>
        <v>6.5335338228332791</v>
      </c>
      <c r="D53" s="165"/>
      <c r="F53" s="105" t="s">
        <v>9</v>
      </c>
      <c r="G53" s="106">
        <f>C36</f>
        <v>520.75</v>
      </c>
      <c r="H53" s="107">
        <f t="shared" ref="H53:H61" si="2">G53/$G$62*100</f>
        <v>15.955836841902871</v>
      </c>
    </row>
    <row r="54" spans="1:8">
      <c r="A54" s="105" t="s">
        <v>9</v>
      </c>
      <c r="B54" s="106">
        <f t="shared" si="1"/>
        <v>603.1</v>
      </c>
      <c r="C54" s="107">
        <f t="shared" si="0"/>
        <v>28.266673232071383</v>
      </c>
      <c r="D54" s="165"/>
      <c r="F54" s="105" t="s">
        <v>8</v>
      </c>
      <c r="G54" s="106">
        <f>C37</f>
        <v>482.64</v>
      </c>
      <c r="H54" s="107">
        <f t="shared" si="2"/>
        <v>14.788142282047048</v>
      </c>
    </row>
    <row r="55" spans="1:8">
      <c r="A55" s="105" t="s">
        <v>25</v>
      </c>
      <c r="B55" s="106">
        <f>B38</f>
        <v>822.9</v>
      </c>
      <c r="C55" s="107">
        <f t="shared" si="0"/>
        <v>38.568471899637771</v>
      </c>
      <c r="D55" s="165"/>
      <c r="F55" s="105" t="s">
        <v>25</v>
      </c>
      <c r="G55" s="106">
        <f>C38</f>
        <v>865.4</v>
      </c>
      <c r="H55" s="107">
        <f t="shared" si="2"/>
        <v>26.515950461800752</v>
      </c>
    </row>
    <row r="56" spans="1:8">
      <c r="A56" s="105" t="s">
        <v>24</v>
      </c>
      <c r="B56" s="106">
        <f>B39</f>
        <v>0</v>
      </c>
      <c r="C56" s="107">
        <f t="shared" si="0"/>
        <v>0</v>
      </c>
      <c r="D56" s="165"/>
      <c r="F56" s="105" t="s">
        <v>23</v>
      </c>
      <c r="G56" s="106">
        <f>C44</f>
        <v>38.200000000000003</v>
      </c>
      <c r="H56" s="107">
        <f t="shared" si="2"/>
        <v>1.1704521696796728</v>
      </c>
    </row>
    <row r="57" spans="1:8">
      <c r="A57" s="105" t="s">
        <v>23</v>
      </c>
      <c r="B57" s="106">
        <f>B44</f>
        <v>11.523</v>
      </c>
      <c r="C57" s="107">
        <f t="shared" si="0"/>
        <v>0.54007109211268201</v>
      </c>
      <c r="D57" s="165"/>
      <c r="F57" s="105" t="s">
        <v>12</v>
      </c>
      <c r="G57" s="107">
        <f>C33</f>
        <v>1.52</v>
      </c>
      <c r="H57" s="107">
        <f t="shared" si="2"/>
        <v>4.6572965913955565E-2</v>
      </c>
    </row>
    <row r="58" spans="1:8">
      <c r="A58" s="105" t="s">
        <v>55</v>
      </c>
      <c r="B58" s="106">
        <f>B46</f>
        <v>37.4</v>
      </c>
      <c r="C58" s="107">
        <f t="shared" ref="C58:C62" si="3">B58/$B$63*100</f>
        <v>1.7528993183211237</v>
      </c>
      <c r="D58" s="165"/>
      <c r="F58" s="105" t="s">
        <v>6</v>
      </c>
      <c r="G58" s="106">
        <f>C40</f>
        <v>11.32</v>
      </c>
      <c r="H58" s="107">
        <f t="shared" si="2"/>
        <v>0.34684603562235328</v>
      </c>
    </row>
    <row r="59" spans="1:8">
      <c r="A59" s="105" t="s">
        <v>54</v>
      </c>
      <c r="B59" s="106">
        <f>B45</f>
        <v>37.4</v>
      </c>
      <c r="C59" s="107">
        <f t="shared" si="3"/>
        <v>1.7528993183211237</v>
      </c>
      <c r="D59" s="165"/>
      <c r="F59" s="105" t="s">
        <v>5</v>
      </c>
      <c r="G59" s="106">
        <f>C41</f>
        <v>640.36500000000001</v>
      </c>
      <c r="H59" s="107">
        <f t="shared" si="2"/>
        <v>19.620853498348787</v>
      </c>
    </row>
    <row r="60" spans="1:8">
      <c r="A60" s="105" t="s">
        <v>5</v>
      </c>
      <c r="B60" s="106">
        <f>B41</f>
        <v>3.6074999999999999</v>
      </c>
      <c r="C60" s="107">
        <f t="shared" si="3"/>
        <v>0.1690797938728196</v>
      </c>
      <c r="D60" s="165"/>
      <c r="F60" s="105" t="s">
        <v>4</v>
      </c>
      <c r="G60" s="106">
        <f>C42</f>
        <v>212.16494499999999</v>
      </c>
      <c r="H60" s="107">
        <f t="shared" si="2"/>
        <v>6.5007570734350377</v>
      </c>
    </row>
    <row r="61" spans="1:8">
      <c r="A61" s="105" t="s">
        <v>4</v>
      </c>
      <c r="B61" s="106">
        <f>B42</f>
        <v>234.947495</v>
      </c>
      <c r="C61" s="107">
        <f t="shared" si="3"/>
        <v>11.011746091624481</v>
      </c>
      <c r="D61" s="165"/>
      <c r="F61" s="105" t="s">
        <v>22</v>
      </c>
      <c r="G61" s="106">
        <f>C43</f>
        <v>3.6960000000000002</v>
      </c>
      <c r="H61" s="107">
        <f t="shared" si="2"/>
        <v>0.11324584343288142</v>
      </c>
    </row>
    <row r="62" spans="1:8">
      <c r="A62" s="105" t="s">
        <v>22</v>
      </c>
      <c r="B62" s="106">
        <f>B43</f>
        <v>2.13</v>
      </c>
      <c r="C62" s="107">
        <f t="shared" si="3"/>
        <v>9.9830897005989114E-2</v>
      </c>
      <c r="D62" s="165"/>
      <c r="F62" s="108" t="s">
        <v>20</v>
      </c>
      <c r="G62" s="109">
        <f>SUM(G52:G61)</f>
        <v>3263.6959449999999</v>
      </c>
      <c r="H62" s="110">
        <f>SUM(H52:H61)</f>
        <v>100</v>
      </c>
    </row>
    <row r="63" spans="1:8">
      <c r="A63" s="108" t="s">
        <v>20</v>
      </c>
      <c r="B63" s="109">
        <f>SUM(B52:B62)</f>
        <v>2133.6079950000003</v>
      </c>
      <c r="C63" s="110">
        <f>SUM(C52:C62)</f>
        <v>99.999999999999986</v>
      </c>
    </row>
    <row r="66" spans="1:7">
      <c r="A66" s="100" t="s">
        <v>27</v>
      </c>
      <c r="B66" s="101"/>
      <c r="F66" s="100" t="s">
        <v>33</v>
      </c>
      <c r="G66" s="101"/>
    </row>
    <row r="67" spans="1:7">
      <c r="A67" s="103"/>
      <c r="B67" s="104" t="s">
        <v>26</v>
      </c>
      <c r="C67" s="104" t="s">
        <v>104</v>
      </c>
      <c r="D67" s="165"/>
      <c r="F67" s="103"/>
      <c r="G67" s="104" t="s">
        <v>26</v>
      </c>
    </row>
    <row r="68" spans="1:7">
      <c r="A68" s="105" t="s">
        <v>11</v>
      </c>
      <c r="B68" s="107">
        <f>C68/$C$80*100</f>
        <v>0</v>
      </c>
      <c r="C68" s="106">
        <f>IF(R9&lt;0,0,R9)</f>
        <v>0</v>
      </c>
      <c r="D68" s="168">
        <f>(C68/SUM($C$68:$C$78))*100</f>
        <v>0</v>
      </c>
      <c r="F68" s="105" t="s">
        <v>10</v>
      </c>
      <c r="G68" s="107">
        <f>SUM(Z10,Z14)/Z$24*100</f>
        <v>21.784278686238583</v>
      </c>
    </row>
    <row r="69" spans="1:7">
      <c r="A69" s="105" t="s">
        <v>10</v>
      </c>
      <c r="B69" s="107">
        <f t="shared" ref="B69:B78" si="4">C69/$C$80*100</f>
        <v>2.7627657969880888</v>
      </c>
      <c r="C69" s="106">
        <f>R10</f>
        <v>12707.01</v>
      </c>
      <c r="D69" s="168">
        <f t="shared" ref="D69:D78" si="5">(C69/SUM($C$68:$C$78))*100</f>
        <v>3.7244780285323631</v>
      </c>
      <c r="F69" s="105" t="s">
        <v>9</v>
      </c>
      <c r="G69" s="107">
        <f>Z11/Z$24*100</f>
        <v>3.3487954363089942</v>
      </c>
    </row>
    <row r="70" spans="1:7">
      <c r="A70" s="105" t="s">
        <v>9</v>
      </c>
      <c r="B70" s="107">
        <f t="shared" si="4"/>
        <v>7.6571345074461963</v>
      </c>
      <c r="C70" s="106">
        <f>R11</f>
        <v>35218.072</v>
      </c>
      <c r="D70" s="168">
        <f t="shared" si="5"/>
        <v>10.322564896956154</v>
      </c>
      <c r="F70" s="105" t="s">
        <v>8</v>
      </c>
      <c r="G70" s="107">
        <f>Z12/Z$24*100</f>
        <v>12.112393316932705</v>
      </c>
    </row>
    <row r="71" spans="1:7">
      <c r="A71" s="105" t="s">
        <v>25</v>
      </c>
      <c r="B71" s="107">
        <f t="shared" si="4"/>
        <v>50.327534900469587</v>
      </c>
      <c r="C71" s="106">
        <f>R13</f>
        <v>231475.462</v>
      </c>
      <c r="D71" s="168">
        <f>(C71/SUM($C$68:$C$78))*100</f>
        <v>67.846430620844544</v>
      </c>
      <c r="F71" s="105" t="s">
        <v>25</v>
      </c>
      <c r="G71" s="107">
        <f>Z13/Z$24*100</f>
        <v>39.290775300818979</v>
      </c>
    </row>
    <row r="72" spans="1:7">
      <c r="A72" s="105" t="s">
        <v>24</v>
      </c>
      <c r="B72" s="107">
        <f t="shared" si="4"/>
        <v>0</v>
      </c>
      <c r="C72" s="106">
        <f>R14</f>
        <v>0</v>
      </c>
      <c r="D72" s="169"/>
      <c r="F72" s="105" t="s">
        <v>23</v>
      </c>
      <c r="G72" s="107">
        <f>Z19/Z$24*100</f>
        <v>0</v>
      </c>
    </row>
    <row r="73" spans="1:7">
      <c r="A73" s="105" t="s">
        <v>23</v>
      </c>
      <c r="B73" s="107">
        <f t="shared" si="4"/>
        <v>0.76479915361811279</v>
      </c>
      <c r="C73" s="106">
        <f>R19</f>
        <v>3517.6019999999999</v>
      </c>
      <c r="D73" s="168">
        <f t="shared" si="5"/>
        <v>1.0310239279044791</v>
      </c>
      <c r="F73" s="105" t="s">
        <v>12</v>
      </c>
      <c r="G73" s="107">
        <f>Z8/Z$24*100</f>
        <v>4.2511199782345806E-2</v>
      </c>
    </row>
    <row r="74" spans="1:7">
      <c r="A74" s="105" t="s">
        <v>55</v>
      </c>
      <c r="B74" s="107">
        <f t="shared" si="4"/>
        <v>2.6587497142468166</v>
      </c>
      <c r="C74" s="106">
        <f>R21</f>
        <v>12228.6005</v>
      </c>
      <c r="D74" s="168">
        <f t="shared" si="5"/>
        <v>3.584254193704882</v>
      </c>
      <c r="F74" s="105" t="s">
        <v>6</v>
      </c>
      <c r="G74" s="107">
        <f>Z15/Z$24*100</f>
        <v>0.29498585015580714</v>
      </c>
    </row>
    <row r="75" spans="1:7">
      <c r="A75" s="105" t="s">
        <v>54</v>
      </c>
      <c r="B75" s="107">
        <f t="shared" si="4"/>
        <v>2.6587497142468166</v>
      </c>
      <c r="C75" s="106">
        <f>R20</f>
        <v>12228.6005</v>
      </c>
      <c r="D75" s="168">
        <f t="shared" si="5"/>
        <v>3.584254193704882</v>
      </c>
      <c r="F75" s="105" t="s">
        <v>5</v>
      </c>
      <c r="G75" s="107">
        <f>Z16/Z$24*100</f>
        <v>18.686411475481908</v>
      </c>
    </row>
    <row r="76" spans="1:7">
      <c r="A76" s="105" t="s">
        <v>5</v>
      </c>
      <c r="B76" s="107">
        <f t="shared" si="4"/>
        <v>5.4279271361545582E-2</v>
      </c>
      <c r="C76" s="106">
        <f>R16</f>
        <v>249.65100000000001</v>
      </c>
      <c r="D76" s="168">
        <f t="shared" si="5"/>
        <v>7.3173757186083335E-2</v>
      </c>
      <c r="F76" s="105" t="s">
        <v>4</v>
      </c>
      <c r="G76" s="107">
        <f>Z17/Z$24*100</f>
        <v>4.3470152982797412</v>
      </c>
    </row>
    <row r="77" spans="1:7">
      <c r="A77" s="105" t="s">
        <v>4</v>
      </c>
      <c r="B77" s="107">
        <f t="shared" si="4"/>
        <v>7.2749873559590936</v>
      </c>
      <c r="C77" s="106">
        <f>R17</f>
        <v>33460.432000000001</v>
      </c>
      <c r="D77" s="168">
        <f t="shared" si="5"/>
        <v>9.8073932269826809</v>
      </c>
      <c r="F77" s="105" t="s">
        <v>22</v>
      </c>
      <c r="G77" s="107">
        <f>Z18/Z$24*100</f>
        <v>9.2833436000939087E-2</v>
      </c>
    </row>
    <row r="78" spans="1:7">
      <c r="A78" s="105" t="s">
        <v>22</v>
      </c>
      <c r="B78" s="107">
        <f t="shared" si="4"/>
        <v>1.9603293973471103E-2</v>
      </c>
      <c r="C78" s="106">
        <f>R18</f>
        <v>90.162999999999997</v>
      </c>
      <c r="D78" s="168">
        <f t="shared" si="5"/>
        <v>2.6427154183916078E-2</v>
      </c>
      <c r="F78" s="108" t="s">
        <v>20</v>
      </c>
      <c r="G78" s="110">
        <f>SUM(G68:G77)</f>
        <v>100</v>
      </c>
    </row>
    <row r="79" spans="1:7">
      <c r="A79" s="105" t="s">
        <v>21</v>
      </c>
      <c r="B79" s="107">
        <f>C79/$C$80*100</f>
        <v>25.821396291690252</v>
      </c>
      <c r="C79" s="106">
        <f>R23</f>
        <v>118762.416</v>
      </c>
      <c r="D79" s="165"/>
    </row>
    <row r="80" spans="1:7">
      <c r="A80" s="108" t="s">
        <v>20</v>
      </c>
      <c r="B80" s="110">
        <f>SUM(B68:B79)</f>
        <v>99.999999999999986</v>
      </c>
      <c r="C80" s="109">
        <f>SUM(C68:C79)</f>
        <v>459938.00900000008</v>
      </c>
      <c r="D80" s="165"/>
    </row>
    <row r="85" spans="1:26" ht="15">
      <c r="A85" s="134"/>
      <c r="B85" s="134" t="s">
        <v>69</v>
      </c>
      <c r="C85" s="212" t="s">
        <v>13</v>
      </c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/>
      <c r="V85"/>
      <c r="W85"/>
      <c r="X85"/>
      <c r="Y85"/>
      <c r="Z85"/>
    </row>
    <row r="86" spans="1:26" ht="15">
      <c r="A86" s="134"/>
      <c r="B86" s="132" t="s">
        <v>67</v>
      </c>
      <c r="C86" s="180" t="s">
        <v>106</v>
      </c>
      <c r="D86" s="180" t="s">
        <v>107</v>
      </c>
      <c r="E86" s="180" t="s">
        <v>108</v>
      </c>
      <c r="F86" s="180" t="s">
        <v>109</v>
      </c>
      <c r="G86" s="180" t="s">
        <v>110</v>
      </c>
      <c r="H86" s="180" t="s">
        <v>111</v>
      </c>
      <c r="I86" s="180" t="s">
        <v>112</v>
      </c>
      <c r="J86" s="180" t="s">
        <v>113</v>
      </c>
      <c r="K86" s="180" t="s">
        <v>114</v>
      </c>
      <c r="L86" s="180" t="s">
        <v>115</v>
      </c>
      <c r="M86" s="180" t="s">
        <v>116</v>
      </c>
      <c r="N86" s="180" t="s">
        <v>117</v>
      </c>
      <c r="O86" s="180" t="s">
        <v>118</v>
      </c>
      <c r="P86" s="180" t="s">
        <v>119</v>
      </c>
      <c r="Q86" s="180" t="s">
        <v>120</v>
      </c>
      <c r="R86" s="180" t="s">
        <v>121</v>
      </c>
      <c r="S86" s="180" t="s">
        <v>122</v>
      </c>
      <c r="T86" s="180" t="s">
        <v>126</v>
      </c>
      <c r="U86"/>
      <c r="V86"/>
      <c r="W86"/>
      <c r="X86"/>
      <c r="Y86"/>
      <c r="Z86"/>
    </row>
    <row r="87" spans="1:26" ht="15">
      <c r="A87" s="134" t="s">
        <v>68</v>
      </c>
      <c r="B87" s="134" t="s">
        <v>70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/>
      <c r="V87"/>
      <c r="W87"/>
      <c r="X87"/>
      <c r="Y87"/>
      <c r="Z87"/>
    </row>
    <row r="88" spans="1:26" ht="15">
      <c r="A88" s="206" t="s">
        <v>57</v>
      </c>
      <c r="B88" s="133" t="s">
        <v>11</v>
      </c>
      <c r="C88" s="175">
        <v>-0.627467</v>
      </c>
      <c r="D88" s="175">
        <v>-0.58012699999999995</v>
      </c>
      <c r="E88" s="175">
        <v>-0.66887300000000005</v>
      </c>
      <c r="F88" s="175">
        <v>-0.60548299999999999</v>
      </c>
      <c r="G88" s="175">
        <v>-1.0302370000000001</v>
      </c>
      <c r="H88" s="175">
        <v>29.141857000000002</v>
      </c>
      <c r="I88" s="175">
        <v>50.189168000000002</v>
      </c>
      <c r="J88" s="175">
        <v>5.2653150000000002</v>
      </c>
      <c r="K88" s="175">
        <v>-0.60380599999999995</v>
      </c>
      <c r="L88" s="175">
        <v>-0.613232</v>
      </c>
      <c r="M88" s="175">
        <v>-0.58811800000000003</v>
      </c>
      <c r="N88" s="175">
        <v>-0.62679200000000002</v>
      </c>
      <c r="O88" s="175">
        <v>-0.72771799999999998</v>
      </c>
      <c r="P88" s="175">
        <v>-0.70697299999999996</v>
      </c>
      <c r="Q88" s="175">
        <v>-0.51834000000000002</v>
      </c>
      <c r="R88" s="175">
        <v>-0.60865999999999998</v>
      </c>
      <c r="S88" s="175">
        <v>-0.83296899999999996</v>
      </c>
      <c r="T88" s="175">
        <v>0</v>
      </c>
      <c r="U88"/>
      <c r="V88"/>
      <c r="W88"/>
      <c r="X88"/>
      <c r="Y88"/>
      <c r="Z88"/>
    </row>
    <row r="89" spans="1:26" ht="15">
      <c r="A89" s="207"/>
      <c r="B89" s="133" t="s">
        <v>78</v>
      </c>
      <c r="C89" s="175">
        <v>31.928664000000001</v>
      </c>
      <c r="D89" s="175">
        <v>27.287796</v>
      </c>
      <c r="E89" s="175">
        <v>26.627289999999999</v>
      </c>
      <c r="F89" s="175">
        <v>38.583128000000002</v>
      </c>
      <c r="G89" s="175">
        <v>43.134307</v>
      </c>
      <c r="H89" s="175">
        <v>52.984195999999997</v>
      </c>
      <c r="I89" s="175">
        <v>59.042844000000002</v>
      </c>
      <c r="J89" s="175">
        <v>60.455578000000003</v>
      </c>
      <c r="K89" s="175">
        <v>32.713324999999998</v>
      </c>
      <c r="L89" s="175">
        <v>17.166284999999998</v>
      </c>
      <c r="M89" s="175">
        <v>9.2819520000000004</v>
      </c>
      <c r="N89" s="175">
        <v>2.2104400000000002</v>
      </c>
      <c r="O89" s="175">
        <v>5.0179289999999996</v>
      </c>
      <c r="P89" s="175">
        <v>15.008727</v>
      </c>
      <c r="Q89" s="175">
        <v>6.2192920000000003</v>
      </c>
      <c r="R89" s="175">
        <v>7.134449</v>
      </c>
      <c r="S89" s="175">
        <v>12.70701</v>
      </c>
      <c r="T89" s="175">
        <v>5.2407250000000003</v>
      </c>
      <c r="U89"/>
      <c r="V89"/>
      <c r="W89"/>
      <c r="X89"/>
      <c r="Y89"/>
      <c r="Z89"/>
    </row>
    <row r="90" spans="1:26" ht="15">
      <c r="A90" s="207"/>
      <c r="B90" s="133" t="s">
        <v>9</v>
      </c>
      <c r="C90" s="175">
        <v>14.287952000000001</v>
      </c>
      <c r="D90" s="175">
        <v>12.016398000000001</v>
      </c>
      <c r="E90" s="175">
        <v>16.590530000000001</v>
      </c>
      <c r="F90" s="175">
        <v>16.923745</v>
      </c>
      <c r="G90" s="175">
        <v>26.908512000000002</v>
      </c>
      <c r="H90" s="175">
        <v>32.914068</v>
      </c>
      <c r="I90" s="175">
        <v>59.770274999999998</v>
      </c>
      <c r="J90" s="175">
        <v>67.572283999999996</v>
      </c>
      <c r="K90" s="175">
        <v>56.444971000000002</v>
      </c>
      <c r="L90" s="175">
        <v>42.597769999999997</v>
      </c>
      <c r="M90" s="175">
        <v>23.111573</v>
      </c>
      <c r="N90" s="175">
        <v>26.769898999999999</v>
      </c>
      <c r="O90" s="175">
        <v>49.385100000000001</v>
      </c>
      <c r="P90" s="175">
        <v>32.328426999999998</v>
      </c>
      <c r="Q90" s="175">
        <v>34.532919999999997</v>
      </c>
      <c r="R90" s="175">
        <v>29.44258</v>
      </c>
      <c r="S90" s="175">
        <v>35.218071999999999</v>
      </c>
      <c r="T90" s="175">
        <v>10.127160999999999</v>
      </c>
      <c r="U90"/>
      <c r="V90"/>
      <c r="W90"/>
      <c r="X90"/>
      <c r="Y90"/>
      <c r="Z90"/>
    </row>
    <row r="91" spans="1:26" ht="15">
      <c r="A91" s="207"/>
      <c r="B91" s="133" t="s">
        <v>25</v>
      </c>
      <c r="C91" s="175">
        <v>350.086611</v>
      </c>
      <c r="D91" s="175">
        <v>298.62258500000002</v>
      </c>
      <c r="E91" s="175">
        <v>331.00133499999998</v>
      </c>
      <c r="F91" s="175">
        <v>307.42903200000001</v>
      </c>
      <c r="G91" s="175">
        <v>317.55595499999998</v>
      </c>
      <c r="H91" s="175">
        <v>367.58788099999998</v>
      </c>
      <c r="I91" s="175">
        <v>396.959791</v>
      </c>
      <c r="J91" s="175">
        <v>456.377207</v>
      </c>
      <c r="K91" s="175">
        <v>377.07382699999999</v>
      </c>
      <c r="L91" s="175">
        <v>297.32130999999998</v>
      </c>
      <c r="M91" s="175">
        <v>234.47985499999999</v>
      </c>
      <c r="N91" s="175">
        <v>251.18496099999999</v>
      </c>
      <c r="O91" s="175">
        <v>236.33414099999999</v>
      </c>
      <c r="P91" s="175">
        <v>250.50749099999999</v>
      </c>
      <c r="Q91" s="175">
        <v>233.28242</v>
      </c>
      <c r="R91" s="175">
        <v>207.738203</v>
      </c>
      <c r="S91" s="175">
        <v>231.47546199999999</v>
      </c>
      <c r="T91" s="175">
        <v>74.662330999999995</v>
      </c>
      <c r="U91"/>
      <c r="V91"/>
      <c r="W91"/>
      <c r="X91"/>
      <c r="Y91"/>
      <c r="Z91"/>
    </row>
    <row r="92" spans="1:26" ht="15">
      <c r="A92" s="207"/>
      <c r="B92" s="133" t="s">
        <v>24</v>
      </c>
      <c r="C92" s="175">
        <v>0</v>
      </c>
      <c r="D92" s="175">
        <v>0</v>
      </c>
      <c r="E92" s="175">
        <v>0</v>
      </c>
      <c r="F92" s="175">
        <v>0</v>
      </c>
      <c r="G92" s="175">
        <v>0</v>
      </c>
      <c r="H92" s="175">
        <v>0</v>
      </c>
      <c r="I92" s="175">
        <v>2.6835830000000001</v>
      </c>
      <c r="J92" s="175">
        <v>4.441192</v>
      </c>
      <c r="K92" s="175">
        <v>4.0880280000000004</v>
      </c>
      <c r="L92" s="175">
        <v>0.904698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0</v>
      </c>
      <c r="T92" s="175">
        <v>0</v>
      </c>
      <c r="U92"/>
      <c r="V92"/>
      <c r="W92"/>
      <c r="X92"/>
      <c r="Y92"/>
      <c r="Z92"/>
    </row>
    <row r="93" spans="1:26" ht="15">
      <c r="A93" s="207"/>
      <c r="B93" s="133" t="s">
        <v>5</v>
      </c>
      <c r="C93" s="175">
        <v>0.215638</v>
      </c>
      <c r="D93" s="175">
        <v>0.22824</v>
      </c>
      <c r="E93" s="175">
        <v>0.33845999999999998</v>
      </c>
      <c r="F93" s="175">
        <v>0.239788</v>
      </c>
      <c r="G93" s="175">
        <v>0.16079099999999999</v>
      </c>
      <c r="H93" s="175">
        <v>6.1459E-2</v>
      </c>
      <c r="I93" s="175">
        <v>3.0289E-2</v>
      </c>
      <c r="J93" s="175">
        <v>3.2219999999999999E-2</v>
      </c>
      <c r="K93" s="175">
        <v>1.2760000000000001E-2</v>
      </c>
      <c r="L93" s="175">
        <v>2.8530000000000001E-3</v>
      </c>
      <c r="M93" s="175">
        <v>2.5883E-2</v>
      </c>
      <c r="N93" s="175">
        <v>0.100989</v>
      </c>
      <c r="O93" s="175">
        <v>0.21573000000000001</v>
      </c>
      <c r="P93" s="175">
        <v>0.18323999999999999</v>
      </c>
      <c r="Q93" s="175">
        <v>0.20035</v>
      </c>
      <c r="R93" s="175">
        <v>0.12734500000000001</v>
      </c>
      <c r="S93" s="175">
        <v>0.24965100000000001</v>
      </c>
      <c r="T93" s="175">
        <v>6.5599999999999999E-3</v>
      </c>
      <c r="U93"/>
      <c r="V93"/>
      <c r="W93"/>
      <c r="X93"/>
      <c r="Y93"/>
      <c r="Z93"/>
    </row>
    <row r="94" spans="1:26" ht="15">
      <c r="A94" s="207"/>
      <c r="B94" s="133" t="s">
        <v>4</v>
      </c>
      <c r="C94" s="175">
        <v>14.437344</v>
      </c>
      <c r="D94" s="175">
        <v>17.860306999999999</v>
      </c>
      <c r="E94" s="175">
        <v>13.720819000000001</v>
      </c>
      <c r="F94" s="175">
        <v>22.448584</v>
      </c>
      <c r="G94" s="175">
        <v>27.351011</v>
      </c>
      <c r="H94" s="175">
        <v>29.26784</v>
      </c>
      <c r="I94" s="175">
        <v>33.069572000000001</v>
      </c>
      <c r="J94" s="175">
        <v>29.670628000000001</v>
      </c>
      <c r="K94" s="175">
        <v>25.077711000000001</v>
      </c>
      <c r="L94" s="175">
        <v>23.563777000000002</v>
      </c>
      <c r="M94" s="175">
        <v>17.217534000000001</v>
      </c>
      <c r="N94" s="175">
        <v>15.034399000000001</v>
      </c>
      <c r="O94" s="175">
        <v>18.176791999999999</v>
      </c>
      <c r="P94" s="175">
        <v>21.958507000000001</v>
      </c>
      <c r="Q94" s="175">
        <v>34.017825999999999</v>
      </c>
      <c r="R94" s="175">
        <v>36.519472</v>
      </c>
      <c r="S94" s="175">
        <v>33.460431999999997</v>
      </c>
      <c r="T94" s="175">
        <v>9.4816280000000006</v>
      </c>
      <c r="U94"/>
      <c r="V94"/>
      <c r="W94"/>
      <c r="X94"/>
      <c r="Y94"/>
      <c r="Z94"/>
    </row>
    <row r="95" spans="1:26" ht="15">
      <c r="A95" s="207"/>
      <c r="B95" s="133" t="s">
        <v>22</v>
      </c>
      <c r="C95" s="175">
        <v>0.285244</v>
      </c>
      <c r="D95" s="175">
        <v>0.28095199999999998</v>
      </c>
      <c r="E95" s="175">
        <v>0.29118100000000002</v>
      </c>
      <c r="F95" s="175">
        <v>0.16531499999999999</v>
      </c>
      <c r="G95" s="175">
        <v>0.166327</v>
      </c>
      <c r="H95" s="175">
        <v>0.111179</v>
      </c>
      <c r="I95" s="175">
        <v>9.5128000000000004E-2</v>
      </c>
      <c r="J95" s="175">
        <v>5.6752999999999998E-2</v>
      </c>
      <c r="K95" s="175">
        <v>7.1924000000000002E-2</v>
      </c>
      <c r="L95" s="175">
        <v>9.6991999999999995E-2</v>
      </c>
      <c r="M95" s="175">
        <v>8.4503999999999996E-2</v>
      </c>
      <c r="N95" s="175">
        <v>7.7099000000000001E-2</v>
      </c>
      <c r="O95" s="175">
        <v>9.3608999999999998E-2</v>
      </c>
      <c r="P95" s="175">
        <v>0.13599800000000001</v>
      </c>
      <c r="Q95" s="175">
        <v>0.11230800000000001</v>
      </c>
      <c r="R95" s="175">
        <v>7.399E-2</v>
      </c>
      <c r="S95" s="175">
        <v>9.0162999999999993E-2</v>
      </c>
      <c r="T95" s="175">
        <v>3.2320000000000002E-2</v>
      </c>
      <c r="U95"/>
      <c r="V95"/>
      <c r="W95"/>
      <c r="X95"/>
      <c r="Y95"/>
      <c r="Z95"/>
    </row>
    <row r="96" spans="1:26" ht="15">
      <c r="A96" s="207"/>
      <c r="B96" s="133" t="s">
        <v>23</v>
      </c>
      <c r="C96" s="175">
        <v>3.4010050000000001</v>
      </c>
      <c r="D96" s="175">
        <v>3.0684070000000001</v>
      </c>
      <c r="E96" s="175">
        <v>3.993204</v>
      </c>
      <c r="F96" s="175">
        <v>1.8386769999999999</v>
      </c>
      <c r="G96" s="175">
        <v>1.9461250000000001</v>
      </c>
      <c r="H96" s="175">
        <v>1.5363420000000001</v>
      </c>
      <c r="I96" s="175">
        <v>1.1719729999999999</v>
      </c>
      <c r="J96" s="175">
        <v>5.1333999999999998E-2</v>
      </c>
      <c r="K96" s="175">
        <v>2.0373130000000002</v>
      </c>
      <c r="L96" s="175">
        <v>1.826864</v>
      </c>
      <c r="M96" s="175">
        <v>2.5541079999999998</v>
      </c>
      <c r="N96" s="175">
        <v>2.9410020000000001</v>
      </c>
      <c r="O96" s="175">
        <v>3.055609</v>
      </c>
      <c r="P96" s="175">
        <v>3.0516040000000002</v>
      </c>
      <c r="Q96" s="175">
        <v>3.5856219999999999</v>
      </c>
      <c r="R96" s="175">
        <v>3.6202459999999999</v>
      </c>
      <c r="S96" s="175">
        <v>3.5176020000000001</v>
      </c>
      <c r="T96" s="175">
        <v>1.1011599999999999</v>
      </c>
      <c r="U96"/>
      <c r="V96"/>
      <c r="W96"/>
      <c r="X96"/>
      <c r="Y96"/>
      <c r="Z96"/>
    </row>
    <row r="97" spans="1:26" ht="15">
      <c r="A97" s="207"/>
      <c r="B97" s="133" t="s">
        <v>54</v>
      </c>
      <c r="C97" s="175">
        <v>9.8711500000000001</v>
      </c>
      <c r="D97" s="175">
        <v>5.4414375000000001</v>
      </c>
      <c r="E97" s="175">
        <v>9.6633200000000006</v>
      </c>
      <c r="F97" s="175">
        <v>7.8050050000000004</v>
      </c>
      <c r="G97" s="175">
        <v>11.846197500000001</v>
      </c>
      <c r="H97" s="175">
        <v>13.186323</v>
      </c>
      <c r="I97" s="175">
        <v>16.1606655</v>
      </c>
      <c r="J97" s="175">
        <v>13.6723105</v>
      </c>
      <c r="K97" s="175">
        <v>13.5816645</v>
      </c>
      <c r="L97" s="175">
        <v>11.230755</v>
      </c>
      <c r="M97" s="175">
        <v>10.188828000000001</v>
      </c>
      <c r="N97" s="175">
        <v>10.4136255</v>
      </c>
      <c r="O97" s="175">
        <v>7.3618245</v>
      </c>
      <c r="P97" s="175">
        <v>9.8298860000000001</v>
      </c>
      <c r="Q97" s="175">
        <v>9.6378819999999994</v>
      </c>
      <c r="R97" s="175">
        <v>10.65733</v>
      </c>
      <c r="S97" s="175">
        <v>12.228600500000001</v>
      </c>
      <c r="T97" s="175">
        <v>4.8555999999999999</v>
      </c>
      <c r="U97"/>
      <c r="V97"/>
      <c r="W97"/>
      <c r="X97"/>
      <c r="Y97"/>
      <c r="Z97"/>
    </row>
    <row r="98" spans="1:26" ht="15">
      <c r="A98" s="207"/>
      <c r="B98" s="133" t="s">
        <v>55</v>
      </c>
      <c r="C98" s="175">
        <v>9.8711500000000001</v>
      </c>
      <c r="D98" s="175">
        <v>5.4414375000000001</v>
      </c>
      <c r="E98" s="175">
        <v>9.6633200000000006</v>
      </c>
      <c r="F98" s="175">
        <v>7.8050050000000004</v>
      </c>
      <c r="G98" s="175">
        <v>11.846197500000001</v>
      </c>
      <c r="H98" s="175">
        <v>13.186323</v>
      </c>
      <c r="I98" s="175">
        <v>16.1606655</v>
      </c>
      <c r="J98" s="175">
        <v>13.6723105</v>
      </c>
      <c r="K98" s="175">
        <v>13.5816645</v>
      </c>
      <c r="L98" s="175">
        <v>11.230755</v>
      </c>
      <c r="M98" s="175">
        <v>10.188828000000001</v>
      </c>
      <c r="N98" s="175">
        <v>10.4136255</v>
      </c>
      <c r="O98" s="175">
        <v>7.3618245</v>
      </c>
      <c r="P98" s="175">
        <v>9.8298860000000001</v>
      </c>
      <c r="Q98" s="175">
        <v>9.6378819999999994</v>
      </c>
      <c r="R98" s="175">
        <v>10.65733</v>
      </c>
      <c r="S98" s="175">
        <v>12.228600500000001</v>
      </c>
      <c r="T98" s="175">
        <v>4.8555999999999999</v>
      </c>
      <c r="U98"/>
      <c r="V98"/>
      <c r="W98"/>
      <c r="X98"/>
      <c r="Y98"/>
      <c r="Z98"/>
    </row>
    <row r="99" spans="1:26" ht="15">
      <c r="A99" s="207"/>
      <c r="B99" s="137" t="s">
        <v>2</v>
      </c>
      <c r="C99" s="176">
        <v>433.75729100000001</v>
      </c>
      <c r="D99" s="176">
        <v>369.66743300000002</v>
      </c>
      <c r="E99" s="176">
        <v>411.22058600000003</v>
      </c>
      <c r="F99" s="176">
        <v>402.63279599999998</v>
      </c>
      <c r="G99" s="176">
        <v>439.88518599999998</v>
      </c>
      <c r="H99" s="176">
        <v>539.97746800000004</v>
      </c>
      <c r="I99" s="176">
        <v>635.33395399999995</v>
      </c>
      <c r="J99" s="176">
        <v>651.26713199999995</v>
      </c>
      <c r="K99" s="176">
        <v>524.07938200000001</v>
      </c>
      <c r="L99" s="176">
        <v>405.32882699999999</v>
      </c>
      <c r="M99" s="176">
        <v>306.54494699999998</v>
      </c>
      <c r="N99" s="176">
        <v>318.519248</v>
      </c>
      <c r="O99" s="176">
        <v>326.27484099999998</v>
      </c>
      <c r="P99" s="176">
        <v>342.12679300000002</v>
      </c>
      <c r="Q99" s="176">
        <v>330.70816200000002</v>
      </c>
      <c r="R99" s="176">
        <v>305.36228499999999</v>
      </c>
      <c r="S99" s="176">
        <v>340.342624</v>
      </c>
      <c r="T99" s="176">
        <v>110.363085</v>
      </c>
      <c r="U99"/>
      <c r="V99"/>
      <c r="W99"/>
      <c r="X99"/>
      <c r="Y99"/>
      <c r="Z99"/>
    </row>
    <row r="100" spans="1:26" ht="15">
      <c r="A100" s="207"/>
      <c r="B100" s="133" t="s">
        <v>21</v>
      </c>
      <c r="C100" s="175">
        <v>31.159338999999999</v>
      </c>
      <c r="D100" s="175">
        <v>27.502502</v>
      </c>
      <c r="E100" s="175">
        <v>30.689281000000001</v>
      </c>
      <c r="F100" s="175">
        <v>33.641058999999998</v>
      </c>
      <c r="G100" s="175">
        <v>32.047055999999998</v>
      </c>
      <c r="H100" s="175">
        <v>35.225064000000003</v>
      </c>
      <c r="I100" s="175">
        <v>67.033137999999994</v>
      </c>
      <c r="J100" s="175">
        <v>77.653036</v>
      </c>
      <c r="K100" s="175">
        <v>70.647335999999996</v>
      </c>
      <c r="L100" s="175">
        <v>61.365385000000003</v>
      </c>
      <c r="M100" s="175">
        <v>55.991686000000001</v>
      </c>
      <c r="N100" s="175">
        <v>79.778822000000005</v>
      </c>
      <c r="O100" s="175">
        <v>123.950131</v>
      </c>
      <c r="P100" s="175">
        <v>89.734262000000001</v>
      </c>
      <c r="Q100" s="175">
        <v>82.194308000000007</v>
      </c>
      <c r="R100" s="175">
        <v>98.033413999999993</v>
      </c>
      <c r="S100" s="175">
        <v>118.762416</v>
      </c>
      <c r="T100" s="175">
        <v>33.528700000000001</v>
      </c>
      <c r="U100"/>
      <c r="V100"/>
      <c r="W100"/>
      <c r="X100"/>
      <c r="Y100"/>
      <c r="Z100"/>
    </row>
    <row r="101" spans="1:26" ht="15">
      <c r="A101" s="208"/>
      <c r="B101" s="137" t="s">
        <v>79</v>
      </c>
      <c r="C101" s="176">
        <v>464.91663</v>
      </c>
      <c r="D101" s="176">
        <v>397.16993500000001</v>
      </c>
      <c r="E101" s="176">
        <v>441.90986700000002</v>
      </c>
      <c r="F101" s="176">
        <v>436.27385500000003</v>
      </c>
      <c r="G101" s="176">
        <v>471.93224199999997</v>
      </c>
      <c r="H101" s="176">
        <v>575.20253200000002</v>
      </c>
      <c r="I101" s="176">
        <v>702.36709199999996</v>
      </c>
      <c r="J101" s="176">
        <v>728.92016799999999</v>
      </c>
      <c r="K101" s="176">
        <v>594.72671800000001</v>
      </c>
      <c r="L101" s="176">
        <v>466.69421199999999</v>
      </c>
      <c r="M101" s="176">
        <v>362.53663299999999</v>
      </c>
      <c r="N101" s="176">
        <v>398.29807</v>
      </c>
      <c r="O101" s="176">
        <v>450.22497199999998</v>
      </c>
      <c r="P101" s="176">
        <v>431.86105500000002</v>
      </c>
      <c r="Q101" s="176">
        <v>412.90246999999999</v>
      </c>
      <c r="R101" s="176">
        <v>403.39569899999998</v>
      </c>
      <c r="S101" s="176">
        <v>459.10503999999997</v>
      </c>
      <c r="T101" s="176">
        <v>143.891785</v>
      </c>
      <c r="U101"/>
      <c r="V101"/>
      <c r="W101"/>
      <c r="X101"/>
      <c r="Y101"/>
      <c r="Z101"/>
    </row>
    <row r="102" spans="1:26" ht="15">
      <c r="A102" s="211" t="s">
        <v>58</v>
      </c>
      <c r="B102" s="133" t="s">
        <v>12</v>
      </c>
      <c r="C102" s="175">
        <v>0.294213</v>
      </c>
      <c r="D102" s="175">
        <v>0.25058200000000003</v>
      </c>
      <c r="E102" s="175">
        <v>0.29644599999999999</v>
      </c>
      <c r="F102" s="175">
        <v>0.27407199999999998</v>
      </c>
      <c r="G102" s="175">
        <v>0.29870099999999999</v>
      </c>
      <c r="H102" s="175">
        <v>0.28138299999999999</v>
      </c>
      <c r="I102" s="175">
        <v>0.29436099999999998</v>
      </c>
      <c r="J102" s="175">
        <v>0.29274699999999998</v>
      </c>
      <c r="K102" s="175">
        <v>0.28892499999999999</v>
      </c>
      <c r="L102" s="175">
        <v>0.29400900000000002</v>
      </c>
      <c r="M102" s="175">
        <v>0.27748800000000001</v>
      </c>
      <c r="N102" s="175">
        <v>0.28856799999999999</v>
      </c>
      <c r="O102" s="175">
        <v>0.27497500000000002</v>
      </c>
      <c r="P102" s="175">
        <v>0.25442500000000001</v>
      </c>
      <c r="Q102" s="175">
        <v>0.29023300000000002</v>
      </c>
      <c r="R102" s="175">
        <v>0.27610800000000002</v>
      </c>
      <c r="S102" s="175">
        <v>0.29790899999999998</v>
      </c>
      <c r="T102" s="175">
        <v>0</v>
      </c>
      <c r="U102"/>
      <c r="V102"/>
      <c r="W102"/>
      <c r="X102"/>
      <c r="Y102"/>
      <c r="Z102"/>
    </row>
    <row r="103" spans="1:26" ht="15">
      <c r="A103" s="207"/>
      <c r="B103" s="133" t="s">
        <v>78</v>
      </c>
      <c r="C103" s="175">
        <v>144.97616600000001</v>
      </c>
      <c r="D103" s="175">
        <v>129.27922799999999</v>
      </c>
      <c r="E103" s="175">
        <v>148.837288</v>
      </c>
      <c r="F103" s="175">
        <v>137.06188</v>
      </c>
      <c r="G103" s="175">
        <v>142.20013900000001</v>
      </c>
      <c r="H103" s="175">
        <v>140.176005</v>
      </c>
      <c r="I103" s="175">
        <v>145.16306399999999</v>
      </c>
      <c r="J103" s="175">
        <v>144.44555099999999</v>
      </c>
      <c r="K103" s="175">
        <v>147.14430100000001</v>
      </c>
      <c r="L103" s="175">
        <v>153.68727999999999</v>
      </c>
      <c r="M103" s="175">
        <v>154.15610899999999</v>
      </c>
      <c r="N103" s="175">
        <v>168.11301700000001</v>
      </c>
      <c r="O103" s="175">
        <v>149.66655</v>
      </c>
      <c r="P103" s="175">
        <v>151.17160100000001</v>
      </c>
      <c r="Q103" s="175">
        <v>141.36258799999999</v>
      </c>
      <c r="R103" s="175">
        <v>149.85577699999999</v>
      </c>
      <c r="S103" s="175">
        <v>152.672844</v>
      </c>
      <c r="T103" s="175">
        <v>50.958267999999997</v>
      </c>
      <c r="U103"/>
      <c r="V103"/>
      <c r="W103"/>
      <c r="X103"/>
      <c r="Y103"/>
      <c r="Z103"/>
    </row>
    <row r="104" spans="1:26" ht="15">
      <c r="A104" s="207"/>
      <c r="B104" s="133" t="s">
        <v>9</v>
      </c>
      <c r="C104" s="175">
        <v>20.1236</v>
      </c>
      <c r="D104" s="175">
        <v>22.304445000000001</v>
      </c>
      <c r="E104" s="175">
        <v>22.266894000000001</v>
      </c>
      <c r="F104" s="175">
        <v>17.593667</v>
      </c>
      <c r="G104" s="175">
        <v>15.375764</v>
      </c>
      <c r="H104" s="175">
        <v>14.745179</v>
      </c>
      <c r="I104" s="175">
        <v>19.947948</v>
      </c>
      <c r="J104" s="175">
        <v>17.951955999999999</v>
      </c>
      <c r="K104" s="175">
        <v>27.959973000000002</v>
      </c>
      <c r="L104" s="175">
        <v>36.672798</v>
      </c>
      <c r="M104" s="175">
        <v>23.967887999999999</v>
      </c>
      <c r="N104" s="175">
        <v>22.080762</v>
      </c>
      <c r="O104" s="175">
        <v>14.760491</v>
      </c>
      <c r="P104" s="175">
        <v>26.990496</v>
      </c>
      <c r="Q104" s="175">
        <v>16.813075000000001</v>
      </c>
      <c r="R104" s="175">
        <v>21.092299000000001</v>
      </c>
      <c r="S104" s="175">
        <v>23.467611000000002</v>
      </c>
      <c r="T104" s="175">
        <v>5.627885</v>
      </c>
      <c r="U104"/>
      <c r="V104"/>
      <c r="W104"/>
      <c r="X104"/>
      <c r="Y104"/>
      <c r="Z104"/>
    </row>
    <row r="105" spans="1:26" ht="15">
      <c r="A105" s="207"/>
      <c r="B105" s="133" t="s">
        <v>8</v>
      </c>
      <c r="C105" s="175">
        <v>117.429802</v>
      </c>
      <c r="D105" s="175">
        <v>102.630663</v>
      </c>
      <c r="E105" s="175">
        <v>114.410944</v>
      </c>
      <c r="F105" s="175">
        <v>103.636366</v>
      </c>
      <c r="G105" s="175">
        <v>86.849653000000004</v>
      </c>
      <c r="H105" s="175">
        <v>60.625900999999999</v>
      </c>
      <c r="I105" s="175">
        <v>73.212086999999997</v>
      </c>
      <c r="J105" s="175">
        <v>102.417013</v>
      </c>
      <c r="K105" s="175">
        <v>110.953991</v>
      </c>
      <c r="L105" s="175">
        <v>118.59882</v>
      </c>
      <c r="M105" s="175">
        <v>93.771169</v>
      </c>
      <c r="N105" s="175">
        <v>122.69665500000001</v>
      </c>
      <c r="O105" s="175">
        <v>118.030389</v>
      </c>
      <c r="P105" s="175">
        <v>118.052049</v>
      </c>
      <c r="Q105" s="175">
        <v>103.679242</v>
      </c>
      <c r="R105" s="175">
        <v>89.164951000000002</v>
      </c>
      <c r="S105" s="175">
        <v>84.880949000000001</v>
      </c>
      <c r="T105" s="175">
        <v>25.597104999999999</v>
      </c>
      <c r="U105"/>
      <c r="V105"/>
      <c r="W105"/>
      <c r="X105"/>
      <c r="Y105"/>
      <c r="Z105"/>
    </row>
    <row r="106" spans="1:26" ht="15">
      <c r="A106" s="207"/>
      <c r="B106" s="133" t="s">
        <v>25</v>
      </c>
      <c r="C106" s="175">
        <v>350.33219100000002</v>
      </c>
      <c r="D106" s="175">
        <v>285.34500700000001</v>
      </c>
      <c r="E106" s="175">
        <v>288.52109999999999</v>
      </c>
      <c r="F106" s="175">
        <v>265.37271800000002</v>
      </c>
      <c r="G106" s="175">
        <v>303.45663500000001</v>
      </c>
      <c r="H106" s="175">
        <v>283.58392400000002</v>
      </c>
      <c r="I106" s="175">
        <v>295.51749599999999</v>
      </c>
      <c r="J106" s="175">
        <v>269.79137200000002</v>
      </c>
      <c r="K106" s="175">
        <v>285.29845599999999</v>
      </c>
      <c r="L106" s="175">
        <v>305.38632699999999</v>
      </c>
      <c r="M106" s="175">
        <v>309.74341800000002</v>
      </c>
      <c r="N106" s="175">
        <v>347.66188299999999</v>
      </c>
      <c r="O106" s="175">
        <v>279.418815</v>
      </c>
      <c r="P106" s="175">
        <v>289.33312999999998</v>
      </c>
      <c r="Q106" s="175">
        <v>284.83144399999998</v>
      </c>
      <c r="R106" s="175">
        <v>279.54366599999997</v>
      </c>
      <c r="S106" s="175">
        <v>275.34098399999999</v>
      </c>
      <c r="T106" s="175">
        <v>111.355687</v>
      </c>
      <c r="U106"/>
      <c r="V106"/>
      <c r="W106"/>
      <c r="X106"/>
      <c r="Y106"/>
      <c r="Z106"/>
    </row>
    <row r="107" spans="1:26" ht="15">
      <c r="A107" s="207"/>
      <c r="B107" s="133" t="s">
        <v>24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5">
        <v>0</v>
      </c>
      <c r="I107" s="175">
        <v>-7.7730000000000004E-3</v>
      </c>
      <c r="J107" s="175">
        <v>-1.2208999999999999E-2</v>
      </c>
      <c r="K107" s="175">
        <v>-1.1861999999999999E-2</v>
      </c>
      <c r="L107" s="175">
        <v>-7.5659999999999998E-3</v>
      </c>
      <c r="M107" s="175">
        <v>-1.2637000000000001E-2</v>
      </c>
      <c r="N107" s="175">
        <v>-1.3625E-2</v>
      </c>
      <c r="O107" s="175">
        <v>-1.3847999999999999E-2</v>
      </c>
      <c r="P107" s="175">
        <v>-9.9690000000000004E-3</v>
      </c>
      <c r="Q107" s="175">
        <v>-1.3753E-2</v>
      </c>
      <c r="R107" s="175">
        <v>-1.2926999999999999E-2</v>
      </c>
      <c r="S107" s="175">
        <v>-1.3481E-2</v>
      </c>
      <c r="T107" s="175">
        <v>0</v>
      </c>
      <c r="U107"/>
      <c r="V107"/>
      <c r="W107"/>
      <c r="X107"/>
      <c r="Y107"/>
      <c r="Z107"/>
    </row>
    <row r="108" spans="1:26" ht="15">
      <c r="A108" s="207"/>
      <c r="B108" s="133" t="s">
        <v>6</v>
      </c>
      <c r="C108" s="175">
        <v>1.110916</v>
      </c>
      <c r="D108" s="175">
        <v>1.4820450000000001</v>
      </c>
      <c r="E108" s="175">
        <v>2.1263230000000002</v>
      </c>
      <c r="F108" s="175">
        <v>1.7525280000000001</v>
      </c>
      <c r="G108" s="175">
        <v>1.9171739999999999</v>
      </c>
      <c r="H108" s="175">
        <v>2.44956</v>
      </c>
      <c r="I108" s="175">
        <v>3.5629430000000002</v>
      </c>
      <c r="J108" s="175">
        <v>3.5176750000000001</v>
      </c>
      <c r="K108" s="175">
        <v>2.0750950000000001</v>
      </c>
      <c r="L108" s="175">
        <v>1.3500719999999999</v>
      </c>
      <c r="M108" s="175">
        <v>1.1694089999999999</v>
      </c>
      <c r="N108" s="175">
        <v>0.36710399999999999</v>
      </c>
      <c r="O108" s="175">
        <v>1.6495040000000001</v>
      </c>
      <c r="P108" s="175">
        <v>0.82934099999999999</v>
      </c>
      <c r="Q108" s="175">
        <v>1.5724450000000001</v>
      </c>
      <c r="R108" s="175">
        <v>1.573337</v>
      </c>
      <c r="S108" s="175">
        <v>2.0671949999999999</v>
      </c>
      <c r="T108" s="175">
        <v>6.9904999999999995E-2</v>
      </c>
      <c r="U108"/>
      <c r="V108"/>
      <c r="W108"/>
      <c r="X108"/>
      <c r="Y108"/>
      <c r="Z108"/>
    </row>
    <row r="109" spans="1:26" ht="15">
      <c r="A109" s="207"/>
      <c r="B109" s="133" t="s">
        <v>5</v>
      </c>
      <c r="C109" s="175">
        <v>60.12574</v>
      </c>
      <c r="D109" s="175">
        <v>88.964033999999998</v>
      </c>
      <c r="E109" s="175">
        <v>109.52770099999999</v>
      </c>
      <c r="F109" s="175">
        <v>120.73900500000001</v>
      </c>
      <c r="G109" s="175">
        <v>116.96555499999999</v>
      </c>
      <c r="H109" s="175">
        <v>160.356527</v>
      </c>
      <c r="I109" s="175">
        <v>181.49906899999999</v>
      </c>
      <c r="J109" s="175">
        <v>185.782734</v>
      </c>
      <c r="K109" s="175">
        <v>123.26133799999999</v>
      </c>
      <c r="L109" s="175">
        <v>85.078937999999994</v>
      </c>
      <c r="M109" s="175">
        <v>102.221262</v>
      </c>
      <c r="N109" s="175">
        <v>37.913117999999997</v>
      </c>
      <c r="O109" s="175">
        <v>132.72816599999999</v>
      </c>
      <c r="P109" s="175">
        <v>42.685206000000001</v>
      </c>
      <c r="Q109" s="175">
        <v>131.43829199999999</v>
      </c>
      <c r="R109" s="175">
        <v>103.68509299999999</v>
      </c>
      <c r="S109" s="175">
        <v>130.95020099999999</v>
      </c>
      <c r="T109" s="175">
        <v>14.461156000000001</v>
      </c>
      <c r="U109"/>
      <c r="V109"/>
      <c r="W109"/>
      <c r="X109"/>
      <c r="Y109"/>
      <c r="Z109"/>
    </row>
    <row r="110" spans="1:26" ht="15">
      <c r="A110" s="207"/>
      <c r="B110" s="133" t="s">
        <v>4</v>
      </c>
      <c r="C110" s="175">
        <v>18.056702999999999</v>
      </c>
      <c r="D110" s="175">
        <v>18.872744999999998</v>
      </c>
      <c r="E110" s="175">
        <v>25.064551999999999</v>
      </c>
      <c r="F110" s="175">
        <v>26.39603</v>
      </c>
      <c r="G110" s="175">
        <v>32.971663999999997</v>
      </c>
      <c r="H110" s="175">
        <v>30.752493999999999</v>
      </c>
      <c r="I110" s="175">
        <v>34.434815</v>
      </c>
      <c r="J110" s="175">
        <v>32.263370000000002</v>
      </c>
      <c r="K110" s="175">
        <v>26.538736</v>
      </c>
      <c r="L110" s="175">
        <v>26.753266</v>
      </c>
      <c r="M110" s="175">
        <v>23.169461999999999</v>
      </c>
      <c r="N110" s="175">
        <v>19.006923</v>
      </c>
      <c r="O110" s="175">
        <v>22.065138000000001</v>
      </c>
      <c r="P110" s="175">
        <v>20.222797</v>
      </c>
      <c r="Q110" s="175">
        <v>32.125762000000002</v>
      </c>
      <c r="R110" s="175">
        <v>29.890439000000001</v>
      </c>
      <c r="S110" s="175">
        <v>30.462913</v>
      </c>
      <c r="T110" s="175">
        <v>6.6188890000000002</v>
      </c>
      <c r="U110"/>
      <c r="V110"/>
      <c r="W110"/>
      <c r="X110"/>
      <c r="Y110"/>
      <c r="Z110"/>
    </row>
    <row r="111" spans="1:26" ht="15">
      <c r="A111" s="207"/>
      <c r="B111" s="133" t="s">
        <v>22</v>
      </c>
      <c r="C111" s="175">
        <v>0.86053100000000005</v>
      </c>
      <c r="D111" s="175">
        <v>0.72069799999999995</v>
      </c>
      <c r="E111" s="175">
        <v>0.90984399999999999</v>
      </c>
      <c r="F111" s="175">
        <v>0.61352399999999996</v>
      </c>
      <c r="G111" s="175">
        <v>0.72146399999999999</v>
      </c>
      <c r="H111" s="175">
        <v>0.696106</v>
      </c>
      <c r="I111" s="175">
        <v>0.688222</v>
      </c>
      <c r="J111" s="175">
        <v>0.71531400000000001</v>
      </c>
      <c r="K111" s="175">
        <v>0.714812</v>
      </c>
      <c r="L111" s="175">
        <v>0.73132799999999998</v>
      </c>
      <c r="M111" s="175">
        <v>0.76498500000000003</v>
      </c>
      <c r="N111" s="175">
        <v>0.78453200000000001</v>
      </c>
      <c r="O111" s="175">
        <v>0.78413299999999997</v>
      </c>
      <c r="P111" s="175">
        <v>0.71108700000000002</v>
      </c>
      <c r="Q111" s="175">
        <v>0.73842799999999997</v>
      </c>
      <c r="R111" s="175">
        <v>0.63095199999999996</v>
      </c>
      <c r="S111" s="175">
        <v>0.65055600000000002</v>
      </c>
      <c r="T111" s="175">
        <v>0</v>
      </c>
      <c r="U111"/>
      <c r="V111"/>
      <c r="W111"/>
      <c r="X111"/>
      <c r="Y111"/>
      <c r="Z111"/>
    </row>
    <row r="112" spans="1:26" ht="15">
      <c r="A112" s="207"/>
      <c r="B112" s="133" t="s">
        <v>23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0</v>
      </c>
      <c r="K112" s="175">
        <v>0</v>
      </c>
      <c r="L112" s="175">
        <v>0</v>
      </c>
      <c r="M112" s="175">
        <v>0</v>
      </c>
      <c r="N112" s="175">
        <v>0</v>
      </c>
      <c r="O112" s="175">
        <v>0</v>
      </c>
      <c r="P112" s="175">
        <v>0</v>
      </c>
      <c r="Q112" s="175">
        <v>0</v>
      </c>
      <c r="R112" s="175">
        <v>0</v>
      </c>
      <c r="S112" s="175">
        <v>0</v>
      </c>
      <c r="T112" s="175">
        <v>0</v>
      </c>
      <c r="U112"/>
      <c r="V112"/>
      <c r="W112"/>
      <c r="X112"/>
      <c r="Y112"/>
      <c r="Z112"/>
    </row>
    <row r="113" spans="1:26" ht="15">
      <c r="A113" s="207"/>
      <c r="B113" s="137" t="s">
        <v>2</v>
      </c>
      <c r="C113" s="176">
        <v>713.30986199999995</v>
      </c>
      <c r="D113" s="176">
        <v>649.84944700000005</v>
      </c>
      <c r="E113" s="176">
        <v>711.96109200000001</v>
      </c>
      <c r="F113" s="176">
        <v>673.43979000000002</v>
      </c>
      <c r="G113" s="176">
        <v>700.75674900000001</v>
      </c>
      <c r="H113" s="176">
        <v>693.66707899999994</v>
      </c>
      <c r="I113" s="176">
        <v>754.31223199999999</v>
      </c>
      <c r="J113" s="176">
        <v>757.16552300000001</v>
      </c>
      <c r="K113" s="176">
        <v>724.22376499999996</v>
      </c>
      <c r="L113" s="176">
        <v>728.54527199999995</v>
      </c>
      <c r="M113" s="176">
        <v>709.22855300000003</v>
      </c>
      <c r="N113" s="176">
        <v>718.89893700000005</v>
      </c>
      <c r="O113" s="176">
        <v>719.36431300000004</v>
      </c>
      <c r="P113" s="176">
        <v>650.24016300000005</v>
      </c>
      <c r="Q113" s="176">
        <v>712.83775600000001</v>
      </c>
      <c r="R113" s="176">
        <v>675.69969500000002</v>
      </c>
      <c r="S113" s="176">
        <v>700.77768100000003</v>
      </c>
      <c r="T113" s="176">
        <v>214.688895</v>
      </c>
      <c r="U113"/>
      <c r="V113"/>
      <c r="W113"/>
      <c r="X113"/>
      <c r="Y113"/>
      <c r="Z113"/>
    </row>
    <row r="114" spans="1:26" ht="15">
      <c r="A114" s="208"/>
      <c r="B114" s="137" t="s">
        <v>79</v>
      </c>
      <c r="C114" s="176">
        <v>713.30986199999995</v>
      </c>
      <c r="D114" s="176">
        <v>649.84944700000005</v>
      </c>
      <c r="E114" s="176">
        <v>711.96109200000001</v>
      </c>
      <c r="F114" s="176">
        <v>673.43979000000002</v>
      </c>
      <c r="G114" s="176">
        <v>700.75674900000001</v>
      </c>
      <c r="H114" s="176">
        <v>693.66707899999994</v>
      </c>
      <c r="I114" s="176">
        <v>754.31223199999999</v>
      </c>
      <c r="J114" s="176">
        <v>757.16552300000001</v>
      </c>
      <c r="K114" s="176">
        <v>724.22376499999996</v>
      </c>
      <c r="L114" s="176">
        <v>728.54527199999995</v>
      </c>
      <c r="M114" s="176">
        <v>709.22855300000003</v>
      </c>
      <c r="N114" s="176">
        <v>718.89893700000005</v>
      </c>
      <c r="O114" s="176">
        <v>719.36431300000004</v>
      </c>
      <c r="P114" s="176">
        <v>650.24016300000005</v>
      </c>
      <c r="Q114" s="176">
        <v>712.83775600000001</v>
      </c>
      <c r="R114" s="176">
        <v>675.69969500000002</v>
      </c>
      <c r="S114" s="176">
        <v>700.77768100000003</v>
      </c>
      <c r="T114" s="176">
        <v>214.688895</v>
      </c>
      <c r="U114"/>
      <c r="V114"/>
      <c r="W114"/>
      <c r="X114"/>
      <c r="Y114"/>
      <c r="Z114"/>
    </row>
    <row r="115" spans="1:26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26">
      <c r="B117" s="204" t="s">
        <v>73</v>
      </c>
      <c r="C117" s="111" t="str">
        <f>TEXT(EDATE(D117,-1),"mmmm aaaa")</f>
        <v>mayo 2022</v>
      </c>
      <c r="D117" s="111" t="str">
        <f t="shared" ref="D117:M117" si="6">TEXT(EDATE(E117,-1),"mmmm aaaa")</f>
        <v>junio 2022</v>
      </c>
      <c r="E117" s="111" t="str">
        <f t="shared" si="6"/>
        <v>julio 2022</v>
      </c>
      <c r="F117" s="111" t="str">
        <f t="shared" si="6"/>
        <v>agosto 2022</v>
      </c>
      <c r="G117" s="111" t="str">
        <f t="shared" si="6"/>
        <v>septiembre 2022</v>
      </c>
      <c r="H117" s="111" t="str">
        <f t="shared" si="6"/>
        <v>octubre 2022</v>
      </c>
      <c r="I117" s="111" t="str">
        <f t="shared" si="6"/>
        <v>noviembre 2022</v>
      </c>
      <c r="J117" s="111" t="str">
        <f t="shared" si="6"/>
        <v>diciembre 2022</v>
      </c>
      <c r="K117" s="111" t="str">
        <f t="shared" si="6"/>
        <v>enero 2023</v>
      </c>
      <c r="L117" s="111" t="str">
        <f t="shared" si="6"/>
        <v>febrero 2023</v>
      </c>
      <c r="M117" s="111" t="str">
        <f t="shared" si="6"/>
        <v>marzo 2023</v>
      </c>
      <c r="N117" s="111" t="str">
        <f>TEXT(EDATE(O117,-1),"mmmm aaaa")</f>
        <v>abril 2023</v>
      </c>
      <c r="O117" s="112" t="str">
        <f>A2</f>
        <v>Mayo 2023</v>
      </c>
    </row>
    <row r="118" spans="1:26">
      <c r="B118" s="205"/>
      <c r="C118" s="121" t="str">
        <f>TEXT(EDATE($A$2,-12),"mmm")&amp;".-"&amp;TEXT(EDATE($A$2,-12),"aa")</f>
        <v>may.-22</v>
      </c>
      <c r="D118" s="121" t="str">
        <f>TEXT(EDATE($A$2,-11),"mmm")&amp;".-"&amp;TEXT(EDATE($A$2,-11),"aa")</f>
        <v>jun.-22</v>
      </c>
      <c r="E118" s="121" t="str">
        <f>TEXT(EDATE($A$2,-10),"mmm")&amp;".-"&amp;TEXT(EDATE($A$2,-10),"aa")</f>
        <v>jul.-22</v>
      </c>
      <c r="F118" s="121" t="str">
        <f>TEXT(EDATE($A$2,-9),"mmm")&amp;".-"&amp;TEXT(EDATE($A$2,-9),"aa")</f>
        <v>ago.-22</v>
      </c>
      <c r="G118" s="121" t="str">
        <f>TEXT(EDATE($A$2,-8),"mmm")&amp;".-"&amp;TEXT(EDATE($A$2,-8),"aa")</f>
        <v>sep.-22</v>
      </c>
      <c r="H118" s="121" t="str">
        <f>TEXT(EDATE($A$2,-7),"mmm")&amp;".-"&amp;TEXT(EDATE($A$2,-7),"aa")</f>
        <v>oct.-22</v>
      </c>
      <c r="I118" s="121" t="str">
        <f>TEXT(EDATE($A$2,-6),"mmm")&amp;".-"&amp;TEXT(EDATE($A$2,-6),"aa")</f>
        <v>nov.-22</v>
      </c>
      <c r="J118" s="121" t="str">
        <f>TEXT(EDATE($A$2,-5),"mmm")&amp;".-"&amp;TEXT(EDATE($A$2,-5),"aa")</f>
        <v>dic.-22</v>
      </c>
      <c r="K118" s="121" t="str">
        <f>TEXT(EDATE($A$2,-4),"mmm")&amp;".-"&amp;TEXT(EDATE($A$2,-4),"aa")</f>
        <v>ene.-23</v>
      </c>
      <c r="L118" s="121" t="str">
        <f>TEXT(EDATE($A$2,-3),"mmm")&amp;".-"&amp;TEXT(EDATE($A$2,-3),"aa")</f>
        <v>feb.-23</v>
      </c>
      <c r="M118" s="121" t="str">
        <f>TEXT(EDATE($A$2,-2),"mmm")&amp;".-"&amp;TEXT(EDATE($A$2,-2),"aa")</f>
        <v>mar.-23</v>
      </c>
      <c r="N118" s="121" t="str">
        <f>TEXT(EDATE($A$2,-1),"mmm")&amp;".-"&amp;TEXT(EDATE($A$2,-1),"aa")</f>
        <v>abr.-23</v>
      </c>
      <c r="O118" s="143" t="str">
        <f>TEXT($A$2,"mmm")&amp;".-"&amp;TEXT($A$2,"aa")</f>
        <v>may.-23</v>
      </c>
    </row>
    <row r="119" spans="1:26">
      <c r="A119" s="201" t="s">
        <v>76</v>
      </c>
      <c r="B119" s="122" t="s">
        <v>11</v>
      </c>
      <c r="C119" s="123">
        <f>HLOOKUP(C$117,$86:$101,3,FALSE)</f>
        <v>-1.0302370000000001</v>
      </c>
      <c r="D119" s="123">
        <f t="shared" ref="D119:N119" si="7">HLOOKUP(D$117,$86:$101,3,FALSE)</f>
        <v>29.141857000000002</v>
      </c>
      <c r="E119" s="123">
        <f t="shared" si="7"/>
        <v>50.189168000000002</v>
      </c>
      <c r="F119" s="123">
        <f t="shared" si="7"/>
        <v>5.2653150000000002</v>
      </c>
      <c r="G119" s="123">
        <f t="shared" si="7"/>
        <v>-0.60380599999999995</v>
      </c>
      <c r="H119" s="123">
        <f t="shared" si="7"/>
        <v>-0.613232</v>
      </c>
      <c r="I119" s="123">
        <f t="shared" si="7"/>
        <v>-0.58811800000000003</v>
      </c>
      <c r="J119" s="123">
        <f t="shared" si="7"/>
        <v>-0.62679200000000002</v>
      </c>
      <c r="K119" s="123">
        <f t="shared" si="7"/>
        <v>-0.72771799999999998</v>
      </c>
      <c r="L119" s="123">
        <f t="shared" si="7"/>
        <v>-0.70697299999999996</v>
      </c>
      <c r="M119" s="123">
        <f t="shared" si="7"/>
        <v>-0.51834000000000002</v>
      </c>
      <c r="N119" s="123">
        <f t="shared" si="7"/>
        <v>-0.60865999999999998</v>
      </c>
      <c r="O119" s="124">
        <f>HLOOKUP(O$117,$86:$101,3,FALSE)</f>
        <v>-0.83296899999999996</v>
      </c>
    </row>
    <row r="120" spans="1:26">
      <c r="A120" s="202"/>
      <c r="B120" s="105" t="s">
        <v>10</v>
      </c>
      <c r="C120" s="107">
        <f>HLOOKUP(C$117,$86:$101,4,FALSE)</f>
        <v>43.134307</v>
      </c>
      <c r="D120" s="107">
        <f t="shared" ref="D120:O120" si="8">HLOOKUP(D$117,$86:$101,4,FALSE)</f>
        <v>52.984195999999997</v>
      </c>
      <c r="E120" s="107">
        <f t="shared" si="8"/>
        <v>59.042844000000002</v>
      </c>
      <c r="F120" s="107">
        <f t="shared" si="8"/>
        <v>60.455578000000003</v>
      </c>
      <c r="G120" s="107">
        <f t="shared" si="8"/>
        <v>32.713324999999998</v>
      </c>
      <c r="H120" s="107">
        <f t="shared" si="8"/>
        <v>17.166284999999998</v>
      </c>
      <c r="I120" s="107">
        <f t="shared" si="8"/>
        <v>9.2819520000000004</v>
      </c>
      <c r="J120" s="107">
        <f t="shared" si="8"/>
        <v>2.2104400000000002</v>
      </c>
      <c r="K120" s="107">
        <f t="shared" si="8"/>
        <v>5.0179289999999996</v>
      </c>
      <c r="L120" s="107">
        <f t="shared" si="8"/>
        <v>15.008727</v>
      </c>
      <c r="M120" s="107">
        <f t="shared" si="8"/>
        <v>6.2192920000000003</v>
      </c>
      <c r="N120" s="107">
        <f t="shared" si="8"/>
        <v>7.134449</v>
      </c>
      <c r="O120" s="124">
        <f t="shared" si="8"/>
        <v>12.70701</v>
      </c>
    </row>
    <row r="121" spans="1:26">
      <c r="A121" s="202"/>
      <c r="B121" s="105" t="s">
        <v>9</v>
      </c>
      <c r="C121" s="107">
        <f>HLOOKUP(C$117,$86:$101,5,FALSE)</f>
        <v>26.908512000000002</v>
      </c>
      <c r="D121" s="107">
        <f t="shared" ref="D121:O121" si="9">HLOOKUP(D$117,$86:$101,5,FALSE)</f>
        <v>32.914068</v>
      </c>
      <c r="E121" s="107">
        <f t="shared" si="9"/>
        <v>59.770274999999998</v>
      </c>
      <c r="F121" s="107">
        <f t="shared" si="9"/>
        <v>67.572283999999996</v>
      </c>
      <c r="G121" s="107">
        <f t="shared" si="9"/>
        <v>56.444971000000002</v>
      </c>
      <c r="H121" s="107">
        <f t="shared" si="9"/>
        <v>42.597769999999997</v>
      </c>
      <c r="I121" s="107">
        <f t="shared" si="9"/>
        <v>23.111573</v>
      </c>
      <c r="J121" s="107">
        <f t="shared" si="9"/>
        <v>26.769898999999999</v>
      </c>
      <c r="K121" s="107">
        <f t="shared" si="9"/>
        <v>49.385100000000001</v>
      </c>
      <c r="L121" s="107">
        <f t="shared" si="9"/>
        <v>32.328426999999998</v>
      </c>
      <c r="M121" s="107">
        <f t="shared" si="9"/>
        <v>34.532919999999997</v>
      </c>
      <c r="N121" s="107">
        <f t="shared" si="9"/>
        <v>29.44258</v>
      </c>
      <c r="O121" s="124">
        <f t="shared" si="9"/>
        <v>35.218071999999999</v>
      </c>
    </row>
    <row r="122" spans="1:26" ht="14.25">
      <c r="A122" s="202"/>
      <c r="B122" s="105" t="s">
        <v>74</v>
      </c>
      <c r="C122" s="107">
        <f>HLOOKUP(C$117,$86:$101,6,FALSE)</f>
        <v>317.55595499999998</v>
      </c>
      <c r="D122" s="107">
        <f t="shared" ref="D122:O122" si="10">HLOOKUP(D$117,$86:$101,6,FALSE)</f>
        <v>367.58788099999998</v>
      </c>
      <c r="E122" s="107">
        <f t="shared" si="10"/>
        <v>396.959791</v>
      </c>
      <c r="F122" s="107">
        <f t="shared" si="10"/>
        <v>456.377207</v>
      </c>
      <c r="G122" s="107">
        <f t="shared" si="10"/>
        <v>377.07382699999999</v>
      </c>
      <c r="H122" s="107">
        <f t="shared" si="10"/>
        <v>297.32130999999998</v>
      </c>
      <c r="I122" s="107">
        <f t="shared" si="10"/>
        <v>234.47985499999999</v>
      </c>
      <c r="J122" s="107">
        <f t="shared" si="10"/>
        <v>251.18496099999999</v>
      </c>
      <c r="K122" s="107">
        <f t="shared" si="10"/>
        <v>236.33414099999999</v>
      </c>
      <c r="L122" s="107">
        <f t="shared" si="10"/>
        <v>250.50749099999999</v>
      </c>
      <c r="M122" s="107">
        <f t="shared" si="10"/>
        <v>233.28242</v>
      </c>
      <c r="N122" s="107">
        <f t="shared" si="10"/>
        <v>207.738203</v>
      </c>
      <c r="O122" s="124">
        <f t="shared" si="10"/>
        <v>231.47546199999999</v>
      </c>
    </row>
    <row r="123" spans="1:26">
      <c r="A123" s="202"/>
      <c r="B123" s="105" t="s">
        <v>24</v>
      </c>
      <c r="C123" s="107">
        <f>HLOOKUP(C$117,$86:$101,7,FALSE)</f>
        <v>0</v>
      </c>
      <c r="D123" s="107">
        <f t="shared" ref="D123:O123" si="11">HLOOKUP(D$117,$86:$101,7,FALSE)</f>
        <v>0</v>
      </c>
      <c r="E123" s="107">
        <f t="shared" si="11"/>
        <v>2.6835830000000001</v>
      </c>
      <c r="F123" s="107">
        <f t="shared" si="11"/>
        <v>4.441192</v>
      </c>
      <c r="G123" s="107">
        <f t="shared" si="11"/>
        <v>4.0880280000000004</v>
      </c>
      <c r="H123" s="107">
        <f t="shared" si="11"/>
        <v>0.904698</v>
      </c>
      <c r="I123" s="107">
        <f t="shared" si="11"/>
        <v>0</v>
      </c>
      <c r="J123" s="107">
        <f t="shared" si="11"/>
        <v>0</v>
      </c>
      <c r="K123" s="107">
        <f t="shared" si="11"/>
        <v>0</v>
      </c>
      <c r="L123" s="107">
        <f t="shared" si="11"/>
        <v>0</v>
      </c>
      <c r="M123" s="107">
        <f t="shared" si="11"/>
        <v>0</v>
      </c>
      <c r="N123" s="107">
        <f t="shared" si="11"/>
        <v>0</v>
      </c>
      <c r="O123" s="124">
        <f t="shared" si="11"/>
        <v>0</v>
      </c>
    </row>
    <row r="124" spans="1:26">
      <c r="A124" s="202"/>
      <c r="B124" s="105" t="s">
        <v>5</v>
      </c>
      <c r="C124" s="107">
        <f>HLOOKUP(C$117,$86:$102,8,FALSE)</f>
        <v>0.16079099999999999</v>
      </c>
      <c r="D124" s="107">
        <f t="shared" ref="D124:O124" si="12">HLOOKUP(D$117,$86:$102,8,FALSE)</f>
        <v>6.1459E-2</v>
      </c>
      <c r="E124" s="107">
        <f t="shared" si="12"/>
        <v>3.0289E-2</v>
      </c>
      <c r="F124" s="107">
        <f t="shared" si="12"/>
        <v>3.2219999999999999E-2</v>
      </c>
      <c r="G124" s="107">
        <f t="shared" si="12"/>
        <v>1.2760000000000001E-2</v>
      </c>
      <c r="H124" s="107">
        <f t="shared" si="12"/>
        <v>2.8530000000000001E-3</v>
      </c>
      <c r="I124" s="107">
        <f t="shared" si="12"/>
        <v>2.5883E-2</v>
      </c>
      <c r="J124" s="107">
        <f t="shared" si="12"/>
        <v>0.100989</v>
      </c>
      <c r="K124" s="107">
        <f t="shared" si="12"/>
        <v>0.21573000000000001</v>
      </c>
      <c r="L124" s="107">
        <f t="shared" si="12"/>
        <v>0.18323999999999999</v>
      </c>
      <c r="M124" s="107">
        <f t="shared" si="12"/>
        <v>0.20035</v>
      </c>
      <c r="N124" s="107">
        <f t="shared" si="12"/>
        <v>0.12734500000000001</v>
      </c>
      <c r="O124" s="124">
        <f t="shared" si="12"/>
        <v>0.24965100000000001</v>
      </c>
    </row>
    <row r="125" spans="1:26">
      <c r="A125" s="202"/>
      <c r="B125" s="105" t="s">
        <v>4</v>
      </c>
      <c r="C125" s="107">
        <f>HLOOKUP(C$117,$86:$102,9,FALSE)</f>
        <v>27.351011</v>
      </c>
      <c r="D125" s="107">
        <f t="shared" ref="D125:O125" si="13">HLOOKUP(D$117,$86:$102,9,FALSE)</f>
        <v>29.26784</v>
      </c>
      <c r="E125" s="107">
        <f t="shared" si="13"/>
        <v>33.069572000000001</v>
      </c>
      <c r="F125" s="107">
        <f t="shared" si="13"/>
        <v>29.670628000000001</v>
      </c>
      <c r="G125" s="107">
        <f t="shared" si="13"/>
        <v>25.077711000000001</v>
      </c>
      <c r="H125" s="107">
        <f t="shared" si="13"/>
        <v>23.563777000000002</v>
      </c>
      <c r="I125" s="107">
        <f t="shared" si="13"/>
        <v>17.217534000000001</v>
      </c>
      <c r="J125" s="107">
        <f t="shared" si="13"/>
        <v>15.034399000000001</v>
      </c>
      <c r="K125" s="107">
        <f t="shared" si="13"/>
        <v>18.176791999999999</v>
      </c>
      <c r="L125" s="107">
        <f t="shared" si="13"/>
        <v>21.958507000000001</v>
      </c>
      <c r="M125" s="107">
        <f t="shared" si="13"/>
        <v>34.017825999999999</v>
      </c>
      <c r="N125" s="107">
        <f t="shared" si="13"/>
        <v>36.519472</v>
      </c>
      <c r="O125" s="124">
        <f t="shared" si="13"/>
        <v>33.460431999999997</v>
      </c>
    </row>
    <row r="126" spans="1:26">
      <c r="A126" s="202"/>
      <c r="B126" s="113" t="s">
        <v>22</v>
      </c>
      <c r="C126" s="107">
        <f>HLOOKUP(C$117,$86:$102,10,FALSE)</f>
        <v>0.166327</v>
      </c>
      <c r="D126" s="107">
        <f t="shared" ref="D126:O126" si="14">HLOOKUP(D$117,$86:$102,10,FALSE)</f>
        <v>0.111179</v>
      </c>
      <c r="E126" s="107">
        <f t="shared" si="14"/>
        <v>9.5128000000000004E-2</v>
      </c>
      <c r="F126" s="107">
        <f t="shared" si="14"/>
        <v>5.6752999999999998E-2</v>
      </c>
      <c r="G126" s="107">
        <f t="shared" si="14"/>
        <v>7.1924000000000002E-2</v>
      </c>
      <c r="H126" s="107">
        <f t="shared" si="14"/>
        <v>9.6991999999999995E-2</v>
      </c>
      <c r="I126" s="107">
        <f t="shared" si="14"/>
        <v>8.4503999999999996E-2</v>
      </c>
      <c r="J126" s="107">
        <f t="shared" si="14"/>
        <v>7.7099000000000001E-2</v>
      </c>
      <c r="K126" s="107">
        <f t="shared" si="14"/>
        <v>9.3608999999999998E-2</v>
      </c>
      <c r="L126" s="107">
        <f t="shared" si="14"/>
        <v>0.13599800000000001</v>
      </c>
      <c r="M126" s="107">
        <f t="shared" si="14"/>
        <v>0.11230800000000001</v>
      </c>
      <c r="N126" s="107">
        <f t="shared" si="14"/>
        <v>7.399E-2</v>
      </c>
      <c r="O126" s="124">
        <f t="shared" si="14"/>
        <v>9.0162999999999993E-2</v>
      </c>
    </row>
    <row r="127" spans="1:26">
      <c r="A127" s="202"/>
      <c r="B127" s="113" t="s">
        <v>23</v>
      </c>
      <c r="C127" s="107">
        <f>HLOOKUP(C$117,$86:$102,11,FALSE)</f>
        <v>1.9461250000000001</v>
      </c>
      <c r="D127" s="107">
        <f t="shared" ref="D127:O127" si="15">HLOOKUP(D$117,$86:$102,11,FALSE)</f>
        <v>1.5363420000000001</v>
      </c>
      <c r="E127" s="107">
        <f t="shared" si="15"/>
        <v>1.1719729999999999</v>
      </c>
      <c r="F127" s="107">
        <f t="shared" si="15"/>
        <v>5.1333999999999998E-2</v>
      </c>
      <c r="G127" s="107">
        <f t="shared" si="15"/>
        <v>2.0373130000000002</v>
      </c>
      <c r="H127" s="107">
        <f t="shared" si="15"/>
        <v>1.826864</v>
      </c>
      <c r="I127" s="107">
        <f t="shared" si="15"/>
        <v>2.5541079999999998</v>
      </c>
      <c r="J127" s="107">
        <f t="shared" si="15"/>
        <v>2.9410020000000001</v>
      </c>
      <c r="K127" s="107">
        <f t="shared" si="15"/>
        <v>3.055609</v>
      </c>
      <c r="L127" s="107">
        <f t="shared" si="15"/>
        <v>3.0516040000000002</v>
      </c>
      <c r="M127" s="107">
        <f t="shared" si="15"/>
        <v>3.5856219999999999</v>
      </c>
      <c r="N127" s="107">
        <f t="shared" si="15"/>
        <v>3.6202459999999999</v>
      </c>
      <c r="O127" s="124">
        <f t="shared" si="15"/>
        <v>3.5176020000000001</v>
      </c>
    </row>
    <row r="128" spans="1:26">
      <c r="A128" s="202"/>
      <c r="B128" s="105" t="s">
        <v>55</v>
      </c>
      <c r="C128" s="107">
        <f t="shared" ref="C128:O128" si="16">HLOOKUP(C$117,$86:$102,13,FALSE)</f>
        <v>11.846197500000001</v>
      </c>
      <c r="D128" s="107">
        <f t="shared" si="16"/>
        <v>13.186323</v>
      </c>
      <c r="E128" s="107">
        <f t="shared" si="16"/>
        <v>16.1606655</v>
      </c>
      <c r="F128" s="107">
        <f t="shared" si="16"/>
        <v>13.6723105</v>
      </c>
      <c r="G128" s="107">
        <f t="shared" si="16"/>
        <v>13.5816645</v>
      </c>
      <c r="H128" s="107">
        <f t="shared" si="16"/>
        <v>11.230755</v>
      </c>
      <c r="I128" s="107">
        <f t="shared" si="16"/>
        <v>10.188828000000001</v>
      </c>
      <c r="J128" s="107">
        <f t="shared" si="16"/>
        <v>10.4136255</v>
      </c>
      <c r="K128" s="107">
        <f t="shared" si="16"/>
        <v>7.3618245</v>
      </c>
      <c r="L128" s="107">
        <f t="shared" si="16"/>
        <v>9.8298860000000001</v>
      </c>
      <c r="M128" s="107">
        <f t="shared" si="16"/>
        <v>9.6378819999999994</v>
      </c>
      <c r="N128" s="107">
        <f t="shared" si="16"/>
        <v>10.65733</v>
      </c>
      <c r="O128" s="124">
        <f t="shared" si="16"/>
        <v>12.228600500000001</v>
      </c>
    </row>
    <row r="129" spans="1:15">
      <c r="A129" s="202"/>
      <c r="B129" s="105" t="s">
        <v>54</v>
      </c>
      <c r="C129" s="107">
        <f>HLOOKUP(C$117,$86:$102,12,FALSE)</f>
        <v>11.846197500000001</v>
      </c>
      <c r="D129" s="107">
        <f t="shared" ref="D129:O129" si="17">HLOOKUP(D$117,$86:$102,12,FALSE)</f>
        <v>13.186323</v>
      </c>
      <c r="E129" s="107">
        <f t="shared" si="17"/>
        <v>16.1606655</v>
      </c>
      <c r="F129" s="107">
        <f t="shared" si="17"/>
        <v>13.6723105</v>
      </c>
      <c r="G129" s="107">
        <f t="shared" si="17"/>
        <v>13.5816645</v>
      </c>
      <c r="H129" s="107">
        <f t="shared" si="17"/>
        <v>11.230755</v>
      </c>
      <c r="I129" s="107">
        <f t="shared" si="17"/>
        <v>10.188828000000001</v>
      </c>
      <c r="J129" s="107">
        <f t="shared" si="17"/>
        <v>10.4136255</v>
      </c>
      <c r="K129" s="107">
        <f t="shared" si="17"/>
        <v>7.3618245</v>
      </c>
      <c r="L129" s="107">
        <f t="shared" si="17"/>
        <v>9.8298860000000001</v>
      </c>
      <c r="M129" s="107">
        <f t="shared" si="17"/>
        <v>9.6378819999999994</v>
      </c>
      <c r="N129" s="107">
        <f t="shared" si="17"/>
        <v>10.65733</v>
      </c>
      <c r="O129" s="124">
        <f t="shared" si="17"/>
        <v>12.228600500000001</v>
      </c>
    </row>
    <row r="130" spans="1:15">
      <c r="A130" s="202"/>
      <c r="B130" s="114" t="s">
        <v>2</v>
      </c>
      <c r="C130" s="115">
        <f>HLOOKUP(C$117,$86:$102,14,FALSE)</f>
        <v>439.88518599999998</v>
      </c>
      <c r="D130" s="115">
        <f t="shared" ref="D130:O130" si="18">HLOOKUP(D$117,$86:$102,14,FALSE)</f>
        <v>539.97746800000004</v>
      </c>
      <c r="E130" s="115">
        <f t="shared" si="18"/>
        <v>635.33395399999995</v>
      </c>
      <c r="F130" s="115">
        <f t="shared" si="18"/>
        <v>651.26713199999995</v>
      </c>
      <c r="G130" s="115">
        <f t="shared" si="18"/>
        <v>524.07938200000001</v>
      </c>
      <c r="H130" s="115">
        <f t="shared" si="18"/>
        <v>405.32882699999999</v>
      </c>
      <c r="I130" s="115">
        <f t="shared" si="18"/>
        <v>306.54494699999998</v>
      </c>
      <c r="J130" s="115">
        <f t="shared" si="18"/>
        <v>318.519248</v>
      </c>
      <c r="K130" s="115">
        <f t="shared" si="18"/>
        <v>326.27484099999998</v>
      </c>
      <c r="L130" s="115">
        <f t="shared" si="18"/>
        <v>342.12679300000002</v>
      </c>
      <c r="M130" s="115">
        <f t="shared" si="18"/>
        <v>330.70816200000002</v>
      </c>
      <c r="N130" s="115">
        <f t="shared" si="18"/>
        <v>305.36228499999999</v>
      </c>
      <c r="O130" s="125">
        <f t="shared" si="18"/>
        <v>340.342624</v>
      </c>
    </row>
    <row r="131" spans="1:15">
      <c r="A131" s="202"/>
      <c r="B131" s="105" t="s">
        <v>21</v>
      </c>
      <c r="C131" s="116">
        <f>HLOOKUP(C$117,$86:$102,15,FALSE)</f>
        <v>32.047055999999998</v>
      </c>
      <c r="D131" s="116">
        <f t="shared" ref="D131:O131" si="19">HLOOKUP(D$117,$86:$102,15,FALSE)</f>
        <v>35.225064000000003</v>
      </c>
      <c r="E131" s="116">
        <f t="shared" si="19"/>
        <v>67.033137999999994</v>
      </c>
      <c r="F131" s="116">
        <f t="shared" si="19"/>
        <v>77.653036</v>
      </c>
      <c r="G131" s="116">
        <f t="shared" si="19"/>
        <v>70.647335999999996</v>
      </c>
      <c r="H131" s="116">
        <f t="shared" si="19"/>
        <v>61.365385000000003</v>
      </c>
      <c r="I131" s="116">
        <f t="shared" si="19"/>
        <v>55.991686000000001</v>
      </c>
      <c r="J131" s="116">
        <f t="shared" si="19"/>
        <v>79.778822000000005</v>
      </c>
      <c r="K131" s="116">
        <f t="shared" si="19"/>
        <v>123.950131</v>
      </c>
      <c r="L131" s="116">
        <f t="shared" si="19"/>
        <v>89.734262000000001</v>
      </c>
      <c r="M131" s="116">
        <f t="shared" si="19"/>
        <v>82.194308000000007</v>
      </c>
      <c r="N131" s="116">
        <f t="shared" si="19"/>
        <v>98.033413999999993</v>
      </c>
      <c r="O131" s="116">
        <f t="shared" si="19"/>
        <v>118.762416</v>
      </c>
    </row>
    <row r="132" spans="1:15">
      <c r="A132" s="202"/>
      <c r="B132" s="117" t="s">
        <v>1</v>
      </c>
      <c r="C132" s="118">
        <f>HLOOKUP(C$117,$86:$102,16,FALSE)</f>
        <v>471.93224199999997</v>
      </c>
      <c r="D132" s="118">
        <f t="shared" ref="D132:O132" si="20">HLOOKUP(D$117,$86:$102,16,FALSE)</f>
        <v>575.20253200000002</v>
      </c>
      <c r="E132" s="118">
        <f t="shared" si="20"/>
        <v>702.36709199999996</v>
      </c>
      <c r="F132" s="118">
        <f t="shared" si="20"/>
        <v>728.92016799999999</v>
      </c>
      <c r="G132" s="118">
        <f t="shared" si="20"/>
        <v>594.72671800000001</v>
      </c>
      <c r="H132" s="118">
        <f t="shared" si="20"/>
        <v>466.69421199999999</v>
      </c>
      <c r="I132" s="118">
        <f t="shared" si="20"/>
        <v>362.53663299999999</v>
      </c>
      <c r="J132" s="118">
        <f t="shared" si="20"/>
        <v>398.29807</v>
      </c>
      <c r="K132" s="118">
        <f t="shared" si="20"/>
        <v>450.22497199999998</v>
      </c>
      <c r="L132" s="118">
        <f t="shared" si="20"/>
        <v>431.86105500000002</v>
      </c>
      <c r="M132" s="118">
        <f t="shared" si="20"/>
        <v>412.90246999999999</v>
      </c>
      <c r="N132" s="118">
        <f t="shared" si="20"/>
        <v>403.39569899999998</v>
      </c>
      <c r="O132" s="118">
        <f t="shared" si="20"/>
        <v>459.10503999999997</v>
      </c>
    </row>
    <row r="133" spans="1:15" ht="14.25">
      <c r="A133" s="203"/>
      <c r="B133" s="126" t="s">
        <v>75</v>
      </c>
      <c r="C133" s="127">
        <f>C120+C121+C123</f>
        <v>70.042819000000009</v>
      </c>
      <c r="D133" s="127">
        <f>D120+D121+D123</f>
        <v>85.898263999999998</v>
      </c>
      <c r="E133" s="127">
        <f t="shared" ref="E133:O133" si="21">E120+E121+E123</f>
        <v>121.496702</v>
      </c>
      <c r="F133" s="127">
        <f t="shared" si="21"/>
        <v>132.469054</v>
      </c>
      <c r="G133" s="127">
        <f t="shared" si="21"/>
        <v>93.246324000000001</v>
      </c>
      <c r="H133" s="127">
        <f t="shared" si="21"/>
        <v>60.668753000000002</v>
      </c>
      <c r="I133" s="127">
        <f t="shared" si="21"/>
        <v>32.393524999999997</v>
      </c>
      <c r="J133" s="127">
        <f t="shared" si="21"/>
        <v>28.980339000000001</v>
      </c>
      <c r="K133" s="127">
        <f t="shared" si="21"/>
        <v>54.403029000000004</v>
      </c>
      <c r="L133" s="127">
        <f t="shared" si="21"/>
        <v>47.337153999999998</v>
      </c>
      <c r="M133" s="127">
        <f t="shared" si="21"/>
        <v>40.752212</v>
      </c>
      <c r="N133" s="127">
        <f t="shared" si="21"/>
        <v>36.577028999999996</v>
      </c>
      <c r="O133" s="127">
        <f t="shared" si="21"/>
        <v>47.925082000000003</v>
      </c>
    </row>
    <row r="134" spans="1:15">
      <c r="A134" s="201" t="s">
        <v>77</v>
      </c>
      <c r="B134" s="128" t="s">
        <v>73</v>
      </c>
      <c r="C134" s="111" t="str">
        <f>TEXT(EDATE($A$2,-12),"mmm")&amp;".-"&amp;TEXT(EDATE($A$2,-12),"aa")</f>
        <v>may.-22</v>
      </c>
      <c r="D134" s="111" t="str">
        <f>TEXT(EDATE($A$2,-11),"mmm")&amp;".-"&amp;TEXT(EDATE($A$2,-11),"aa")</f>
        <v>jun.-22</v>
      </c>
      <c r="E134" s="111" t="str">
        <f>TEXT(EDATE($A$2,-10),"mmm")&amp;".-"&amp;TEXT(EDATE($A$2,-10),"aa")</f>
        <v>jul.-22</v>
      </c>
      <c r="F134" s="111" t="str">
        <f>TEXT(EDATE($A$2,-9),"mmm")&amp;".-"&amp;TEXT(EDATE($A$2,-9),"aa")</f>
        <v>ago.-22</v>
      </c>
      <c r="G134" s="111" t="str">
        <f>TEXT(EDATE($A$2,-8),"mmm")&amp;".-"&amp;TEXT(EDATE($A$2,-8),"aa")</f>
        <v>sep.-22</v>
      </c>
      <c r="H134" s="111" t="str">
        <f>TEXT(EDATE($A$2,-7),"mmm")&amp;".-"&amp;TEXT(EDATE($A$2,-7),"aa")</f>
        <v>oct.-22</v>
      </c>
      <c r="I134" s="111" t="str">
        <f>TEXT(EDATE($A$2,-6),"mmm")&amp;".-"&amp;TEXT(EDATE($A$2,-6),"aa")</f>
        <v>nov.-22</v>
      </c>
      <c r="J134" s="111" t="str">
        <f>TEXT(EDATE($A$2,-5),"mmm")&amp;".-"&amp;TEXT(EDATE($A$2,-5),"aa")</f>
        <v>dic.-22</v>
      </c>
      <c r="K134" s="111" t="str">
        <f>TEXT(EDATE($A$2,-4),"mmm")&amp;".-"&amp;TEXT(EDATE($A$2,-4),"aa")</f>
        <v>ene.-23</v>
      </c>
      <c r="L134" s="111" t="str">
        <f>TEXT(EDATE($A$2,-3),"mmm")&amp;".-"&amp;TEXT(EDATE($A$2,-3),"aa")</f>
        <v>feb.-23</v>
      </c>
      <c r="M134" s="111" t="str">
        <f>TEXT(EDATE($A$2,-2),"mmm")&amp;".-"&amp;TEXT(EDATE($A$2,-2),"aa")</f>
        <v>mar.-23</v>
      </c>
      <c r="N134" s="111" t="str">
        <f>TEXT(EDATE($A$2,-1),"mmm")&amp;".-"&amp;TEXT(EDATE($A$2,-1),"aa")</f>
        <v>abr.-23</v>
      </c>
      <c r="O134" s="112" t="str">
        <f>TEXT($A$2,"mmm")&amp;".-"&amp;TEXT($A$2,"aa")</f>
        <v>may.-23</v>
      </c>
    </row>
    <row r="135" spans="1:15" ht="15" customHeight="1">
      <c r="A135" s="202"/>
      <c r="B135" s="105" t="s">
        <v>12</v>
      </c>
      <c r="C135" s="107">
        <f>HLOOKUP(C$117,$86:$115,17,FALSE)</f>
        <v>0.29870099999999999</v>
      </c>
      <c r="D135" s="107">
        <f t="shared" ref="D135:N135" si="22">HLOOKUP(D$117,$86:$115,17,FALSE)</f>
        <v>0.28138299999999999</v>
      </c>
      <c r="E135" s="107">
        <f t="shared" si="22"/>
        <v>0.29436099999999998</v>
      </c>
      <c r="F135" s="107">
        <f t="shared" si="22"/>
        <v>0.29274699999999998</v>
      </c>
      <c r="G135" s="107">
        <f t="shared" si="22"/>
        <v>0.28892499999999999</v>
      </c>
      <c r="H135" s="107">
        <f t="shared" si="22"/>
        <v>0.29400900000000002</v>
      </c>
      <c r="I135" s="107">
        <f t="shared" si="22"/>
        <v>0.27748800000000001</v>
      </c>
      <c r="J135" s="107">
        <f t="shared" si="22"/>
        <v>0.28856799999999999</v>
      </c>
      <c r="K135" s="107">
        <f t="shared" si="22"/>
        <v>0.27497500000000002</v>
      </c>
      <c r="L135" s="107">
        <f t="shared" si="22"/>
        <v>0.25442500000000001</v>
      </c>
      <c r="M135" s="107">
        <f t="shared" si="22"/>
        <v>0.29023300000000002</v>
      </c>
      <c r="N135" s="107">
        <f t="shared" si="22"/>
        <v>0.27610800000000002</v>
      </c>
      <c r="O135" s="144">
        <f>HLOOKUP(O$117,$86:$115,17,FALSE)</f>
        <v>0.29790899999999998</v>
      </c>
    </row>
    <row r="136" spans="1:15">
      <c r="A136" s="202"/>
      <c r="B136" s="105" t="s">
        <v>10</v>
      </c>
      <c r="C136" s="107">
        <f>HLOOKUP(C$117,$86:$115,18,FALSE)+HLOOKUP(C$117,$86:$115,22,FALSE)</f>
        <v>142.20013900000001</v>
      </c>
      <c r="D136" s="107">
        <f>HLOOKUP(D$117,$86:$115,18,FALSE)+HLOOKUP(D$117,$86:$115,22,FALSE)</f>
        <v>140.176005</v>
      </c>
      <c r="E136" s="107">
        <f t="shared" ref="E136:N136" si="23">HLOOKUP(E$117,$86:$115,18,FALSE)+HLOOKUP(E$117,$86:$115,22,FALSE)</f>
        <v>145.15529100000001</v>
      </c>
      <c r="F136" s="107">
        <f t="shared" si="23"/>
        <v>144.43334199999998</v>
      </c>
      <c r="G136" s="107">
        <f t="shared" si="23"/>
        <v>147.13243900000001</v>
      </c>
      <c r="H136" s="107">
        <f t="shared" si="23"/>
        <v>153.67971399999999</v>
      </c>
      <c r="I136" s="107">
        <f t="shared" si="23"/>
        <v>154.14347199999997</v>
      </c>
      <c r="J136" s="107">
        <f t="shared" si="23"/>
        <v>168.09939200000002</v>
      </c>
      <c r="K136" s="107">
        <f t="shared" si="23"/>
        <v>149.65270200000001</v>
      </c>
      <c r="L136" s="107">
        <f t="shared" si="23"/>
        <v>151.161632</v>
      </c>
      <c r="M136" s="107">
        <f t="shared" si="23"/>
        <v>141.34883499999998</v>
      </c>
      <c r="N136" s="107">
        <f t="shared" si="23"/>
        <v>149.84285</v>
      </c>
      <c r="O136" s="124">
        <f>HLOOKUP(O$117,$86:$115,18,FALSE)+HLOOKUP(O$117,$86:$115,22,FALSE)</f>
        <v>152.65936299999998</v>
      </c>
    </row>
    <row r="137" spans="1:15">
      <c r="A137" s="202"/>
      <c r="B137" s="105" t="s">
        <v>9</v>
      </c>
      <c r="C137" s="107">
        <f>HLOOKUP(C$117,$86:$115,19,FALSE)</f>
        <v>15.375764</v>
      </c>
      <c r="D137" s="107">
        <f t="shared" ref="D137:O137" si="24">HLOOKUP(D$117,$86:$115,19,FALSE)</f>
        <v>14.745179</v>
      </c>
      <c r="E137" s="107">
        <f t="shared" si="24"/>
        <v>19.947948</v>
      </c>
      <c r="F137" s="107">
        <f t="shared" si="24"/>
        <v>17.951955999999999</v>
      </c>
      <c r="G137" s="107">
        <f t="shared" si="24"/>
        <v>27.959973000000002</v>
      </c>
      <c r="H137" s="107">
        <f t="shared" si="24"/>
        <v>36.672798</v>
      </c>
      <c r="I137" s="107">
        <f t="shared" si="24"/>
        <v>23.967887999999999</v>
      </c>
      <c r="J137" s="107">
        <f t="shared" si="24"/>
        <v>22.080762</v>
      </c>
      <c r="K137" s="107">
        <f t="shared" si="24"/>
        <v>14.760491</v>
      </c>
      <c r="L137" s="107">
        <f t="shared" si="24"/>
        <v>26.990496</v>
      </c>
      <c r="M137" s="107">
        <f t="shared" si="24"/>
        <v>16.813075000000001</v>
      </c>
      <c r="N137" s="107">
        <f t="shared" si="24"/>
        <v>21.092299000000001</v>
      </c>
      <c r="O137" s="124">
        <f t="shared" si="24"/>
        <v>23.467611000000002</v>
      </c>
    </row>
    <row r="138" spans="1:15">
      <c r="A138" s="202"/>
      <c r="B138" s="105" t="s">
        <v>8</v>
      </c>
      <c r="C138" s="107">
        <f>HLOOKUP(C$117,$86:$115,20,FALSE)</f>
        <v>86.849653000000004</v>
      </c>
      <c r="D138" s="107">
        <f t="shared" ref="D138:O138" si="25">HLOOKUP(D$117,$86:$115,20,FALSE)</f>
        <v>60.625900999999999</v>
      </c>
      <c r="E138" s="107">
        <f t="shared" si="25"/>
        <v>73.212086999999997</v>
      </c>
      <c r="F138" s="107">
        <f t="shared" si="25"/>
        <v>102.417013</v>
      </c>
      <c r="G138" s="107">
        <f t="shared" si="25"/>
        <v>110.953991</v>
      </c>
      <c r="H138" s="107">
        <f t="shared" si="25"/>
        <v>118.59882</v>
      </c>
      <c r="I138" s="107">
        <f t="shared" si="25"/>
        <v>93.771169</v>
      </c>
      <c r="J138" s="107">
        <f t="shared" si="25"/>
        <v>122.69665500000001</v>
      </c>
      <c r="K138" s="107">
        <f t="shared" si="25"/>
        <v>118.030389</v>
      </c>
      <c r="L138" s="107">
        <f t="shared" si="25"/>
        <v>118.052049</v>
      </c>
      <c r="M138" s="107">
        <f t="shared" si="25"/>
        <v>103.679242</v>
      </c>
      <c r="N138" s="107">
        <f t="shared" si="25"/>
        <v>89.164951000000002</v>
      </c>
      <c r="O138" s="124">
        <f t="shared" si="25"/>
        <v>84.880949000000001</v>
      </c>
    </row>
    <row r="139" spans="1:15" ht="14.25">
      <c r="A139" s="202"/>
      <c r="B139" s="105" t="s">
        <v>74</v>
      </c>
      <c r="C139" s="107">
        <f>HLOOKUP(C$117,$86:$115,21,FALSE)</f>
        <v>303.45663500000001</v>
      </c>
      <c r="D139" s="107">
        <f t="shared" ref="D139:O139" si="26">HLOOKUP(D$117,$86:$115,21,FALSE)</f>
        <v>283.58392400000002</v>
      </c>
      <c r="E139" s="107">
        <f t="shared" si="26"/>
        <v>295.51749599999999</v>
      </c>
      <c r="F139" s="107">
        <f t="shared" si="26"/>
        <v>269.79137200000002</v>
      </c>
      <c r="G139" s="107">
        <f t="shared" si="26"/>
        <v>285.29845599999999</v>
      </c>
      <c r="H139" s="107">
        <f t="shared" si="26"/>
        <v>305.38632699999999</v>
      </c>
      <c r="I139" s="107">
        <f t="shared" si="26"/>
        <v>309.74341800000002</v>
      </c>
      <c r="J139" s="107">
        <f t="shared" si="26"/>
        <v>347.66188299999999</v>
      </c>
      <c r="K139" s="107">
        <f t="shared" si="26"/>
        <v>279.418815</v>
      </c>
      <c r="L139" s="107">
        <f t="shared" si="26"/>
        <v>289.33312999999998</v>
      </c>
      <c r="M139" s="107">
        <f t="shared" si="26"/>
        <v>284.83144399999998</v>
      </c>
      <c r="N139" s="107">
        <f t="shared" si="26"/>
        <v>279.54366599999997</v>
      </c>
      <c r="O139" s="124">
        <f t="shared" si="26"/>
        <v>275.34098399999999</v>
      </c>
    </row>
    <row r="140" spans="1:15">
      <c r="A140" s="202"/>
      <c r="B140" s="105" t="s">
        <v>6</v>
      </c>
      <c r="C140" s="107">
        <f>HLOOKUP(C$117,$86:$115,23,FALSE)</f>
        <v>1.9171739999999999</v>
      </c>
      <c r="D140" s="107">
        <f t="shared" ref="D140:O140" si="27">HLOOKUP(D$117,$86:$115,23,FALSE)</f>
        <v>2.44956</v>
      </c>
      <c r="E140" s="107">
        <f t="shared" si="27"/>
        <v>3.5629430000000002</v>
      </c>
      <c r="F140" s="107">
        <f t="shared" si="27"/>
        <v>3.5176750000000001</v>
      </c>
      <c r="G140" s="107">
        <f t="shared" si="27"/>
        <v>2.0750950000000001</v>
      </c>
      <c r="H140" s="107">
        <f t="shared" si="27"/>
        <v>1.3500719999999999</v>
      </c>
      <c r="I140" s="107">
        <f t="shared" si="27"/>
        <v>1.1694089999999999</v>
      </c>
      <c r="J140" s="107">
        <f t="shared" si="27"/>
        <v>0.36710399999999999</v>
      </c>
      <c r="K140" s="107">
        <f t="shared" si="27"/>
        <v>1.6495040000000001</v>
      </c>
      <c r="L140" s="107">
        <f t="shared" si="27"/>
        <v>0.82934099999999999</v>
      </c>
      <c r="M140" s="107">
        <f t="shared" si="27"/>
        <v>1.5724450000000001</v>
      </c>
      <c r="N140" s="107">
        <f t="shared" si="27"/>
        <v>1.573337</v>
      </c>
      <c r="O140" s="124">
        <f t="shared" si="27"/>
        <v>2.0671949999999999</v>
      </c>
    </row>
    <row r="141" spans="1:15">
      <c r="A141" s="202"/>
      <c r="B141" s="105" t="s">
        <v>5</v>
      </c>
      <c r="C141" s="107">
        <f>HLOOKUP(C$117,$86:$115,24,FALSE)</f>
        <v>116.96555499999999</v>
      </c>
      <c r="D141" s="107">
        <f t="shared" ref="D141:O141" si="28">HLOOKUP(D$117,$86:$115,24,FALSE)</f>
        <v>160.356527</v>
      </c>
      <c r="E141" s="107">
        <f t="shared" si="28"/>
        <v>181.49906899999999</v>
      </c>
      <c r="F141" s="107">
        <f t="shared" si="28"/>
        <v>185.782734</v>
      </c>
      <c r="G141" s="107">
        <f t="shared" si="28"/>
        <v>123.26133799999999</v>
      </c>
      <c r="H141" s="107">
        <f t="shared" si="28"/>
        <v>85.078937999999994</v>
      </c>
      <c r="I141" s="107">
        <f t="shared" si="28"/>
        <v>102.221262</v>
      </c>
      <c r="J141" s="107">
        <f t="shared" si="28"/>
        <v>37.913117999999997</v>
      </c>
      <c r="K141" s="107">
        <f t="shared" si="28"/>
        <v>132.72816599999999</v>
      </c>
      <c r="L141" s="107">
        <f t="shared" si="28"/>
        <v>42.685206000000001</v>
      </c>
      <c r="M141" s="107">
        <f t="shared" si="28"/>
        <v>131.43829199999999</v>
      </c>
      <c r="N141" s="107">
        <f t="shared" si="28"/>
        <v>103.68509299999999</v>
      </c>
      <c r="O141" s="124">
        <f t="shared" si="28"/>
        <v>130.95020099999999</v>
      </c>
    </row>
    <row r="142" spans="1:15">
      <c r="A142" s="202"/>
      <c r="B142" s="105" t="s">
        <v>4</v>
      </c>
      <c r="C142" s="107">
        <f>HLOOKUP(C$117,$86:$115,25,FALSE)</f>
        <v>32.971663999999997</v>
      </c>
      <c r="D142" s="107">
        <f t="shared" ref="D142:O142" si="29">HLOOKUP(D$117,$86:$115,25,FALSE)</f>
        <v>30.752493999999999</v>
      </c>
      <c r="E142" s="107">
        <f t="shared" si="29"/>
        <v>34.434815</v>
      </c>
      <c r="F142" s="107">
        <f t="shared" si="29"/>
        <v>32.263370000000002</v>
      </c>
      <c r="G142" s="107">
        <f t="shared" si="29"/>
        <v>26.538736</v>
      </c>
      <c r="H142" s="107">
        <f t="shared" si="29"/>
        <v>26.753266</v>
      </c>
      <c r="I142" s="107">
        <f t="shared" si="29"/>
        <v>23.169461999999999</v>
      </c>
      <c r="J142" s="107">
        <f t="shared" si="29"/>
        <v>19.006923</v>
      </c>
      <c r="K142" s="107">
        <f t="shared" si="29"/>
        <v>22.065138000000001</v>
      </c>
      <c r="L142" s="107">
        <f t="shared" si="29"/>
        <v>20.222797</v>
      </c>
      <c r="M142" s="107">
        <f t="shared" si="29"/>
        <v>32.125762000000002</v>
      </c>
      <c r="N142" s="107">
        <f t="shared" si="29"/>
        <v>29.890439000000001</v>
      </c>
      <c r="O142" s="124">
        <f t="shared" si="29"/>
        <v>30.462913</v>
      </c>
    </row>
    <row r="143" spans="1:15">
      <c r="A143" s="202"/>
      <c r="B143" s="105" t="s">
        <v>22</v>
      </c>
      <c r="C143" s="107">
        <f>HLOOKUP(C$117,$86:$115,26,FALSE)</f>
        <v>0.72146399999999999</v>
      </c>
      <c r="D143" s="107">
        <f t="shared" ref="D143:O143" si="30">HLOOKUP(D$117,$86:$115,26,FALSE)</f>
        <v>0.696106</v>
      </c>
      <c r="E143" s="107">
        <f t="shared" si="30"/>
        <v>0.688222</v>
      </c>
      <c r="F143" s="107">
        <f t="shared" si="30"/>
        <v>0.71531400000000001</v>
      </c>
      <c r="G143" s="107">
        <f t="shared" si="30"/>
        <v>0.714812</v>
      </c>
      <c r="H143" s="107">
        <f t="shared" si="30"/>
        <v>0.73132799999999998</v>
      </c>
      <c r="I143" s="107">
        <f t="shared" si="30"/>
        <v>0.76498500000000003</v>
      </c>
      <c r="J143" s="107">
        <f t="shared" si="30"/>
        <v>0.78453200000000001</v>
      </c>
      <c r="K143" s="107">
        <f t="shared" si="30"/>
        <v>0.78413299999999997</v>
      </c>
      <c r="L143" s="107">
        <f t="shared" si="30"/>
        <v>0.71108700000000002</v>
      </c>
      <c r="M143" s="107">
        <f t="shared" si="30"/>
        <v>0.73842799999999997</v>
      </c>
      <c r="N143" s="107">
        <f t="shared" si="30"/>
        <v>0.63095199999999996</v>
      </c>
      <c r="O143" s="124">
        <f t="shared" si="30"/>
        <v>0.65055600000000002</v>
      </c>
    </row>
    <row r="144" spans="1:15">
      <c r="A144" s="202"/>
      <c r="B144" s="117" t="s">
        <v>1</v>
      </c>
      <c r="C144" s="118">
        <f>HLOOKUP(C$117,$86:$115,28,FALSE)</f>
        <v>700.75674900000001</v>
      </c>
      <c r="D144" s="118">
        <f t="shared" ref="D144:O144" si="31">HLOOKUP(D$117,$86:$115,28,FALSE)</f>
        <v>693.66707899999994</v>
      </c>
      <c r="E144" s="118">
        <f t="shared" si="31"/>
        <v>754.31223199999999</v>
      </c>
      <c r="F144" s="118">
        <f t="shared" si="31"/>
        <v>757.16552300000001</v>
      </c>
      <c r="G144" s="118">
        <f t="shared" si="31"/>
        <v>724.22376499999996</v>
      </c>
      <c r="H144" s="118">
        <f t="shared" si="31"/>
        <v>728.54527199999995</v>
      </c>
      <c r="I144" s="118">
        <f t="shared" si="31"/>
        <v>709.22855300000003</v>
      </c>
      <c r="J144" s="118">
        <f t="shared" si="31"/>
        <v>718.89893700000005</v>
      </c>
      <c r="K144" s="118">
        <f t="shared" si="31"/>
        <v>719.36431300000004</v>
      </c>
      <c r="L144" s="118">
        <f t="shared" si="31"/>
        <v>650.24016300000005</v>
      </c>
      <c r="M144" s="118">
        <f t="shared" si="31"/>
        <v>712.83775600000001</v>
      </c>
      <c r="N144" s="118">
        <f t="shared" si="31"/>
        <v>675.69969500000002</v>
      </c>
      <c r="O144" s="118">
        <f t="shared" si="31"/>
        <v>700.77768100000003</v>
      </c>
    </row>
    <row r="145" spans="1:26">
      <c r="A145" s="202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9"/>
    </row>
    <row r="146" spans="1:26" ht="14.25">
      <c r="A146" s="203"/>
      <c r="B146" s="126" t="s">
        <v>75</v>
      </c>
      <c r="C146" s="130">
        <f>SUM(C136:C138)</f>
        <v>244.42555600000003</v>
      </c>
      <c r="D146" s="130">
        <f t="shared" ref="D146:N146" si="32">SUM(D136:D138)</f>
        <v>215.54708500000001</v>
      </c>
      <c r="E146" s="130">
        <f t="shared" si="32"/>
        <v>238.315326</v>
      </c>
      <c r="F146" s="130">
        <f t="shared" si="32"/>
        <v>264.80231099999997</v>
      </c>
      <c r="G146" s="130">
        <f t="shared" si="32"/>
        <v>286.046403</v>
      </c>
      <c r="H146" s="130">
        <f t="shared" si="32"/>
        <v>308.95133199999998</v>
      </c>
      <c r="I146" s="130">
        <f t="shared" si="32"/>
        <v>271.88252899999998</v>
      </c>
      <c r="J146" s="130">
        <f t="shared" si="32"/>
        <v>312.87680900000004</v>
      </c>
      <c r="K146" s="130">
        <f t="shared" si="32"/>
        <v>282.44358199999999</v>
      </c>
      <c r="L146" s="130">
        <f t="shared" si="32"/>
        <v>296.20417700000002</v>
      </c>
      <c r="M146" s="130">
        <f t="shared" si="32"/>
        <v>261.84115199999997</v>
      </c>
      <c r="N146" s="130">
        <f t="shared" si="32"/>
        <v>260.1001</v>
      </c>
      <c r="O146" s="131">
        <f>SUM(O136:O138)</f>
        <v>261.00792300000001</v>
      </c>
    </row>
    <row r="149" spans="1:26" ht="15">
      <c r="A149" s="157"/>
      <c r="B149" s="157" t="s">
        <v>68</v>
      </c>
      <c r="C149" s="200" t="s">
        <v>57</v>
      </c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57"/>
      <c r="B150" s="157" t="s">
        <v>69</v>
      </c>
      <c r="C150" s="181" t="s">
        <v>90</v>
      </c>
      <c r="D150" s="181" t="s">
        <v>91</v>
      </c>
      <c r="E150" s="181" t="s">
        <v>92</v>
      </c>
      <c r="F150" s="181" t="s">
        <v>93</v>
      </c>
      <c r="G150" s="181" t="s">
        <v>94</v>
      </c>
      <c r="H150" s="181" t="s">
        <v>95</v>
      </c>
      <c r="I150" s="181" t="s">
        <v>96</v>
      </c>
      <c r="J150" s="181" t="s">
        <v>97</v>
      </c>
      <c r="K150" s="181" t="s">
        <v>98</v>
      </c>
      <c r="L150" s="181" t="s">
        <v>99</v>
      </c>
      <c r="M150" s="181" t="s">
        <v>100</v>
      </c>
      <c r="N150" s="181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57" t="s">
        <v>67</v>
      </c>
      <c r="B151" s="157" t="s">
        <v>102</v>
      </c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59" t="s">
        <v>122</v>
      </c>
      <c r="B152" s="159" t="s">
        <v>123</v>
      </c>
      <c r="C152" s="177">
        <v>-2.7179999999999999E-2</v>
      </c>
      <c r="D152" s="177">
        <v>-2.63E-3</v>
      </c>
      <c r="E152" s="177">
        <v>-1.0840000000000001E-2</v>
      </c>
      <c r="F152" s="177">
        <v>-1.371E-2</v>
      </c>
      <c r="G152" s="177">
        <v>-2.4729999999999999E-2</v>
      </c>
      <c r="H152" s="177">
        <v>2.2399999999999998E-3</v>
      </c>
      <c r="I152" s="177">
        <v>-6.96E-3</v>
      </c>
      <c r="J152" s="177">
        <v>-2.001E-2</v>
      </c>
      <c r="K152" s="177">
        <v>4.317E-2</v>
      </c>
      <c r="L152" s="177">
        <v>2E-3</v>
      </c>
      <c r="M152" s="177">
        <v>-9.7800000000000005E-3</v>
      </c>
      <c r="N152" s="177">
        <v>5.0950000000000002E-2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57"/>
      <c r="B155" s="157" t="s">
        <v>68</v>
      </c>
      <c r="C155" s="200" t="s">
        <v>58</v>
      </c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57"/>
      <c r="B156" s="157" t="s">
        <v>69</v>
      </c>
      <c r="C156" s="181" t="s">
        <v>90</v>
      </c>
      <c r="D156" s="181" t="s">
        <v>91</v>
      </c>
      <c r="E156" s="181" t="s">
        <v>92</v>
      </c>
      <c r="F156" s="181" t="s">
        <v>93</v>
      </c>
      <c r="G156" s="181" t="s">
        <v>94</v>
      </c>
      <c r="H156" s="181" t="s">
        <v>95</v>
      </c>
      <c r="I156" s="181" t="s">
        <v>96</v>
      </c>
      <c r="J156" s="181" t="s">
        <v>97</v>
      </c>
      <c r="K156" s="181" t="s">
        <v>98</v>
      </c>
      <c r="L156" s="181" t="s">
        <v>99</v>
      </c>
      <c r="M156" s="181" t="s">
        <v>100</v>
      </c>
      <c r="N156" s="181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57" t="s">
        <v>67</v>
      </c>
      <c r="B157" s="157" t="s">
        <v>102</v>
      </c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59" t="s">
        <v>122</v>
      </c>
      <c r="B158" s="159" t="s">
        <v>123</v>
      </c>
      <c r="C158" s="177">
        <v>3.0000000000000001E-5</v>
      </c>
      <c r="D158" s="177">
        <v>5.0200000000000002E-3</v>
      </c>
      <c r="E158" s="177">
        <v>-9.6000000000000002E-4</v>
      </c>
      <c r="F158" s="177">
        <v>-4.0299999999999997E-3</v>
      </c>
      <c r="G158" s="177">
        <v>2.7799999999999999E-3</v>
      </c>
      <c r="H158" s="177">
        <v>1.89E-3</v>
      </c>
      <c r="I158" s="177">
        <v>1.6000000000000001E-4</v>
      </c>
      <c r="J158" s="177">
        <v>7.2999999999999996E-4</v>
      </c>
      <c r="K158" s="177">
        <v>1.7270000000000001E-2</v>
      </c>
      <c r="L158" s="177">
        <v>1.7899999999999999E-3</v>
      </c>
      <c r="M158" s="177">
        <v>8.9999999999999998E-4</v>
      </c>
      <c r="N158" s="177">
        <v>1.4579999999999999E-2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88:A101"/>
    <mergeCell ref="B30:C30"/>
    <mergeCell ref="A102:A114"/>
    <mergeCell ref="C85:T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zoomScaleNormal="100" workbookViewId="0">
      <selection activeCell="F9" sqref="F9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Mayo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5" t="s">
        <v>47</v>
      </c>
      <c r="E7" s="69"/>
      <c r="F7" s="186" t="str">
        <f>K3</f>
        <v>Mayo 2023</v>
      </c>
      <c r="G7" s="187"/>
      <c r="H7" s="187" t="s">
        <v>37</v>
      </c>
      <c r="I7" s="187"/>
      <c r="J7" s="187" t="s">
        <v>38</v>
      </c>
      <c r="K7" s="187"/>
    </row>
    <row r="8" spans="3:12">
      <c r="C8" s="185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72" t="str">
        <f>G8</f>
        <v>% 23/22</v>
      </c>
      <c r="J8" s="71" t="s">
        <v>13</v>
      </c>
      <c r="K8" s="72" t="str">
        <f>G8</f>
        <v>% 23/22</v>
      </c>
    </row>
    <row r="9" spans="3:12">
      <c r="C9" s="73"/>
      <c r="E9" s="74" t="s">
        <v>39</v>
      </c>
      <c r="F9" s="75">
        <f>Dat_01!R24/1000</f>
        <v>459.10503999999997</v>
      </c>
      <c r="G9" s="147">
        <f>Dat_01!T24*100</f>
        <v>-2.7180177300000001</v>
      </c>
      <c r="H9" s="75">
        <f>Dat_01!U24/1000</f>
        <v>2157.4892359999999</v>
      </c>
      <c r="I9" s="147">
        <f>Dat_01!W24*100</f>
        <v>-2.47324973</v>
      </c>
      <c r="J9" s="75">
        <f>Dat_01!X24/1000</f>
        <v>5986.2346610000004</v>
      </c>
      <c r="K9" s="147">
        <f>Dat_01!Y24*100</f>
        <v>4.3173468499999998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Dat_01!D152*100</f>
        <v>-0.26300000000000001</v>
      </c>
      <c r="H12" s="94"/>
      <c r="I12" s="94">
        <f>Dat_01!H152*100</f>
        <v>0.22399999999999998</v>
      </c>
      <c r="J12" s="94"/>
      <c r="K12" s="94">
        <f>Dat_01!L152*100</f>
        <v>0.2</v>
      </c>
    </row>
    <row r="13" spans="3:12">
      <c r="E13" s="77" t="s">
        <v>42</v>
      </c>
      <c r="F13" s="76"/>
      <c r="G13" s="94">
        <f>Dat_01!E152*100</f>
        <v>-1.0840000000000001</v>
      </c>
      <c r="H13" s="94"/>
      <c r="I13" s="94">
        <f>Dat_01!I152*100</f>
        <v>-0.69599999999999995</v>
      </c>
      <c r="J13" s="94"/>
      <c r="K13" s="94">
        <f>Dat_01!M152*100</f>
        <v>-0.97800000000000009</v>
      </c>
    </row>
    <row r="14" spans="3:12">
      <c r="E14" s="78" t="s">
        <v>43</v>
      </c>
      <c r="F14" s="79"/>
      <c r="G14" s="95">
        <f>Dat_01!F152*100</f>
        <v>-1.371</v>
      </c>
      <c r="H14" s="95"/>
      <c r="I14" s="95">
        <f>Dat_01!J152*100</f>
        <v>-2.0009999999999999</v>
      </c>
      <c r="J14" s="95"/>
      <c r="K14" s="95">
        <f>Dat_01!N152*100</f>
        <v>5.0950000000000006</v>
      </c>
    </row>
    <row r="15" spans="3:12">
      <c r="E15" s="188" t="s">
        <v>44</v>
      </c>
      <c r="F15" s="188"/>
      <c r="G15" s="188"/>
      <c r="H15" s="188"/>
      <c r="I15" s="188"/>
      <c r="J15" s="188"/>
      <c r="K15" s="188"/>
    </row>
    <row r="16" spans="3:12" ht="21.75" customHeight="1">
      <c r="E16" s="184" t="s">
        <v>45</v>
      </c>
      <c r="F16" s="184"/>
      <c r="G16" s="184"/>
      <c r="H16" s="184"/>
      <c r="I16" s="184"/>
      <c r="J16" s="184"/>
      <c r="K16" s="184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  <row r="22" spans="7:11">
      <c r="G22" s="160"/>
      <c r="H22" s="160"/>
      <c r="I22" s="160"/>
      <c r="J22" s="160"/>
      <c r="K22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57" customWidth="1"/>
    <col min="2" max="2" width="2.5703125" style="57" customWidth="1"/>
    <col min="3" max="3" width="23.5703125" style="57" customWidth="1"/>
    <col min="4" max="4" width="1.42578125" style="57" customWidth="1"/>
    <col min="5" max="5" width="16.42578125" style="57" bestFit="1" customWidth="1"/>
    <col min="6" max="16384" width="11.42578125" style="57"/>
  </cols>
  <sheetData>
    <row r="1" spans="3:12" ht="0.6" customHeight="1"/>
    <row r="2" spans="3:12" ht="21" customHeight="1">
      <c r="K2" s="29" t="s">
        <v>19</v>
      </c>
      <c r="L2" s="49"/>
    </row>
    <row r="3" spans="3:12" ht="15" customHeight="1">
      <c r="K3" s="46" t="str">
        <f>Indice!E3</f>
        <v>Mayo 2023</v>
      </c>
      <c r="L3" s="68"/>
    </row>
    <row r="4" spans="3:12" ht="20.100000000000001" customHeight="1">
      <c r="C4" s="27" t="s">
        <v>46</v>
      </c>
    </row>
    <row r="5" spans="3:12" ht="12.6" customHeight="1"/>
    <row r="7" spans="3:12" ht="12.75" customHeight="1">
      <c r="C7" s="185" t="s">
        <v>48</v>
      </c>
      <c r="E7" s="69"/>
      <c r="F7" s="186" t="str">
        <f>K3</f>
        <v>Mayo 2023</v>
      </c>
      <c r="G7" s="187"/>
      <c r="H7" s="187" t="s">
        <v>37</v>
      </c>
      <c r="I7" s="187"/>
      <c r="J7" s="187" t="s">
        <v>38</v>
      </c>
      <c r="K7" s="187"/>
    </row>
    <row r="8" spans="3:12">
      <c r="C8" s="185"/>
      <c r="E8" s="70"/>
      <c r="F8" s="71" t="s">
        <v>13</v>
      </c>
      <c r="G8" s="97" t="str">
        <f>CONCATENATE("% ",RIGHT(F7,2),"/",RIGHT(F7,2)-1)</f>
        <v>% 23/22</v>
      </c>
      <c r="H8" s="71" t="s">
        <v>13</v>
      </c>
      <c r="I8" s="98" t="str">
        <f>G8</f>
        <v>% 23/22</v>
      </c>
      <c r="J8" s="71" t="s">
        <v>13</v>
      </c>
      <c r="K8" s="98" t="str">
        <f>G8</f>
        <v>% 23/22</v>
      </c>
    </row>
    <row r="9" spans="3:12">
      <c r="C9" s="73"/>
      <c r="E9" s="74" t="s">
        <v>39</v>
      </c>
      <c r="F9" s="75">
        <f>Dat_01!Z24/1000</f>
        <v>700.77768100000003</v>
      </c>
      <c r="G9" s="147">
        <f>Dat_01!AB24*100</f>
        <v>2.98705649713924E-3</v>
      </c>
      <c r="H9" s="75">
        <f>Dat_01!AC24/1000</f>
        <v>3458.9196080000002</v>
      </c>
      <c r="I9" s="147">
        <f>Dat_01!AE24*100</f>
        <v>0.27839332</v>
      </c>
      <c r="J9" s="75">
        <f>Dat_01!AF24/1000</f>
        <v>8544.9609689999997</v>
      </c>
      <c r="K9" s="147">
        <f>Dat_01!AG24*100</f>
        <v>1.7270115499999998</v>
      </c>
    </row>
    <row r="10" spans="3:12">
      <c r="E10" s="15"/>
      <c r="F10" s="76"/>
      <c r="G10" s="76"/>
      <c r="H10" s="76"/>
      <c r="I10" s="76"/>
      <c r="J10" s="76"/>
      <c r="K10" s="76"/>
    </row>
    <row r="11" spans="3:12">
      <c r="E11" s="15" t="s">
        <v>40</v>
      </c>
      <c r="F11" s="76"/>
      <c r="G11" s="76"/>
      <c r="H11" s="76"/>
      <c r="I11" s="76"/>
      <c r="J11" s="76"/>
      <c r="K11" s="76"/>
    </row>
    <row r="12" spans="3:12">
      <c r="E12" s="77" t="s">
        <v>41</v>
      </c>
      <c r="F12" s="76"/>
      <c r="G12" s="94">
        <f>Dat_01!D158*100</f>
        <v>0.502</v>
      </c>
      <c r="H12" s="94"/>
      <c r="I12" s="94">
        <f>Dat_01!H158*100</f>
        <v>0.189</v>
      </c>
      <c r="J12" s="94"/>
      <c r="K12" s="94">
        <f>Dat_01!L158*100</f>
        <v>0.17899999999999999</v>
      </c>
    </row>
    <row r="13" spans="3:12">
      <c r="E13" s="77" t="s">
        <v>42</v>
      </c>
      <c r="F13" s="76"/>
      <c r="G13" s="94">
        <f>Dat_01!E158*100</f>
        <v>-9.6000000000000002E-2</v>
      </c>
      <c r="H13" s="94"/>
      <c r="I13" s="94">
        <f>Dat_01!I158*100</f>
        <v>1.6E-2</v>
      </c>
      <c r="J13" s="94"/>
      <c r="K13" s="94">
        <f>Dat_01!M158*100</f>
        <v>0.09</v>
      </c>
    </row>
    <row r="14" spans="3:12">
      <c r="E14" s="78" t="s">
        <v>43</v>
      </c>
      <c r="F14" s="79"/>
      <c r="G14" s="95">
        <f>Dat_01!F158*100</f>
        <v>-0.40299999999999997</v>
      </c>
      <c r="H14" s="95"/>
      <c r="I14" s="95">
        <f>Dat_01!J158*100</f>
        <v>7.2999999999999995E-2</v>
      </c>
      <c r="J14" s="95"/>
      <c r="K14" s="95">
        <f>Dat_01!N158*100</f>
        <v>1.458</v>
      </c>
    </row>
    <row r="15" spans="3:12">
      <c r="E15" s="188" t="s">
        <v>44</v>
      </c>
      <c r="F15" s="188"/>
      <c r="G15" s="188"/>
      <c r="H15" s="188"/>
      <c r="I15" s="188"/>
      <c r="J15" s="188"/>
      <c r="K15" s="188"/>
    </row>
    <row r="16" spans="3:12" ht="21.75" customHeight="1">
      <c r="E16" s="184" t="s">
        <v>45</v>
      </c>
      <c r="F16" s="184"/>
      <c r="G16" s="184"/>
      <c r="H16" s="184"/>
      <c r="I16" s="184"/>
      <c r="J16" s="184"/>
      <c r="K16" s="184"/>
    </row>
    <row r="19" spans="7:11">
      <c r="G19" s="160"/>
      <c r="H19" s="160"/>
      <c r="I19" s="160"/>
      <c r="J19" s="160"/>
      <c r="K19" s="160"/>
    </row>
    <row r="20" spans="7:11">
      <c r="G20" s="160"/>
      <c r="H20" s="160"/>
      <c r="I20" s="160"/>
      <c r="J20" s="160"/>
      <c r="K20" s="160"/>
    </row>
    <row r="21" spans="7:11">
      <c r="G21" s="160"/>
      <c r="H21" s="160"/>
      <c r="I21" s="160"/>
      <c r="J21" s="160"/>
      <c r="K21" s="160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99" t="s">
        <v>129</v>
      </c>
    </row>
    <row r="2" spans="1:2">
      <c r="A2" t="s">
        <v>124</v>
      </c>
    </row>
    <row r="3" spans="1:2">
      <c r="A3" t="s">
        <v>125</v>
      </c>
    </row>
    <row r="4" spans="1:2">
      <c r="A4" t="s">
        <v>127</v>
      </c>
    </row>
    <row r="5" spans="1:2">
      <c r="A5" t="s">
        <v>128</v>
      </c>
    </row>
    <row r="6" spans="1:2">
      <c r="A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B2" sqref="B2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1" customWidth="1"/>
    <col min="4" max="4" width="1.42578125" style="1" customWidth="1"/>
    <col min="5" max="5" width="29.140625" style="1" customWidth="1"/>
    <col min="6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29" t="s">
        <v>19</v>
      </c>
    </row>
    <row r="3" spans="3:23" ht="15" customHeight="1">
      <c r="M3" s="28" t="str">
        <f>Indice!E3</f>
        <v>Mayo 2023</v>
      </c>
    </row>
    <row r="4" spans="3:23" ht="20.25" customHeight="1">
      <c r="C4" s="27" t="s">
        <v>46</v>
      </c>
    </row>
    <row r="5" spans="3:23" ht="12.75" customHeight="1"/>
    <row r="6" spans="3:23" ht="13.5" customHeight="1"/>
    <row r="7" spans="3:23" s="23" customFormat="1" ht="12.75" customHeight="1">
      <c r="C7" s="189" t="s">
        <v>18</v>
      </c>
      <c r="E7" s="26"/>
      <c r="F7" s="190" t="s">
        <v>17</v>
      </c>
      <c r="G7" s="191"/>
      <c r="H7" s="190" t="s">
        <v>16</v>
      </c>
      <c r="I7" s="191"/>
      <c r="J7" s="190" t="s">
        <v>15</v>
      </c>
      <c r="K7" s="191"/>
      <c r="L7" s="190" t="s">
        <v>14</v>
      </c>
      <c r="M7" s="191"/>
    </row>
    <row r="8" spans="3:23" s="23" customFormat="1" ht="12.75" customHeight="1">
      <c r="C8" s="189"/>
      <c r="E8" s="25"/>
      <c r="F8" s="24" t="s">
        <v>13</v>
      </c>
      <c r="G8" s="96" t="str">
        <f>CONCATENATE("% ",RIGHT(M3,2),"/",RIGHT(M3,2)-1)</f>
        <v>% 23/22</v>
      </c>
      <c r="H8" s="24" t="s">
        <v>13</v>
      </c>
      <c r="I8" s="96" t="str">
        <f>G8</f>
        <v>% 23/22</v>
      </c>
      <c r="J8" s="24" t="s">
        <v>13</v>
      </c>
      <c r="K8" s="96" t="str">
        <f>I8</f>
        <v>% 23/22</v>
      </c>
      <c r="L8" s="24" t="s">
        <v>13</v>
      </c>
      <c r="M8" s="96" t="str">
        <f>K8</f>
        <v>% 23/22</v>
      </c>
    </row>
    <row r="9" spans="3:23" s="22" customFormat="1" ht="12.75" customHeight="1">
      <c r="C9" s="19"/>
      <c r="E9" s="17" t="s">
        <v>12</v>
      </c>
      <c r="F9" s="138" t="s">
        <v>3</v>
      </c>
      <c r="G9" s="14" t="s">
        <v>3</v>
      </c>
      <c r="H9" s="14">
        <f>Dat_01!Z8/1000</f>
        <v>0.29790899999999998</v>
      </c>
      <c r="I9" s="14">
        <f>IF(Dat_01!AB8*100=-100,"-",Dat_01!AB8*100)</f>
        <v>-0.26514809</v>
      </c>
      <c r="J9" s="138" t="s">
        <v>3</v>
      </c>
      <c r="K9" s="14" t="s">
        <v>3</v>
      </c>
      <c r="L9" s="138" t="s">
        <v>3</v>
      </c>
      <c r="M9" s="14" t="s">
        <v>3</v>
      </c>
      <c r="N9" s="7"/>
      <c r="O9" s="7"/>
    </row>
    <row r="10" spans="3:23" ht="12.75" customHeight="1">
      <c r="E10" s="17" t="s">
        <v>6</v>
      </c>
      <c r="F10" s="138" t="s">
        <v>3</v>
      </c>
      <c r="G10" s="14" t="s">
        <v>3</v>
      </c>
      <c r="H10" s="138">
        <f>Dat_01!Z15/1000</f>
        <v>2.0671950000000003</v>
      </c>
      <c r="I10" s="14">
        <f>Dat_01!AB15*100</f>
        <v>7.8251113400000003</v>
      </c>
      <c r="J10" s="138" t="s">
        <v>3</v>
      </c>
      <c r="K10" s="14" t="s">
        <v>3</v>
      </c>
      <c r="L10" s="138" t="s">
        <v>3</v>
      </c>
      <c r="M10" s="14" t="s">
        <v>3</v>
      </c>
      <c r="N10" s="7"/>
      <c r="O10" s="7"/>
    </row>
    <row r="11" spans="3:23" ht="12.75" customHeight="1">
      <c r="E11" s="17" t="s">
        <v>5</v>
      </c>
      <c r="F11" s="14">
        <f>Dat_01!R16/1000</f>
        <v>0.24965100000000001</v>
      </c>
      <c r="G11" s="14">
        <f>Dat_01!T16*100</f>
        <v>55.264287180000004</v>
      </c>
      <c r="H11" s="138">
        <f>Dat_01!Z16/1000</f>
        <v>130.95020099999999</v>
      </c>
      <c r="I11" s="14">
        <f>Dat_01!AB16*100</f>
        <v>11.956208820000001</v>
      </c>
      <c r="J11" s="138" t="s">
        <v>3</v>
      </c>
      <c r="K11" s="14" t="s">
        <v>3</v>
      </c>
      <c r="L11" s="138" t="s">
        <v>3</v>
      </c>
      <c r="M11" s="14" t="s">
        <v>3</v>
      </c>
      <c r="N11" s="7"/>
      <c r="O11" s="7"/>
    </row>
    <row r="12" spans="3:23" ht="12.75" customHeight="1">
      <c r="C12" s="10"/>
      <c r="E12" s="17" t="s">
        <v>4</v>
      </c>
      <c r="F12" s="138">
        <f>Dat_01!R17/1000</f>
        <v>33.460431999999997</v>
      </c>
      <c r="G12" s="14">
        <f>Dat_01!T17*100</f>
        <v>22.337093860000003</v>
      </c>
      <c r="H12" s="138">
        <f>Dat_01!Z17/1000</f>
        <v>30.462913</v>
      </c>
      <c r="I12" s="14">
        <f>Dat_01!AB17*100</f>
        <v>-7.6088091900000006</v>
      </c>
      <c r="J12" s="138" t="s">
        <v>3</v>
      </c>
      <c r="K12" s="14" t="s">
        <v>3</v>
      </c>
      <c r="L12" s="138">
        <f>Dat_01!J17/1000</f>
        <v>7.6180000000000006E-3</v>
      </c>
      <c r="M12" s="14">
        <f>IF(Dat_01!L17*100=-100,"-",Dat_01!L17*100)</f>
        <v>-4.2603996500000001</v>
      </c>
      <c r="N12" s="7"/>
      <c r="O12" s="7"/>
      <c r="P12" s="16"/>
    </row>
    <row r="13" spans="3:23" ht="12.75" customHeight="1">
      <c r="C13" s="10"/>
      <c r="E13" s="15" t="s">
        <v>83</v>
      </c>
      <c r="F13" s="14">
        <f>Dat_01!R18/1000</f>
        <v>9.0162999999999993E-2</v>
      </c>
      <c r="G13" s="14">
        <f>Dat_01!T18*100</f>
        <v>-45.791723529999999</v>
      </c>
      <c r="H13" s="138">
        <f>Dat_01!Z18/1000</f>
        <v>0.65055600000000002</v>
      </c>
      <c r="I13" s="14">
        <f>IF(Dat_01!AB18*100=-100,"-",Dat_01!AB18*100)</f>
        <v>-9.828349020000001</v>
      </c>
      <c r="J13" s="138" t="s">
        <v>3</v>
      </c>
      <c r="K13" s="14" t="s">
        <v>3</v>
      </c>
      <c r="L13" s="138" t="s">
        <v>3</v>
      </c>
      <c r="M13" s="14" t="s">
        <v>3</v>
      </c>
      <c r="N13" s="7"/>
      <c r="O13" s="7"/>
    </row>
    <row r="14" spans="3:23" ht="12.75" customHeight="1">
      <c r="C14" s="10"/>
      <c r="E14" s="15" t="s">
        <v>54</v>
      </c>
      <c r="F14" s="138">
        <f>Dat_01!R21/1000</f>
        <v>12.228600500000001</v>
      </c>
      <c r="G14" s="14">
        <f>Dat_01!T21*100</f>
        <v>3.2280653800000003</v>
      </c>
      <c r="H14" s="138" t="s">
        <v>3</v>
      </c>
      <c r="I14" s="14" t="s">
        <v>3</v>
      </c>
      <c r="J14" s="138" t="s">
        <v>3</v>
      </c>
      <c r="K14" s="14" t="s">
        <v>3</v>
      </c>
      <c r="L14" s="14">
        <f>Dat_01!J21/1000</f>
        <v>0.456793</v>
      </c>
      <c r="M14" s="14">
        <f>Dat_01!L21*100</f>
        <v>-28.330063319999997</v>
      </c>
      <c r="N14" s="7"/>
      <c r="O14" s="7"/>
    </row>
    <row r="15" spans="3:23" ht="12.75" customHeight="1">
      <c r="C15" s="10"/>
      <c r="E15" s="152" t="s">
        <v>80</v>
      </c>
      <c r="F15" s="155">
        <f>SUM(F9:F14)</f>
        <v>46.028846499999993</v>
      </c>
      <c r="G15" s="156">
        <f>((SUM(Dat_01!R8,Dat_01!R15:R18,Dat_01!R20)/SUM(Dat_01!S8,Dat_01!S15:S18,Dat_01!S20))-1)*100</f>
        <v>16.45700401751311</v>
      </c>
      <c r="H15" s="155">
        <f>SUM(H9:H14)</f>
        <v>164.42877399999998</v>
      </c>
      <c r="I15" s="156">
        <f>((SUM(Dat_01!Z8,Dat_01!Z15:Z18,Dat_01!Z20)/SUM(Dat_01!AA8,Dat_01!AA15:AA18,Dat_01!AA20))-1)*100</f>
        <v>7.5579718111106642</v>
      </c>
      <c r="J15" s="155" t="s">
        <v>3</v>
      </c>
      <c r="K15" s="156" t="s">
        <v>3</v>
      </c>
      <c r="L15" s="156">
        <f>SUM(L9:L14)</f>
        <v>0.46441100000000002</v>
      </c>
      <c r="M15" s="156">
        <f>((SUM(Dat_01!J8,Dat_01!J15:J18,Dat_01!J21)/SUM(Dat_01!K8,Dat_01!K15:K18,Dat_01!K20))-1)*100</f>
        <v>-28.033273749890554</v>
      </c>
      <c r="N15" s="7"/>
      <c r="O15" s="7"/>
    </row>
    <row r="16" spans="3:23" ht="12.75" customHeight="1">
      <c r="C16" s="19"/>
      <c r="E16" s="17" t="s">
        <v>11</v>
      </c>
      <c r="F16" s="138">
        <f>Dat_01!R9/1000</f>
        <v>-0.83296900000000007</v>
      </c>
      <c r="G16" s="14" t="s">
        <v>3</v>
      </c>
      <c r="H16" s="138" t="s">
        <v>3</v>
      </c>
      <c r="I16" s="14" t="s">
        <v>3</v>
      </c>
      <c r="J16" s="138" t="s">
        <v>3</v>
      </c>
      <c r="K16" s="14" t="s">
        <v>3</v>
      </c>
      <c r="L16" s="138" t="s">
        <v>3</v>
      </c>
      <c r="M16" s="14" t="s">
        <v>3</v>
      </c>
      <c r="N16" s="7"/>
      <c r="O16" s="7"/>
      <c r="P16" s="6"/>
      <c r="Q16" s="6"/>
      <c r="R16" s="6"/>
      <c r="S16" s="6"/>
      <c r="T16" s="6"/>
      <c r="U16" s="6"/>
      <c r="V16" s="6"/>
      <c r="W16" s="6"/>
    </row>
    <row r="17" spans="3:23" ht="12.75" customHeight="1">
      <c r="C17" s="19"/>
      <c r="E17" s="21" t="s">
        <v>10</v>
      </c>
      <c r="F17" s="139">
        <f>SUM(Dat_01!R10,Dat_01!R14)/1000</f>
        <v>12.70701</v>
      </c>
      <c r="G17" s="20">
        <f>((SUM(Dat_01!R10,Dat_01!R14)/SUM(Dat_01!S10,Dat_01!S14))-1)*100</f>
        <v>-70.540827281634549</v>
      </c>
      <c r="H17" s="139">
        <f>SUM(Dat_01!Z10,Dat_01!Z14)/1000</f>
        <v>152.65936300000001</v>
      </c>
      <c r="I17" s="20">
        <f>((SUM(Dat_01!Z10,Dat_01!Z14)/SUM(Dat_01!AA10,Dat_01!AA14))-1)*100</f>
        <v>7.35528394947631</v>
      </c>
      <c r="J17" s="139">
        <f>Dat_01!B10/1000</f>
        <v>14.167683</v>
      </c>
      <c r="K17" s="20">
        <f>Dat_01!D10*100</f>
        <v>-12.542375580000002</v>
      </c>
      <c r="L17" s="139">
        <f>Dat_01!J10/1000</f>
        <v>14.581068999999999</v>
      </c>
      <c r="M17" s="20">
        <f>Dat_01!L10*100</f>
        <v>1.89105151</v>
      </c>
      <c r="N17" s="146"/>
      <c r="O17" s="145"/>
      <c r="Q17" s="6"/>
      <c r="R17" s="6"/>
      <c r="S17" s="6"/>
      <c r="T17" s="6"/>
      <c r="U17" s="6"/>
      <c r="V17" s="6"/>
      <c r="W17" s="6"/>
    </row>
    <row r="18" spans="3:23" ht="12.75" customHeight="1">
      <c r="C18" s="19"/>
      <c r="E18" s="21" t="s">
        <v>9</v>
      </c>
      <c r="F18" s="139">
        <f>Dat_01!R11/1000</f>
        <v>35.218071999999999</v>
      </c>
      <c r="G18" s="20">
        <f>Dat_01!T11*100</f>
        <v>30.880785979999999</v>
      </c>
      <c r="H18" s="139">
        <f>Dat_01!Z11/1000</f>
        <v>23.467611000000002</v>
      </c>
      <c r="I18" s="20">
        <f>Dat_01!AB11*100</f>
        <v>52.627284080000003</v>
      </c>
      <c r="J18" s="139">
        <f>Dat_01!B11/1000</f>
        <v>4.8300000000000001E-3</v>
      </c>
      <c r="K18" s="20">
        <f>IF(Dat_01!D11=-100%,"-",Dat_01!D11*100)</f>
        <v>13.16776007</v>
      </c>
      <c r="L18" s="139">
        <f>Dat_01!J11/1000</f>
        <v>1.8749999999999999E-3</v>
      </c>
      <c r="M18" s="20">
        <f>IF(Dat_01!L11*100=-100,"-",Dat_01!L11*100)</f>
        <v>-90.251130869999997</v>
      </c>
      <c r="N18" s="146"/>
      <c r="O18" s="18"/>
      <c r="P18" s="6"/>
      <c r="Q18" s="6"/>
      <c r="R18" s="6"/>
      <c r="S18" s="6"/>
      <c r="T18" s="6"/>
      <c r="U18" s="6"/>
      <c r="V18" s="6"/>
      <c r="W18" s="6"/>
    </row>
    <row r="19" spans="3:23" ht="12.75" customHeight="1">
      <c r="C19" s="19"/>
      <c r="E19" s="21" t="s">
        <v>8</v>
      </c>
      <c r="F19" s="139" t="s">
        <v>3</v>
      </c>
      <c r="G19" s="20" t="s">
        <v>3</v>
      </c>
      <c r="H19" s="139">
        <f>Dat_01!Z12/1000</f>
        <v>84.880948999999987</v>
      </c>
      <c r="I19" s="20">
        <f>Dat_01!AB12*100</f>
        <v>-2.2667954699999999</v>
      </c>
      <c r="J19" s="139" t="s">
        <v>3</v>
      </c>
      <c r="K19" s="139" t="s">
        <v>3</v>
      </c>
      <c r="L19" s="139" t="s">
        <v>3</v>
      </c>
      <c r="M19" s="139" t="s">
        <v>3</v>
      </c>
      <c r="N19" s="146"/>
      <c r="O19" s="18"/>
      <c r="P19" s="6"/>
      <c r="Q19" s="6"/>
      <c r="R19" s="6"/>
      <c r="S19" s="6"/>
      <c r="T19" s="6"/>
      <c r="U19" s="6"/>
      <c r="V19" s="6"/>
      <c r="W19" s="6"/>
    </row>
    <row r="20" spans="3:23" ht="12.75" customHeight="1">
      <c r="C20" s="19"/>
      <c r="E20" s="17" t="s">
        <v>7</v>
      </c>
      <c r="F20" s="138">
        <f>SUM(F17:F19)</f>
        <v>47.925082000000003</v>
      </c>
      <c r="G20" s="14">
        <f>((SUM(Dat_01!R10:R12,Dat_01!R14)/SUM(Dat_01!S10:S12,Dat_01!S14))-1)*100</f>
        <v>-31.577451215948351</v>
      </c>
      <c r="H20" s="138">
        <f>SUM(H17:H19)</f>
        <v>261.00792300000001</v>
      </c>
      <c r="I20" s="14">
        <f>(H20/(H17/(I17/100+1)+H18/(I18/100+1)+H19/(I19/100+1))-1)*100</f>
        <v>6.7842198137082255</v>
      </c>
      <c r="J20" s="138">
        <f>SUM(J17:J19)</f>
        <v>14.172513</v>
      </c>
      <c r="K20" s="14">
        <f>((SUM(Dat_01!B10:B12)/SUM(Dat_01!C10:C12))-1)*100</f>
        <v>-12.5356036389352</v>
      </c>
      <c r="L20" s="138">
        <f>SUM(L17:L19)</f>
        <v>14.582943999999999</v>
      </c>
      <c r="M20" s="14">
        <f>((SUM(Dat_01!J10:J12)/SUM(Dat_01!K10:K12))-1)*100</f>
        <v>1.7673802157814444</v>
      </c>
      <c r="N20" s="7"/>
      <c r="O20" s="7"/>
      <c r="P20" s="6"/>
      <c r="Q20" s="6"/>
      <c r="R20" s="6"/>
      <c r="S20" s="6"/>
      <c r="T20" s="6"/>
      <c r="U20" s="6"/>
      <c r="V20" s="6"/>
      <c r="W20" s="6"/>
    </row>
    <row r="21" spans="3:23" ht="12.75" customHeight="1">
      <c r="C21" s="19"/>
      <c r="E21" s="17" t="s">
        <v>84</v>
      </c>
      <c r="F21" s="138">
        <f>Dat_01!R13/1000</f>
        <v>231.47546199999999</v>
      </c>
      <c r="G21" s="14">
        <f>Dat_01!T13*100</f>
        <v>-27.107189030000001</v>
      </c>
      <c r="H21" s="138">
        <f>Dat_01!Z13/1000</f>
        <v>275.34098399999999</v>
      </c>
      <c r="I21" s="14">
        <f>Dat_01!AB13*100</f>
        <v>-9.2651297600000007</v>
      </c>
      <c r="J21" s="138" t="s">
        <v>3</v>
      </c>
      <c r="K21" s="14" t="s">
        <v>3</v>
      </c>
      <c r="L21" s="138" t="s">
        <v>3</v>
      </c>
      <c r="M21" s="14" t="s">
        <v>3</v>
      </c>
      <c r="N21" s="7"/>
      <c r="O21" s="7"/>
      <c r="P21" s="6"/>
      <c r="Q21" s="6"/>
      <c r="R21" s="6"/>
      <c r="S21" s="6"/>
      <c r="T21" s="6"/>
      <c r="U21" s="6"/>
      <c r="V21" s="6"/>
      <c r="W21" s="6"/>
    </row>
    <row r="22" spans="3:23" ht="12.75" customHeight="1">
      <c r="C22" s="10"/>
      <c r="E22" s="15" t="s">
        <v>23</v>
      </c>
      <c r="F22" s="138">
        <f>Dat_01!R19/1000</f>
        <v>3.5176019999999997</v>
      </c>
      <c r="G22" s="14">
        <f>Dat_01!T19*100</f>
        <v>80.749026909999998</v>
      </c>
      <c r="H22" s="138">
        <f>Dat_01!Z19/1000</f>
        <v>0</v>
      </c>
      <c r="I22" s="14" t="s">
        <v>3</v>
      </c>
      <c r="J22" s="138" t="s">
        <v>3</v>
      </c>
      <c r="K22" s="14" t="s">
        <v>3</v>
      </c>
      <c r="L22" s="138" t="s">
        <v>3</v>
      </c>
      <c r="M22" s="14" t="s">
        <v>3</v>
      </c>
      <c r="N22" s="7"/>
      <c r="O22" s="7"/>
    </row>
    <row r="23" spans="3:23" ht="12.75" customHeight="1">
      <c r="C23" s="10"/>
      <c r="E23" s="15" t="s">
        <v>55</v>
      </c>
      <c r="F23" s="138">
        <f>Dat_01!R20/1000</f>
        <v>12.228600500000001</v>
      </c>
      <c r="G23" s="14">
        <f>Dat_01!T20*100</f>
        <v>3.2280653800000003</v>
      </c>
      <c r="H23" s="138" t="s">
        <v>3</v>
      </c>
      <c r="I23" s="14" t="s">
        <v>3</v>
      </c>
      <c r="J23" s="138" t="s">
        <v>3</v>
      </c>
      <c r="K23" s="14" t="s">
        <v>3</v>
      </c>
      <c r="L23" s="14">
        <f>Dat_01!J20/1000</f>
        <v>0.456793</v>
      </c>
      <c r="M23" s="14">
        <f>Dat_01!L20*100</f>
        <v>-28.330063319999997</v>
      </c>
      <c r="N23" s="7"/>
      <c r="O23" s="7"/>
    </row>
    <row r="24" spans="3:23" ht="12.75" customHeight="1">
      <c r="C24" s="10"/>
      <c r="E24" s="152" t="s">
        <v>81</v>
      </c>
      <c r="F24" s="140">
        <f>SUM(F16,F20:F23)</f>
        <v>294.31377750000001</v>
      </c>
      <c r="G24" s="156">
        <f>((SUM(Dat_01!R9:R14,Dat_01!R19,Dat_01!R21)/SUM(Dat_01!S9:S14,Dat_01!S19,Dat_01!S21))-1)*100</f>
        <v>-26.487874497132257</v>
      </c>
      <c r="H24" s="140">
        <f>SUM(H16,H20:H23)</f>
        <v>536.34890700000005</v>
      </c>
      <c r="I24" s="156">
        <f>((SUM(Dat_01!Z9:Z14,Dat_01!Z19,Dat_01!Z21)/SUM(Dat_01!AA9:AA14,Dat_01!AA19,Dat_01!AA21))-1)*100</f>
        <v>-2.1050664156375132</v>
      </c>
      <c r="J24" s="140">
        <f>SUM(J16,J20:J23)</f>
        <v>14.172513</v>
      </c>
      <c r="K24" s="156">
        <f>((SUM(Dat_01!B9:B14,Dat_01!B19,Dat_01!B21)/SUM(Dat_01!C9:C14,Dat_01!C19,Dat_01!C21))-1)*100</f>
        <v>-12.5356036389352</v>
      </c>
      <c r="L24" s="140">
        <f>SUM(L16,L20:L23)</f>
        <v>15.039736999999999</v>
      </c>
      <c r="M24" s="156">
        <f>((SUM(Dat_01!J9:J14,Dat_01!J19,Dat_01!J21)/SUM(Dat_01!K9:K14,Dat_01!K19,Dat_01!K21))-1)*100</f>
        <v>0.48571058520219257</v>
      </c>
      <c r="N24" s="7"/>
      <c r="O24" s="7"/>
    </row>
    <row r="25" spans="3:23" ht="12.75" customHeight="1">
      <c r="C25" s="13"/>
      <c r="E25" s="12" t="s">
        <v>87</v>
      </c>
      <c r="F25" s="141">
        <f>Dat_01!R23/1000</f>
        <v>118.762416</v>
      </c>
      <c r="G25" s="11">
        <f>Dat_01!T23*100</f>
        <v>270.58760093000001</v>
      </c>
      <c r="H25" s="141" t="s">
        <v>3</v>
      </c>
      <c r="I25" s="141" t="s">
        <v>3</v>
      </c>
      <c r="J25" s="141" t="s">
        <v>3</v>
      </c>
      <c r="K25" s="141" t="s">
        <v>3</v>
      </c>
      <c r="L25" s="141" t="s">
        <v>3</v>
      </c>
      <c r="M25" s="141" t="s">
        <v>3</v>
      </c>
      <c r="N25" s="7"/>
      <c r="O25" s="7"/>
    </row>
    <row r="26" spans="3:23" ht="16.350000000000001" customHeight="1">
      <c r="C26" s="10"/>
      <c r="E26" s="9" t="s">
        <v>1</v>
      </c>
      <c r="F26" s="142">
        <f>Dat_01!R24/1000</f>
        <v>459.10503999999997</v>
      </c>
      <c r="G26" s="8">
        <f>Dat_01!T24*100</f>
        <v>-2.7180177300000001</v>
      </c>
      <c r="H26" s="142">
        <f>Dat_01!Z24/1000</f>
        <v>700.77768100000003</v>
      </c>
      <c r="I26" s="8">
        <f>Dat_01!AB24*100</f>
        <v>2.98705649713924E-3</v>
      </c>
      <c r="J26" s="142">
        <f>Dat_01!B24/1000</f>
        <v>14.172513</v>
      </c>
      <c r="K26" s="8">
        <f>Dat_01!D24*100</f>
        <v>-12.535603640000001</v>
      </c>
      <c r="L26" s="142">
        <f>Dat_01!J24/1000</f>
        <v>15.504147999999999</v>
      </c>
      <c r="M26" s="8">
        <f>Dat_01!L24*100</f>
        <v>-0.69307934000000004</v>
      </c>
      <c r="N26" s="7"/>
      <c r="O26" s="7"/>
    </row>
    <row r="27" spans="3:23" ht="16.350000000000001" customHeight="1">
      <c r="C27" s="10"/>
      <c r="E27" s="194" t="s">
        <v>56</v>
      </c>
      <c r="F27" s="194"/>
      <c r="G27" s="194"/>
      <c r="H27" s="194"/>
      <c r="I27" s="194"/>
      <c r="J27" s="194"/>
      <c r="K27" s="194"/>
      <c r="L27" s="153"/>
      <c r="M27" s="154"/>
      <c r="N27" s="7"/>
      <c r="O27" s="7"/>
    </row>
    <row r="28" spans="3:23" ht="34.5" customHeight="1">
      <c r="C28" s="10"/>
      <c r="E28" s="195" t="s">
        <v>105</v>
      </c>
      <c r="F28" s="195"/>
      <c r="G28" s="195"/>
      <c r="H28" s="195"/>
      <c r="I28" s="195"/>
      <c r="J28" s="195"/>
      <c r="K28" s="195"/>
      <c r="L28" s="195"/>
      <c r="M28" s="195"/>
      <c r="N28" s="7"/>
      <c r="O28" s="7"/>
    </row>
    <row r="29" spans="3:23" ht="12.75" customHeight="1">
      <c r="C29" s="3"/>
      <c r="D29" s="3"/>
      <c r="E29" s="193" t="s">
        <v>0</v>
      </c>
      <c r="F29" s="193"/>
      <c r="G29" s="193"/>
      <c r="H29" s="193"/>
      <c r="I29" s="193"/>
      <c r="J29" s="193"/>
      <c r="K29" s="193"/>
      <c r="L29" s="193"/>
      <c r="M29" s="193"/>
      <c r="O29" s="6"/>
    </row>
    <row r="30" spans="3:23" ht="12.75" customHeight="1">
      <c r="E30" s="192" t="s">
        <v>82</v>
      </c>
      <c r="F30" s="192"/>
      <c r="G30" s="192"/>
      <c r="H30" s="192"/>
      <c r="I30" s="192"/>
      <c r="J30" s="192"/>
      <c r="K30" s="192"/>
      <c r="L30" s="192"/>
      <c r="M30" s="192"/>
    </row>
    <row r="31" spans="3:23" ht="12.75" customHeight="1">
      <c r="C31" s="3"/>
      <c r="D31" s="3"/>
      <c r="E31" s="192" t="s">
        <v>85</v>
      </c>
      <c r="F31" s="192"/>
      <c r="G31" s="192"/>
      <c r="H31" s="192"/>
      <c r="I31" s="192"/>
      <c r="J31" s="192"/>
      <c r="K31" s="192"/>
      <c r="L31" s="192"/>
      <c r="M31" s="192"/>
    </row>
    <row r="32" spans="3:23" ht="12.75" customHeight="1">
      <c r="E32" s="192" t="s">
        <v>86</v>
      </c>
      <c r="F32" s="192"/>
      <c r="G32" s="192"/>
      <c r="H32" s="192"/>
      <c r="I32" s="192"/>
      <c r="J32" s="192"/>
      <c r="K32" s="192"/>
      <c r="L32" s="192"/>
      <c r="M32" s="192"/>
    </row>
    <row r="33" spans="3:13" ht="12.75" customHeight="1">
      <c r="E33" s="192"/>
      <c r="F33" s="192"/>
      <c r="G33" s="192"/>
      <c r="H33" s="192"/>
      <c r="I33" s="192"/>
      <c r="J33" s="192"/>
      <c r="K33" s="192"/>
      <c r="L33" s="192"/>
      <c r="M33" s="192"/>
    </row>
    <row r="34" spans="3:13" ht="12.75" customHeight="1">
      <c r="E34" s="5"/>
      <c r="F34" s="5"/>
      <c r="G34" s="5"/>
      <c r="H34" s="5"/>
      <c r="I34" s="5"/>
      <c r="J34" s="5"/>
      <c r="K34" s="5"/>
      <c r="L34" s="5"/>
      <c r="M34" s="5"/>
    </row>
    <row r="35" spans="3:13" ht="12.75" customHeight="1">
      <c r="E35" s="4"/>
      <c r="G35" s="3"/>
      <c r="I35" s="3"/>
      <c r="K35" s="3"/>
      <c r="L35" s="3"/>
      <c r="M35" s="3"/>
    </row>
    <row r="36" spans="3:13">
      <c r="E36" s="2"/>
      <c r="F36" s="2"/>
      <c r="G36" s="2"/>
      <c r="H36" s="2"/>
      <c r="I36" s="2"/>
      <c r="J36" s="2"/>
      <c r="K36" s="2"/>
    </row>
    <row r="37" spans="3:13">
      <c r="E37" s="2"/>
      <c r="F37" s="2"/>
      <c r="G37" s="2"/>
      <c r="H37" s="2"/>
      <c r="I37" s="2"/>
      <c r="J37" s="2"/>
      <c r="K37" s="2"/>
    </row>
    <row r="38" spans="3:13">
      <c r="E38" s="2"/>
      <c r="F38" s="2"/>
      <c r="G38" s="2"/>
      <c r="H38" s="2"/>
      <c r="I38" s="2"/>
      <c r="J38" s="2"/>
      <c r="K38" s="2"/>
    </row>
    <row r="39" spans="3:13">
      <c r="E39" s="2"/>
      <c r="F39" s="2"/>
      <c r="G39" s="2"/>
      <c r="H39" s="2"/>
      <c r="I39" s="2"/>
      <c r="J39" s="2"/>
      <c r="K39" s="2"/>
    </row>
    <row r="40" spans="3:13">
      <c r="E40" s="2"/>
      <c r="F40" s="2"/>
      <c r="G40" s="2"/>
      <c r="H40" s="2"/>
      <c r="I40" s="2"/>
      <c r="J40" s="2"/>
      <c r="K40" s="2"/>
    </row>
    <row r="41" spans="3:13">
      <c r="E41" s="2"/>
      <c r="F41" s="2"/>
      <c r="G41" s="2"/>
      <c r="H41" s="2"/>
      <c r="I41" s="2"/>
      <c r="J41" s="2"/>
      <c r="K41" s="2"/>
    </row>
    <row r="42" spans="3:13">
      <c r="E42" s="2"/>
      <c r="F42" s="2"/>
      <c r="G42" s="2"/>
      <c r="H42" s="2"/>
      <c r="I42" s="2"/>
      <c r="J42" s="2"/>
      <c r="K42" s="2"/>
    </row>
    <row r="43" spans="3:13">
      <c r="C43" s="2"/>
      <c r="D43" s="2"/>
      <c r="E43" s="2"/>
      <c r="F43" s="2"/>
      <c r="G43" s="2"/>
      <c r="H43" s="2"/>
      <c r="I43" s="2"/>
      <c r="J43" s="2"/>
      <c r="K43" s="2"/>
    </row>
    <row r="44" spans="3:13">
      <c r="C44" s="2"/>
      <c r="D44" s="2"/>
      <c r="E44" s="2"/>
      <c r="F44" s="2"/>
      <c r="G44" s="2"/>
      <c r="H44" s="2"/>
      <c r="I44" s="2"/>
      <c r="J44" s="2"/>
      <c r="K44" s="2"/>
    </row>
    <row r="45" spans="3:13">
      <c r="C45" s="2"/>
      <c r="D45" s="2"/>
      <c r="E45" s="2"/>
      <c r="F45" s="2"/>
      <c r="G45" s="2"/>
      <c r="H45" s="2"/>
      <c r="I45" s="2"/>
      <c r="J45" s="2"/>
      <c r="K45" s="2"/>
    </row>
    <row r="46" spans="3:13">
      <c r="C46" s="2"/>
      <c r="D46" s="2"/>
      <c r="E46" s="2"/>
      <c r="F46" s="2"/>
      <c r="G46" s="2"/>
      <c r="H46" s="2"/>
      <c r="I46" s="2"/>
      <c r="J46" s="2"/>
      <c r="K46" s="2"/>
    </row>
    <row r="47" spans="3:13">
      <c r="C47" s="2"/>
      <c r="D47" s="2"/>
      <c r="E47" s="2"/>
      <c r="F47" s="2"/>
      <c r="G47" s="2"/>
      <c r="H47" s="2"/>
      <c r="I47" s="2"/>
      <c r="J47" s="2"/>
      <c r="K47" s="2"/>
    </row>
    <row r="48" spans="3:13">
      <c r="C48" s="2"/>
      <c r="D48" s="2"/>
      <c r="E48" s="2"/>
      <c r="F48" s="2"/>
      <c r="G48" s="2"/>
      <c r="H48" s="2"/>
      <c r="I48" s="2"/>
      <c r="J48" s="2"/>
      <c r="K48" s="2"/>
    </row>
    <row r="49" spans="3:11">
      <c r="C49" s="2"/>
      <c r="D49" s="2"/>
      <c r="E49" s="2"/>
      <c r="F49" s="2"/>
      <c r="G49" s="2"/>
      <c r="H49" s="2"/>
      <c r="I49" s="2"/>
      <c r="J49" s="2"/>
      <c r="K49" s="2"/>
    </row>
    <row r="50" spans="3:11">
      <c r="C50" s="2"/>
      <c r="D50" s="2"/>
      <c r="E50" s="2"/>
      <c r="F50" s="2"/>
      <c r="G50" s="2"/>
      <c r="H50" s="2"/>
      <c r="I50" s="2"/>
      <c r="J50" s="2"/>
      <c r="K50" s="2"/>
    </row>
    <row r="51" spans="3:11">
      <c r="C51" s="2"/>
      <c r="D51" s="2"/>
      <c r="E51" s="2"/>
      <c r="F51" s="2"/>
      <c r="G51" s="2"/>
      <c r="H51" s="2"/>
      <c r="I51" s="2"/>
      <c r="J51" s="2"/>
      <c r="K51" s="2"/>
    </row>
    <row r="52" spans="3:11">
      <c r="C52" s="2"/>
      <c r="D52" s="2"/>
      <c r="E52" s="2"/>
      <c r="F52" s="2"/>
      <c r="G52" s="2"/>
      <c r="H52" s="2"/>
      <c r="I52" s="2"/>
      <c r="J52" s="2"/>
      <c r="K52" s="2"/>
    </row>
    <row r="53" spans="3:11">
      <c r="C53" s="2"/>
      <c r="D53" s="2"/>
      <c r="E53" s="2"/>
      <c r="F53" s="2"/>
      <c r="G53" s="2"/>
      <c r="H53" s="2"/>
      <c r="I53" s="2"/>
      <c r="J53" s="2"/>
      <c r="K53" s="2"/>
    </row>
    <row r="54" spans="3:11">
      <c r="C54" s="2"/>
      <c r="D54" s="2"/>
      <c r="E54" s="2"/>
      <c r="F54" s="2"/>
      <c r="G54" s="2"/>
      <c r="H54" s="2"/>
      <c r="I54" s="2"/>
      <c r="J54" s="2"/>
      <c r="K54" s="2"/>
    </row>
    <row r="55" spans="3:11">
      <c r="C55" s="2"/>
      <c r="D55" s="2"/>
      <c r="E55" s="2"/>
      <c r="F55" s="2"/>
      <c r="G55" s="2"/>
      <c r="H55" s="2"/>
      <c r="I55" s="2"/>
      <c r="J55" s="2"/>
      <c r="K55" s="2"/>
    </row>
    <row r="56" spans="3:11">
      <c r="C56" s="2"/>
      <c r="D56" s="2"/>
      <c r="E56" s="2"/>
      <c r="F56" s="2"/>
      <c r="G56" s="2"/>
      <c r="H56" s="2"/>
      <c r="I56" s="2"/>
      <c r="J56" s="2"/>
      <c r="K56" s="2"/>
    </row>
    <row r="57" spans="3:11">
      <c r="C57" s="2"/>
      <c r="D57" s="2"/>
      <c r="E57" s="2"/>
      <c r="F57" s="2"/>
      <c r="G57" s="2"/>
      <c r="H57" s="2"/>
      <c r="I57" s="2"/>
      <c r="J57" s="2"/>
      <c r="K57" s="2"/>
    </row>
    <row r="58" spans="3:11">
      <c r="C58" s="2"/>
      <c r="D58" s="2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  <ignoredError sqref="M20" formulaRange="1"/>
    <ignoredError sqref="K20" formula="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K35" sqref="K35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Mayo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6" t="s">
        <v>31</v>
      </c>
      <c r="D7" s="39"/>
      <c r="E7" s="43"/>
    </row>
    <row r="8" spans="2:12" s="33" customFormat="1" ht="12.75" customHeight="1">
      <c r="B8" s="41"/>
      <c r="C8" s="196"/>
      <c r="D8" s="39"/>
      <c r="E8" s="43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J10" s="32"/>
      <c r="K10" s="83"/>
      <c r="L10" s="80"/>
    </row>
    <row r="11" spans="2:12" s="33" customFormat="1" ht="12.75" customHeight="1">
      <c r="B11" s="41"/>
      <c r="D11" s="39"/>
      <c r="E11" s="39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J12" s="32"/>
      <c r="K12" s="83"/>
      <c r="L12" s="80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</row>
    <row r="15" spans="2:12" s="33" customFormat="1" ht="12.75" customHeight="1">
      <c r="B15" s="41"/>
      <c r="C15" s="42"/>
      <c r="D15" s="39"/>
      <c r="E15" s="39"/>
    </row>
    <row r="16" spans="2:12" s="33" customFormat="1" ht="12.75" customHeight="1">
      <c r="B16" s="41"/>
      <c r="D16" s="39"/>
      <c r="E16" s="39"/>
      <c r="J16" s="32"/>
      <c r="K16" s="32"/>
      <c r="L16" s="32"/>
    </row>
    <row r="17" spans="2:12" s="33" customFormat="1" ht="12.75" customHeight="1">
      <c r="B17" s="41"/>
      <c r="D17" s="39"/>
      <c r="E17" s="39"/>
      <c r="J17" s="32"/>
      <c r="K17" s="32"/>
      <c r="L17" s="32"/>
    </row>
    <row r="18" spans="2:12" s="33" customFormat="1" ht="12.75" customHeight="1">
      <c r="B18" s="41"/>
      <c r="D18" s="39"/>
      <c r="E18" s="39"/>
      <c r="F18" s="151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J20" s="32"/>
      <c r="K20" s="32"/>
      <c r="L20" s="32"/>
    </row>
    <row r="21" spans="2:12" s="33" customFormat="1" ht="12.75" customHeight="1">
      <c r="B21" s="41"/>
      <c r="C21" s="40"/>
      <c r="D21" s="39"/>
      <c r="E21" s="39"/>
      <c r="J21" s="164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>
      <c r="C24" s="196" t="s">
        <v>28</v>
      </c>
      <c r="E24" s="37"/>
      <c r="J24" s="33"/>
      <c r="K24" s="33"/>
    </row>
    <row r="25" spans="2:12">
      <c r="C25" s="196"/>
      <c r="E25" s="36"/>
      <c r="J25" s="32"/>
      <c r="K25" s="32"/>
    </row>
    <row r="26" spans="2:12" ht="12.75" customHeight="1">
      <c r="J26" s="81"/>
      <c r="K26" s="82"/>
    </row>
    <row r="27" spans="2:12">
      <c r="J27" s="83"/>
      <c r="K27" s="80"/>
    </row>
    <row r="28" spans="2:12">
      <c r="C28" s="35"/>
      <c r="J28" s="83"/>
      <c r="K28" s="80"/>
    </row>
    <row r="29" spans="2:12">
      <c r="C29" s="34"/>
      <c r="J29" s="83"/>
      <c r="K29" s="80"/>
    </row>
    <row r="30" spans="2:12">
      <c r="J30" s="32"/>
      <c r="K30" s="32"/>
    </row>
    <row r="31" spans="2:12" ht="12.75" customHeight="1">
      <c r="J31" s="33"/>
      <c r="K31" s="33"/>
    </row>
    <row r="32" spans="2:12">
      <c r="J32" s="33"/>
      <c r="K32" s="33"/>
    </row>
    <row r="33" spans="10:11">
      <c r="J33" s="32"/>
      <c r="K33" s="32"/>
    </row>
    <row r="34" spans="10:11">
      <c r="J34" s="32"/>
      <c r="K34" s="32"/>
    </row>
    <row r="35" spans="10:11">
      <c r="J35" s="32"/>
      <c r="K35" s="32"/>
    </row>
    <row r="36" spans="10:11">
      <c r="J36" s="32"/>
      <c r="K36" s="32"/>
    </row>
    <row r="37" spans="10:11">
      <c r="J37" s="32"/>
      <c r="K37" s="32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Mayo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7" t="s">
        <v>32</v>
      </c>
      <c r="D7" s="58"/>
      <c r="E7" s="62"/>
    </row>
    <row r="8" spans="1:20" ht="12.75" customHeight="1">
      <c r="A8" s="61"/>
      <c r="B8" s="60"/>
      <c r="C8" s="197"/>
      <c r="D8" s="58"/>
      <c r="E8" s="62"/>
      <c r="F8" s="57"/>
    </row>
    <row r="9" spans="1:20" ht="12.75" customHeight="1">
      <c r="A9" s="61"/>
      <c r="B9" s="60"/>
      <c r="C9" s="197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>
      <c r="A21" s="61"/>
      <c r="B21" s="60"/>
      <c r="C21" s="59"/>
      <c r="D21" s="58"/>
      <c r="E21" s="58"/>
      <c r="F21" s="57"/>
    </row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88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1"/>
    </row>
    <row r="48" spans="5:5">
      <c r="E48" s="52"/>
    </row>
    <row r="49" spans="5:5">
      <c r="E49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I39" sqref="I39"/>
    </sheetView>
  </sheetViews>
  <sheetFormatPr baseColWidth="10" defaultRowHeight="12.75"/>
  <cols>
    <col min="1" max="1" width="0.140625" style="31" customWidth="1"/>
    <col min="2" max="2" width="2.5703125" style="31" customWidth="1"/>
    <col min="3" max="3" width="23.5703125" style="31" customWidth="1"/>
    <col min="4" max="4" width="1.42578125" style="31" customWidth="1"/>
    <col min="5" max="5" width="58.85546875" style="31" customWidth="1"/>
    <col min="6" max="6" width="11.42578125" style="30"/>
    <col min="7" max="7" width="19.85546875" style="30" customWidth="1"/>
    <col min="8" max="9" width="11.42578125" style="30"/>
    <col min="10" max="10" width="11" style="30" bestFit="1" customWidth="1"/>
    <col min="11" max="253" width="11.42578125" style="30"/>
    <col min="254" max="254" width="0.140625" style="30" customWidth="1"/>
    <col min="255" max="255" width="2.5703125" style="30" customWidth="1"/>
    <col min="256" max="256" width="18.5703125" style="30" customWidth="1"/>
    <col min="257" max="257" width="1.42578125" style="30" customWidth="1"/>
    <col min="258" max="258" width="58.85546875" style="30" customWidth="1"/>
    <col min="259" max="260" width="11.42578125" style="30"/>
    <col min="261" max="261" width="2.140625" style="30" customWidth="1"/>
    <col min="262" max="262" width="11.42578125" style="30"/>
    <col min="263" max="263" width="9.5703125" style="30" customWidth="1"/>
    <col min="264" max="509" width="11.42578125" style="30"/>
    <col min="510" max="510" width="0.140625" style="30" customWidth="1"/>
    <col min="511" max="511" width="2.5703125" style="30" customWidth="1"/>
    <col min="512" max="512" width="18.5703125" style="30" customWidth="1"/>
    <col min="513" max="513" width="1.42578125" style="30" customWidth="1"/>
    <col min="514" max="514" width="58.85546875" style="30" customWidth="1"/>
    <col min="515" max="516" width="11.42578125" style="30"/>
    <col min="517" max="517" width="2.140625" style="30" customWidth="1"/>
    <col min="518" max="518" width="11.42578125" style="30"/>
    <col min="519" max="519" width="9.5703125" style="30" customWidth="1"/>
    <col min="520" max="765" width="11.42578125" style="30"/>
    <col min="766" max="766" width="0.140625" style="30" customWidth="1"/>
    <col min="767" max="767" width="2.5703125" style="30" customWidth="1"/>
    <col min="768" max="768" width="18.5703125" style="30" customWidth="1"/>
    <col min="769" max="769" width="1.42578125" style="30" customWidth="1"/>
    <col min="770" max="770" width="58.85546875" style="30" customWidth="1"/>
    <col min="771" max="772" width="11.42578125" style="30"/>
    <col min="773" max="773" width="2.140625" style="30" customWidth="1"/>
    <col min="774" max="774" width="11.42578125" style="30"/>
    <col min="775" max="775" width="9.5703125" style="30" customWidth="1"/>
    <col min="776" max="1021" width="11.42578125" style="30"/>
    <col min="1022" max="1022" width="0.140625" style="30" customWidth="1"/>
    <col min="1023" max="1023" width="2.5703125" style="30" customWidth="1"/>
    <col min="1024" max="1024" width="18.5703125" style="30" customWidth="1"/>
    <col min="1025" max="1025" width="1.42578125" style="30" customWidth="1"/>
    <col min="1026" max="1026" width="58.85546875" style="30" customWidth="1"/>
    <col min="1027" max="1028" width="11.42578125" style="30"/>
    <col min="1029" max="1029" width="2.140625" style="30" customWidth="1"/>
    <col min="1030" max="1030" width="11.42578125" style="30"/>
    <col min="1031" max="1031" width="9.5703125" style="30" customWidth="1"/>
    <col min="1032" max="1277" width="11.42578125" style="30"/>
    <col min="1278" max="1278" width="0.140625" style="30" customWidth="1"/>
    <col min="1279" max="1279" width="2.5703125" style="30" customWidth="1"/>
    <col min="1280" max="1280" width="18.5703125" style="30" customWidth="1"/>
    <col min="1281" max="1281" width="1.42578125" style="30" customWidth="1"/>
    <col min="1282" max="1282" width="58.85546875" style="30" customWidth="1"/>
    <col min="1283" max="1284" width="11.42578125" style="30"/>
    <col min="1285" max="1285" width="2.140625" style="30" customWidth="1"/>
    <col min="1286" max="1286" width="11.42578125" style="30"/>
    <col min="1287" max="1287" width="9.5703125" style="30" customWidth="1"/>
    <col min="1288" max="1533" width="11.42578125" style="30"/>
    <col min="1534" max="1534" width="0.140625" style="30" customWidth="1"/>
    <col min="1535" max="1535" width="2.5703125" style="30" customWidth="1"/>
    <col min="1536" max="1536" width="18.5703125" style="30" customWidth="1"/>
    <col min="1537" max="1537" width="1.42578125" style="30" customWidth="1"/>
    <col min="1538" max="1538" width="58.85546875" style="30" customWidth="1"/>
    <col min="1539" max="1540" width="11.42578125" style="30"/>
    <col min="1541" max="1541" width="2.140625" style="30" customWidth="1"/>
    <col min="1542" max="1542" width="11.42578125" style="30"/>
    <col min="1543" max="1543" width="9.5703125" style="30" customWidth="1"/>
    <col min="1544" max="1789" width="11.42578125" style="30"/>
    <col min="1790" max="1790" width="0.140625" style="30" customWidth="1"/>
    <col min="1791" max="1791" width="2.5703125" style="30" customWidth="1"/>
    <col min="1792" max="1792" width="18.5703125" style="30" customWidth="1"/>
    <col min="1793" max="1793" width="1.42578125" style="30" customWidth="1"/>
    <col min="1794" max="1794" width="58.85546875" style="30" customWidth="1"/>
    <col min="1795" max="1796" width="11.42578125" style="30"/>
    <col min="1797" max="1797" width="2.140625" style="30" customWidth="1"/>
    <col min="1798" max="1798" width="11.42578125" style="30"/>
    <col min="1799" max="1799" width="9.5703125" style="30" customWidth="1"/>
    <col min="1800" max="2045" width="11.42578125" style="30"/>
    <col min="2046" max="2046" width="0.140625" style="30" customWidth="1"/>
    <col min="2047" max="2047" width="2.5703125" style="30" customWidth="1"/>
    <col min="2048" max="2048" width="18.5703125" style="30" customWidth="1"/>
    <col min="2049" max="2049" width="1.42578125" style="30" customWidth="1"/>
    <col min="2050" max="2050" width="58.85546875" style="30" customWidth="1"/>
    <col min="2051" max="2052" width="11.42578125" style="30"/>
    <col min="2053" max="2053" width="2.140625" style="30" customWidth="1"/>
    <col min="2054" max="2054" width="11.42578125" style="30"/>
    <col min="2055" max="2055" width="9.5703125" style="30" customWidth="1"/>
    <col min="2056" max="2301" width="11.42578125" style="30"/>
    <col min="2302" max="2302" width="0.140625" style="30" customWidth="1"/>
    <col min="2303" max="2303" width="2.5703125" style="30" customWidth="1"/>
    <col min="2304" max="2304" width="18.5703125" style="30" customWidth="1"/>
    <col min="2305" max="2305" width="1.42578125" style="30" customWidth="1"/>
    <col min="2306" max="2306" width="58.85546875" style="30" customWidth="1"/>
    <col min="2307" max="2308" width="11.42578125" style="30"/>
    <col min="2309" max="2309" width="2.140625" style="30" customWidth="1"/>
    <col min="2310" max="2310" width="11.42578125" style="30"/>
    <col min="2311" max="2311" width="9.5703125" style="30" customWidth="1"/>
    <col min="2312" max="2557" width="11.42578125" style="30"/>
    <col min="2558" max="2558" width="0.140625" style="30" customWidth="1"/>
    <col min="2559" max="2559" width="2.5703125" style="30" customWidth="1"/>
    <col min="2560" max="2560" width="18.5703125" style="30" customWidth="1"/>
    <col min="2561" max="2561" width="1.42578125" style="30" customWidth="1"/>
    <col min="2562" max="2562" width="58.85546875" style="30" customWidth="1"/>
    <col min="2563" max="2564" width="11.42578125" style="30"/>
    <col min="2565" max="2565" width="2.140625" style="30" customWidth="1"/>
    <col min="2566" max="2566" width="11.42578125" style="30"/>
    <col min="2567" max="2567" width="9.5703125" style="30" customWidth="1"/>
    <col min="2568" max="2813" width="11.42578125" style="30"/>
    <col min="2814" max="2814" width="0.140625" style="30" customWidth="1"/>
    <col min="2815" max="2815" width="2.5703125" style="30" customWidth="1"/>
    <col min="2816" max="2816" width="18.5703125" style="30" customWidth="1"/>
    <col min="2817" max="2817" width="1.42578125" style="30" customWidth="1"/>
    <col min="2818" max="2818" width="58.85546875" style="30" customWidth="1"/>
    <col min="2819" max="2820" width="11.42578125" style="30"/>
    <col min="2821" max="2821" width="2.140625" style="30" customWidth="1"/>
    <col min="2822" max="2822" width="11.42578125" style="30"/>
    <col min="2823" max="2823" width="9.5703125" style="30" customWidth="1"/>
    <col min="2824" max="3069" width="11.42578125" style="30"/>
    <col min="3070" max="3070" width="0.140625" style="30" customWidth="1"/>
    <col min="3071" max="3071" width="2.5703125" style="30" customWidth="1"/>
    <col min="3072" max="3072" width="18.5703125" style="30" customWidth="1"/>
    <col min="3073" max="3073" width="1.42578125" style="30" customWidth="1"/>
    <col min="3074" max="3074" width="58.85546875" style="30" customWidth="1"/>
    <col min="3075" max="3076" width="11.42578125" style="30"/>
    <col min="3077" max="3077" width="2.140625" style="30" customWidth="1"/>
    <col min="3078" max="3078" width="11.42578125" style="30"/>
    <col min="3079" max="3079" width="9.5703125" style="30" customWidth="1"/>
    <col min="3080" max="3325" width="11.42578125" style="30"/>
    <col min="3326" max="3326" width="0.140625" style="30" customWidth="1"/>
    <col min="3327" max="3327" width="2.5703125" style="30" customWidth="1"/>
    <col min="3328" max="3328" width="18.5703125" style="30" customWidth="1"/>
    <col min="3329" max="3329" width="1.42578125" style="30" customWidth="1"/>
    <col min="3330" max="3330" width="58.85546875" style="30" customWidth="1"/>
    <col min="3331" max="3332" width="11.42578125" style="30"/>
    <col min="3333" max="3333" width="2.140625" style="30" customWidth="1"/>
    <col min="3334" max="3334" width="11.42578125" style="30"/>
    <col min="3335" max="3335" width="9.5703125" style="30" customWidth="1"/>
    <col min="3336" max="3581" width="11.42578125" style="30"/>
    <col min="3582" max="3582" width="0.140625" style="30" customWidth="1"/>
    <col min="3583" max="3583" width="2.5703125" style="30" customWidth="1"/>
    <col min="3584" max="3584" width="18.5703125" style="30" customWidth="1"/>
    <col min="3585" max="3585" width="1.42578125" style="30" customWidth="1"/>
    <col min="3586" max="3586" width="58.85546875" style="30" customWidth="1"/>
    <col min="3587" max="3588" width="11.42578125" style="30"/>
    <col min="3589" max="3589" width="2.140625" style="30" customWidth="1"/>
    <col min="3590" max="3590" width="11.42578125" style="30"/>
    <col min="3591" max="3591" width="9.5703125" style="30" customWidth="1"/>
    <col min="3592" max="3837" width="11.42578125" style="30"/>
    <col min="3838" max="3838" width="0.140625" style="30" customWidth="1"/>
    <col min="3839" max="3839" width="2.5703125" style="30" customWidth="1"/>
    <col min="3840" max="3840" width="18.5703125" style="30" customWidth="1"/>
    <col min="3841" max="3841" width="1.42578125" style="30" customWidth="1"/>
    <col min="3842" max="3842" width="58.85546875" style="30" customWidth="1"/>
    <col min="3843" max="3844" width="11.42578125" style="30"/>
    <col min="3845" max="3845" width="2.140625" style="30" customWidth="1"/>
    <col min="3846" max="3846" width="11.42578125" style="30"/>
    <col min="3847" max="3847" width="9.5703125" style="30" customWidth="1"/>
    <col min="3848" max="4093" width="11.42578125" style="30"/>
    <col min="4094" max="4094" width="0.140625" style="30" customWidth="1"/>
    <col min="4095" max="4095" width="2.5703125" style="30" customWidth="1"/>
    <col min="4096" max="4096" width="18.5703125" style="30" customWidth="1"/>
    <col min="4097" max="4097" width="1.42578125" style="30" customWidth="1"/>
    <col min="4098" max="4098" width="58.85546875" style="30" customWidth="1"/>
    <col min="4099" max="4100" width="11.42578125" style="30"/>
    <col min="4101" max="4101" width="2.140625" style="30" customWidth="1"/>
    <col min="4102" max="4102" width="11.42578125" style="30"/>
    <col min="4103" max="4103" width="9.5703125" style="30" customWidth="1"/>
    <col min="4104" max="4349" width="11.42578125" style="30"/>
    <col min="4350" max="4350" width="0.140625" style="30" customWidth="1"/>
    <col min="4351" max="4351" width="2.5703125" style="30" customWidth="1"/>
    <col min="4352" max="4352" width="18.5703125" style="30" customWidth="1"/>
    <col min="4353" max="4353" width="1.42578125" style="30" customWidth="1"/>
    <col min="4354" max="4354" width="58.85546875" style="30" customWidth="1"/>
    <col min="4355" max="4356" width="11.42578125" style="30"/>
    <col min="4357" max="4357" width="2.140625" style="30" customWidth="1"/>
    <col min="4358" max="4358" width="11.42578125" style="30"/>
    <col min="4359" max="4359" width="9.5703125" style="30" customWidth="1"/>
    <col min="4360" max="4605" width="11.42578125" style="30"/>
    <col min="4606" max="4606" width="0.140625" style="30" customWidth="1"/>
    <col min="4607" max="4607" width="2.5703125" style="30" customWidth="1"/>
    <col min="4608" max="4608" width="18.5703125" style="30" customWidth="1"/>
    <col min="4609" max="4609" width="1.42578125" style="30" customWidth="1"/>
    <col min="4610" max="4610" width="58.85546875" style="30" customWidth="1"/>
    <col min="4611" max="4612" width="11.42578125" style="30"/>
    <col min="4613" max="4613" width="2.140625" style="30" customWidth="1"/>
    <col min="4614" max="4614" width="11.42578125" style="30"/>
    <col min="4615" max="4615" width="9.5703125" style="30" customWidth="1"/>
    <col min="4616" max="4861" width="11.42578125" style="30"/>
    <col min="4862" max="4862" width="0.140625" style="30" customWidth="1"/>
    <col min="4863" max="4863" width="2.5703125" style="30" customWidth="1"/>
    <col min="4864" max="4864" width="18.5703125" style="30" customWidth="1"/>
    <col min="4865" max="4865" width="1.42578125" style="30" customWidth="1"/>
    <col min="4866" max="4866" width="58.85546875" style="30" customWidth="1"/>
    <col min="4867" max="4868" width="11.42578125" style="30"/>
    <col min="4869" max="4869" width="2.140625" style="30" customWidth="1"/>
    <col min="4870" max="4870" width="11.42578125" style="30"/>
    <col min="4871" max="4871" width="9.5703125" style="30" customWidth="1"/>
    <col min="4872" max="5117" width="11.42578125" style="30"/>
    <col min="5118" max="5118" width="0.140625" style="30" customWidth="1"/>
    <col min="5119" max="5119" width="2.5703125" style="30" customWidth="1"/>
    <col min="5120" max="5120" width="18.5703125" style="30" customWidth="1"/>
    <col min="5121" max="5121" width="1.42578125" style="30" customWidth="1"/>
    <col min="5122" max="5122" width="58.85546875" style="30" customWidth="1"/>
    <col min="5123" max="5124" width="11.42578125" style="30"/>
    <col min="5125" max="5125" width="2.140625" style="30" customWidth="1"/>
    <col min="5126" max="5126" width="11.42578125" style="30"/>
    <col min="5127" max="5127" width="9.5703125" style="30" customWidth="1"/>
    <col min="5128" max="5373" width="11.42578125" style="30"/>
    <col min="5374" max="5374" width="0.140625" style="30" customWidth="1"/>
    <col min="5375" max="5375" width="2.5703125" style="30" customWidth="1"/>
    <col min="5376" max="5376" width="18.5703125" style="30" customWidth="1"/>
    <col min="5377" max="5377" width="1.42578125" style="30" customWidth="1"/>
    <col min="5378" max="5378" width="58.85546875" style="30" customWidth="1"/>
    <col min="5379" max="5380" width="11.42578125" style="30"/>
    <col min="5381" max="5381" width="2.140625" style="30" customWidth="1"/>
    <col min="5382" max="5382" width="11.42578125" style="30"/>
    <col min="5383" max="5383" width="9.5703125" style="30" customWidth="1"/>
    <col min="5384" max="5629" width="11.42578125" style="30"/>
    <col min="5630" max="5630" width="0.140625" style="30" customWidth="1"/>
    <col min="5631" max="5631" width="2.5703125" style="30" customWidth="1"/>
    <col min="5632" max="5632" width="18.5703125" style="30" customWidth="1"/>
    <col min="5633" max="5633" width="1.42578125" style="30" customWidth="1"/>
    <col min="5634" max="5634" width="58.85546875" style="30" customWidth="1"/>
    <col min="5635" max="5636" width="11.42578125" style="30"/>
    <col min="5637" max="5637" width="2.140625" style="30" customWidth="1"/>
    <col min="5638" max="5638" width="11.42578125" style="30"/>
    <col min="5639" max="5639" width="9.5703125" style="30" customWidth="1"/>
    <col min="5640" max="5885" width="11.42578125" style="30"/>
    <col min="5886" max="5886" width="0.140625" style="30" customWidth="1"/>
    <col min="5887" max="5887" width="2.5703125" style="30" customWidth="1"/>
    <col min="5888" max="5888" width="18.5703125" style="30" customWidth="1"/>
    <col min="5889" max="5889" width="1.42578125" style="30" customWidth="1"/>
    <col min="5890" max="5890" width="58.85546875" style="30" customWidth="1"/>
    <col min="5891" max="5892" width="11.42578125" style="30"/>
    <col min="5893" max="5893" width="2.140625" style="30" customWidth="1"/>
    <col min="5894" max="5894" width="11.42578125" style="30"/>
    <col min="5895" max="5895" width="9.5703125" style="30" customWidth="1"/>
    <col min="5896" max="6141" width="11.42578125" style="30"/>
    <col min="6142" max="6142" width="0.140625" style="30" customWidth="1"/>
    <col min="6143" max="6143" width="2.5703125" style="30" customWidth="1"/>
    <col min="6144" max="6144" width="18.5703125" style="30" customWidth="1"/>
    <col min="6145" max="6145" width="1.42578125" style="30" customWidth="1"/>
    <col min="6146" max="6146" width="58.85546875" style="30" customWidth="1"/>
    <col min="6147" max="6148" width="11.42578125" style="30"/>
    <col min="6149" max="6149" width="2.140625" style="30" customWidth="1"/>
    <col min="6150" max="6150" width="11.42578125" style="30"/>
    <col min="6151" max="6151" width="9.5703125" style="30" customWidth="1"/>
    <col min="6152" max="6397" width="11.42578125" style="30"/>
    <col min="6398" max="6398" width="0.140625" style="30" customWidth="1"/>
    <col min="6399" max="6399" width="2.5703125" style="30" customWidth="1"/>
    <col min="6400" max="6400" width="18.5703125" style="30" customWidth="1"/>
    <col min="6401" max="6401" width="1.42578125" style="30" customWidth="1"/>
    <col min="6402" max="6402" width="58.85546875" style="30" customWidth="1"/>
    <col min="6403" max="6404" width="11.42578125" style="30"/>
    <col min="6405" max="6405" width="2.140625" style="30" customWidth="1"/>
    <col min="6406" max="6406" width="11.42578125" style="30"/>
    <col min="6407" max="6407" width="9.5703125" style="30" customWidth="1"/>
    <col min="6408" max="6653" width="11.42578125" style="30"/>
    <col min="6654" max="6654" width="0.140625" style="30" customWidth="1"/>
    <col min="6655" max="6655" width="2.5703125" style="30" customWidth="1"/>
    <col min="6656" max="6656" width="18.5703125" style="30" customWidth="1"/>
    <col min="6657" max="6657" width="1.42578125" style="30" customWidth="1"/>
    <col min="6658" max="6658" width="58.85546875" style="30" customWidth="1"/>
    <col min="6659" max="6660" width="11.42578125" style="30"/>
    <col min="6661" max="6661" width="2.140625" style="30" customWidth="1"/>
    <col min="6662" max="6662" width="11.42578125" style="30"/>
    <col min="6663" max="6663" width="9.5703125" style="30" customWidth="1"/>
    <col min="6664" max="6909" width="11.42578125" style="30"/>
    <col min="6910" max="6910" width="0.140625" style="30" customWidth="1"/>
    <col min="6911" max="6911" width="2.5703125" style="30" customWidth="1"/>
    <col min="6912" max="6912" width="18.5703125" style="30" customWidth="1"/>
    <col min="6913" max="6913" width="1.42578125" style="30" customWidth="1"/>
    <col min="6914" max="6914" width="58.85546875" style="30" customWidth="1"/>
    <col min="6915" max="6916" width="11.42578125" style="30"/>
    <col min="6917" max="6917" width="2.140625" style="30" customWidth="1"/>
    <col min="6918" max="6918" width="11.42578125" style="30"/>
    <col min="6919" max="6919" width="9.5703125" style="30" customWidth="1"/>
    <col min="6920" max="7165" width="11.42578125" style="30"/>
    <col min="7166" max="7166" width="0.140625" style="30" customWidth="1"/>
    <col min="7167" max="7167" width="2.5703125" style="30" customWidth="1"/>
    <col min="7168" max="7168" width="18.5703125" style="30" customWidth="1"/>
    <col min="7169" max="7169" width="1.42578125" style="30" customWidth="1"/>
    <col min="7170" max="7170" width="58.85546875" style="30" customWidth="1"/>
    <col min="7171" max="7172" width="11.42578125" style="30"/>
    <col min="7173" max="7173" width="2.140625" style="30" customWidth="1"/>
    <col min="7174" max="7174" width="11.42578125" style="30"/>
    <col min="7175" max="7175" width="9.5703125" style="30" customWidth="1"/>
    <col min="7176" max="7421" width="11.42578125" style="30"/>
    <col min="7422" max="7422" width="0.140625" style="30" customWidth="1"/>
    <col min="7423" max="7423" width="2.5703125" style="30" customWidth="1"/>
    <col min="7424" max="7424" width="18.5703125" style="30" customWidth="1"/>
    <col min="7425" max="7425" width="1.42578125" style="30" customWidth="1"/>
    <col min="7426" max="7426" width="58.85546875" style="30" customWidth="1"/>
    <col min="7427" max="7428" width="11.42578125" style="30"/>
    <col min="7429" max="7429" width="2.140625" style="30" customWidth="1"/>
    <col min="7430" max="7430" width="11.42578125" style="30"/>
    <col min="7431" max="7431" width="9.5703125" style="30" customWidth="1"/>
    <col min="7432" max="7677" width="11.42578125" style="30"/>
    <col min="7678" max="7678" width="0.140625" style="30" customWidth="1"/>
    <col min="7679" max="7679" width="2.5703125" style="30" customWidth="1"/>
    <col min="7680" max="7680" width="18.5703125" style="30" customWidth="1"/>
    <col min="7681" max="7681" width="1.42578125" style="30" customWidth="1"/>
    <col min="7682" max="7682" width="58.85546875" style="30" customWidth="1"/>
    <col min="7683" max="7684" width="11.42578125" style="30"/>
    <col min="7685" max="7685" width="2.140625" style="30" customWidth="1"/>
    <col min="7686" max="7686" width="11.42578125" style="30"/>
    <col min="7687" max="7687" width="9.5703125" style="30" customWidth="1"/>
    <col min="7688" max="7933" width="11.42578125" style="30"/>
    <col min="7934" max="7934" width="0.140625" style="30" customWidth="1"/>
    <col min="7935" max="7935" width="2.5703125" style="30" customWidth="1"/>
    <col min="7936" max="7936" width="18.5703125" style="30" customWidth="1"/>
    <col min="7937" max="7937" width="1.42578125" style="30" customWidth="1"/>
    <col min="7938" max="7938" width="58.85546875" style="30" customWidth="1"/>
    <col min="7939" max="7940" width="11.42578125" style="30"/>
    <col min="7941" max="7941" width="2.140625" style="30" customWidth="1"/>
    <col min="7942" max="7942" width="11.42578125" style="30"/>
    <col min="7943" max="7943" width="9.5703125" style="30" customWidth="1"/>
    <col min="7944" max="8189" width="11.42578125" style="30"/>
    <col min="8190" max="8190" width="0.140625" style="30" customWidth="1"/>
    <col min="8191" max="8191" width="2.5703125" style="30" customWidth="1"/>
    <col min="8192" max="8192" width="18.5703125" style="30" customWidth="1"/>
    <col min="8193" max="8193" width="1.42578125" style="30" customWidth="1"/>
    <col min="8194" max="8194" width="58.85546875" style="30" customWidth="1"/>
    <col min="8195" max="8196" width="11.42578125" style="30"/>
    <col min="8197" max="8197" width="2.140625" style="30" customWidth="1"/>
    <col min="8198" max="8198" width="11.42578125" style="30"/>
    <col min="8199" max="8199" width="9.5703125" style="30" customWidth="1"/>
    <col min="8200" max="8445" width="11.42578125" style="30"/>
    <col min="8446" max="8446" width="0.140625" style="30" customWidth="1"/>
    <col min="8447" max="8447" width="2.5703125" style="30" customWidth="1"/>
    <col min="8448" max="8448" width="18.5703125" style="30" customWidth="1"/>
    <col min="8449" max="8449" width="1.42578125" style="30" customWidth="1"/>
    <col min="8450" max="8450" width="58.85546875" style="30" customWidth="1"/>
    <col min="8451" max="8452" width="11.42578125" style="30"/>
    <col min="8453" max="8453" width="2.140625" style="30" customWidth="1"/>
    <col min="8454" max="8454" width="11.42578125" style="30"/>
    <col min="8455" max="8455" width="9.5703125" style="30" customWidth="1"/>
    <col min="8456" max="8701" width="11.42578125" style="30"/>
    <col min="8702" max="8702" width="0.140625" style="30" customWidth="1"/>
    <col min="8703" max="8703" width="2.5703125" style="30" customWidth="1"/>
    <col min="8704" max="8704" width="18.5703125" style="30" customWidth="1"/>
    <col min="8705" max="8705" width="1.42578125" style="30" customWidth="1"/>
    <col min="8706" max="8706" width="58.85546875" style="30" customWidth="1"/>
    <col min="8707" max="8708" width="11.42578125" style="30"/>
    <col min="8709" max="8709" width="2.140625" style="30" customWidth="1"/>
    <col min="8710" max="8710" width="11.42578125" style="30"/>
    <col min="8711" max="8711" width="9.5703125" style="30" customWidth="1"/>
    <col min="8712" max="8957" width="11.42578125" style="30"/>
    <col min="8958" max="8958" width="0.140625" style="30" customWidth="1"/>
    <col min="8959" max="8959" width="2.5703125" style="30" customWidth="1"/>
    <col min="8960" max="8960" width="18.5703125" style="30" customWidth="1"/>
    <col min="8961" max="8961" width="1.42578125" style="30" customWidth="1"/>
    <col min="8962" max="8962" width="58.85546875" style="30" customWidth="1"/>
    <col min="8963" max="8964" width="11.42578125" style="30"/>
    <col min="8965" max="8965" width="2.140625" style="30" customWidth="1"/>
    <col min="8966" max="8966" width="11.42578125" style="30"/>
    <col min="8967" max="8967" width="9.5703125" style="30" customWidth="1"/>
    <col min="8968" max="9213" width="11.42578125" style="30"/>
    <col min="9214" max="9214" width="0.140625" style="30" customWidth="1"/>
    <col min="9215" max="9215" width="2.5703125" style="30" customWidth="1"/>
    <col min="9216" max="9216" width="18.5703125" style="30" customWidth="1"/>
    <col min="9217" max="9217" width="1.42578125" style="30" customWidth="1"/>
    <col min="9218" max="9218" width="58.85546875" style="30" customWidth="1"/>
    <col min="9219" max="9220" width="11.42578125" style="30"/>
    <col min="9221" max="9221" width="2.140625" style="30" customWidth="1"/>
    <col min="9222" max="9222" width="11.42578125" style="30"/>
    <col min="9223" max="9223" width="9.5703125" style="30" customWidth="1"/>
    <col min="9224" max="9469" width="11.42578125" style="30"/>
    <col min="9470" max="9470" width="0.140625" style="30" customWidth="1"/>
    <col min="9471" max="9471" width="2.5703125" style="30" customWidth="1"/>
    <col min="9472" max="9472" width="18.5703125" style="30" customWidth="1"/>
    <col min="9473" max="9473" width="1.42578125" style="30" customWidth="1"/>
    <col min="9474" max="9474" width="58.85546875" style="30" customWidth="1"/>
    <col min="9475" max="9476" width="11.42578125" style="30"/>
    <col min="9477" max="9477" width="2.140625" style="30" customWidth="1"/>
    <col min="9478" max="9478" width="11.42578125" style="30"/>
    <col min="9479" max="9479" width="9.5703125" style="30" customWidth="1"/>
    <col min="9480" max="9725" width="11.42578125" style="30"/>
    <col min="9726" max="9726" width="0.140625" style="30" customWidth="1"/>
    <col min="9727" max="9727" width="2.5703125" style="30" customWidth="1"/>
    <col min="9728" max="9728" width="18.5703125" style="30" customWidth="1"/>
    <col min="9729" max="9729" width="1.42578125" style="30" customWidth="1"/>
    <col min="9730" max="9730" width="58.85546875" style="30" customWidth="1"/>
    <col min="9731" max="9732" width="11.42578125" style="30"/>
    <col min="9733" max="9733" width="2.140625" style="30" customWidth="1"/>
    <col min="9734" max="9734" width="11.42578125" style="30"/>
    <col min="9735" max="9735" width="9.5703125" style="30" customWidth="1"/>
    <col min="9736" max="9981" width="11.42578125" style="30"/>
    <col min="9982" max="9982" width="0.140625" style="30" customWidth="1"/>
    <col min="9983" max="9983" width="2.5703125" style="30" customWidth="1"/>
    <col min="9984" max="9984" width="18.5703125" style="30" customWidth="1"/>
    <col min="9985" max="9985" width="1.42578125" style="30" customWidth="1"/>
    <col min="9986" max="9986" width="58.85546875" style="30" customWidth="1"/>
    <col min="9987" max="9988" width="11.42578125" style="30"/>
    <col min="9989" max="9989" width="2.140625" style="30" customWidth="1"/>
    <col min="9990" max="9990" width="11.42578125" style="30"/>
    <col min="9991" max="9991" width="9.5703125" style="30" customWidth="1"/>
    <col min="9992" max="10237" width="11.42578125" style="30"/>
    <col min="10238" max="10238" width="0.140625" style="30" customWidth="1"/>
    <col min="10239" max="10239" width="2.5703125" style="30" customWidth="1"/>
    <col min="10240" max="10240" width="18.5703125" style="30" customWidth="1"/>
    <col min="10241" max="10241" width="1.42578125" style="30" customWidth="1"/>
    <col min="10242" max="10242" width="58.85546875" style="30" customWidth="1"/>
    <col min="10243" max="10244" width="11.42578125" style="30"/>
    <col min="10245" max="10245" width="2.140625" style="30" customWidth="1"/>
    <col min="10246" max="10246" width="11.42578125" style="30"/>
    <col min="10247" max="10247" width="9.5703125" style="30" customWidth="1"/>
    <col min="10248" max="10493" width="11.42578125" style="30"/>
    <col min="10494" max="10494" width="0.140625" style="30" customWidth="1"/>
    <col min="10495" max="10495" width="2.5703125" style="30" customWidth="1"/>
    <col min="10496" max="10496" width="18.5703125" style="30" customWidth="1"/>
    <col min="10497" max="10497" width="1.42578125" style="30" customWidth="1"/>
    <col min="10498" max="10498" width="58.85546875" style="30" customWidth="1"/>
    <col min="10499" max="10500" width="11.42578125" style="30"/>
    <col min="10501" max="10501" width="2.140625" style="30" customWidth="1"/>
    <col min="10502" max="10502" width="11.42578125" style="30"/>
    <col min="10503" max="10503" width="9.5703125" style="30" customWidth="1"/>
    <col min="10504" max="10749" width="11.42578125" style="30"/>
    <col min="10750" max="10750" width="0.140625" style="30" customWidth="1"/>
    <col min="10751" max="10751" width="2.5703125" style="30" customWidth="1"/>
    <col min="10752" max="10752" width="18.5703125" style="30" customWidth="1"/>
    <col min="10753" max="10753" width="1.42578125" style="30" customWidth="1"/>
    <col min="10754" max="10754" width="58.85546875" style="30" customWidth="1"/>
    <col min="10755" max="10756" width="11.42578125" style="30"/>
    <col min="10757" max="10757" width="2.140625" style="30" customWidth="1"/>
    <col min="10758" max="10758" width="11.42578125" style="30"/>
    <col min="10759" max="10759" width="9.5703125" style="30" customWidth="1"/>
    <col min="10760" max="11005" width="11.42578125" style="30"/>
    <col min="11006" max="11006" width="0.140625" style="30" customWidth="1"/>
    <col min="11007" max="11007" width="2.5703125" style="30" customWidth="1"/>
    <col min="11008" max="11008" width="18.5703125" style="30" customWidth="1"/>
    <col min="11009" max="11009" width="1.42578125" style="30" customWidth="1"/>
    <col min="11010" max="11010" width="58.85546875" style="30" customWidth="1"/>
    <col min="11011" max="11012" width="11.42578125" style="30"/>
    <col min="11013" max="11013" width="2.140625" style="30" customWidth="1"/>
    <col min="11014" max="11014" width="11.42578125" style="30"/>
    <col min="11015" max="11015" width="9.5703125" style="30" customWidth="1"/>
    <col min="11016" max="11261" width="11.42578125" style="30"/>
    <col min="11262" max="11262" width="0.140625" style="30" customWidth="1"/>
    <col min="11263" max="11263" width="2.5703125" style="30" customWidth="1"/>
    <col min="11264" max="11264" width="18.5703125" style="30" customWidth="1"/>
    <col min="11265" max="11265" width="1.42578125" style="30" customWidth="1"/>
    <col min="11266" max="11266" width="58.85546875" style="30" customWidth="1"/>
    <col min="11267" max="11268" width="11.42578125" style="30"/>
    <col min="11269" max="11269" width="2.140625" style="30" customWidth="1"/>
    <col min="11270" max="11270" width="11.42578125" style="30"/>
    <col min="11271" max="11271" width="9.5703125" style="30" customWidth="1"/>
    <col min="11272" max="11517" width="11.42578125" style="30"/>
    <col min="11518" max="11518" width="0.140625" style="30" customWidth="1"/>
    <col min="11519" max="11519" width="2.5703125" style="30" customWidth="1"/>
    <col min="11520" max="11520" width="18.5703125" style="30" customWidth="1"/>
    <col min="11521" max="11521" width="1.42578125" style="30" customWidth="1"/>
    <col min="11522" max="11522" width="58.85546875" style="30" customWidth="1"/>
    <col min="11523" max="11524" width="11.42578125" style="30"/>
    <col min="11525" max="11525" width="2.140625" style="30" customWidth="1"/>
    <col min="11526" max="11526" width="11.42578125" style="30"/>
    <col min="11527" max="11527" width="9.5703125" style="30" customWidth="1"/>
    <col min="11528" max="11773" width="11.42578125" style="30"/>
    <col min="11774" max="11774" width="0.140625" style="30" customWidth="1"/>
    <col min="11775" max="11775" width="2.5703125" style="30" customWidth="1"/>
    <col min="11776" max="11776" width="18.5703125" style="30" customWidth="1"/>
    <col min="11777" max="11777" width="1.42578125" style="30" customWidth="1"/>
    <col min="11778" max="11778" width="58.85546875" style="30" customWidth="1"/>
    <col min="11779" max="11780" width="11.42578125" style="30"/>
    <col min="11781" max="11781" width="2.140625" style="30" customWidth="1"/>
    <col min="11782" max="11782" width="11.42578125" style="30"/>
    <col min="11783" max="11783" width="9.5703125" style="30" customWidth="1"/>
    <col min="11784" max="12029" width="11.42578125" style="30"/>
    <col min="12030" max="12030" width="0.140625" style="30" customWidth="1"/>
    <col min="12031" max="12031" width="2.5703125" style="30" customWidth="1"/>
    <col min="12032" max="12032" width="18.5703125" style="30" customWidth="1"/>
    <col min="12033" max="12033" width="1.42578125" style="30" customWidth="1"/>
    <col min="12034" max="12034" width="58.85546875" style="30" customWidth="1"/>
    <col min="12035" max="12036" width="11.42578125" style="30"/>
    <col min="12037" max="12037" width="2.140625" style="30" customWidth="1"/>
    <col min="12038" max="12038" width="11.42578125" style="30"/>
    <col min="12039" max="12039" width="9.5703125" style="30" customWidth="1"/>
    <col min="12040" max="12285" width="11.42578125" style="30"/>
    <col min="12286" max="12286" width="0.140625" style="30" customWidth="1"/>
    <col min="12287" max="12287" width="2.5703125" style="30" customWidth="1"/>
    <col min="12288" max="12288" width="18.5703125" style="30" customWidth="1"/>
    <col min="12289" max="12289" width="1.42578125" style="30" customWidth="1"/>
    <col min="12290" max="12290" width="58.85546875" style="30" customWidth="1"/>
    <col min="12291" max="12292" width="11.42578125" style="30"/>
    <col min="12293" max="12293" width="2.140625" style="30" customWidth="1"/>
    <col min="12294" max="12294" width="11.42578125" style="30"/>
    <col min="12295" max="12295" width="9.5703125" style="30" customWidth="1"/>
    <col min="12296" max="12541" width="11.42578125" style="30"/>
    <col min="12542" max="12542" width="0.140625" style="30" customWidth="1"/>
    <col min="12543" max="12543" width="2.5703125" style="30" customWidth="1"/>
    <col min="12544" max="12544" width="18.5703125" style="30" customWidth="1"/>
    <col min="12545" max="12545" width="1.42578125" style="30" customWidth="1"/>
    <col min="12546" max="12546" width="58.85546875" style="30" customWidth="1"/>
    <col min="12547" max="12548" width="11.42578125" style="30"/>
    <col min="12549" max="12549" width="2.140625" style="30" customWidth="1"/>
    <col min="12550" max="12550" width="11.42578125" style="30"/>
    <col min="12551" max="12551" width="9.5703125" style="30" customWidth="1"/>
    <col min="12552" max="12797" width="11.42578125" style="30"/>
    <col min="12798" max="12798" width="0.140625" style="30" customWidth="1"/>
    <col min="12799" max="12799" width="2.5703125" style="30" customWidth="1"/>
    <col min="12800" max="12800" width="18.5703125" style="30" customWidth="1"/>
    <col min="12801" max="12801" width="1.42578125" style="30" customWidth="1"/>
    <col min="12802" max="12802" width="58.85546875" style="30" customWidth="1"/>
    <col min="12803" max="12804" width="11.42578125" style="30"/>
    <col min="12805" max="12805" width="2.140625" style="30" customWidth="1"/>
    <col min="12806" max="12806" width="11.42578125" style="30"/>
    <col min="12807" max="12807" width="9.5703125" style="30" customWidth="1"/>
    <col min="12808" max="13053" width="11.42578125" style="30"/>
    <col min="13054" max="13054" width="0.140625" style="30" customWidth="1"/>
    <col min="13055" max="13055" width="2.5703125" style="30" customWidth="1"/>
    <col min="13056" max="13056" width="18.5703125" style="30" customWidth="1"/>
    <col min="13057" max="13057" width="1.42578125" style="30" customWidth="1"/>
    <col min="13058" max="13058" width="58.85546875" style="30" customWidth="1"/>
    <col min="13059" max="13060" width="11.42578125" style="30"/>
    <col min="13061" max="13061" width="2.140625" style="30" customWidth="1"/>
    <col min="13062" max="13062" width="11.42578125" style="30"/>
    <col min="13063" max="13063" width="9.5703125" style="30" customWidth="1"/>
    <col min="13064" max="13309" width="11.42578125" style="30"/>
    <col min="13310" max="13310" width="0.140625" style="30" customWidth="1"/>
    <col min="13311" max="13311" width="2.5703125" style="30" customWidth="1"/>
    <col min="13312" max="13312" width="18.5703125" style="30" customWidth="1"/>
    <col min="13313" max="13313" width="1.42578125" style="30" customWidth="1"/>
    <col min="13314" max="13314" width="58.85546875" style="30" customWidth="1"/>
    <col min="13315" max="13316" width="11.42578125" style="30"/>
    <col min="13317" max="13317" width="2.140625" style="30" customWidth="1"/>
    <col min="13318" max="13318" width="11.42578125" style="30"/>
    <col min="13319" max="13319" width="9.5703125" style="30" customWidth="1"/>
    <col min="13320" max="13565" width="11.42578125" style="30"/>
    <col min="13566" max="13566" width="0.140625" style="30" customWidth="1"/>
    <col min="13567" max="13567" width="2.5703125" style="30" customWidth="1"/>
    <col min="13568" max="13568" width="18.5703125" style="30" customWidth="1"/>
    <col min="13569" max="13569" width="1.42578125" style="30" customWidth="1"/>
    <col min="13570" max="13570" width="58.85546875" style="30" customWidth="1"/>
    <col min="13571" max="13572" width="11.42578125" style="30"/>
    <col min="13573" max="13573" width="2.140625" style="30" customWidth="1"/>
    <col min="13574" max="13574" width="11.42578125" style="30"/>
    <col min="13575" max="13575" width="9.5703125" style="30" customWidth="1"/>
    <col min="13576" max="13821" width="11.42578125" style="30"/>
    <col min="13822" max="13822" width="0.140625" style="30" customWidth="1"/>
    <col min="13823" max="13823" width="2.5703125" style="30" customWidth="1"/>
    <col min="13824" max="13824" width="18.5703125" style="30" customWidth="1"/>
    <col min="13825" max="13825" width="1.42578125" style="30" customWidth="1"/>
    <col min="13826" max="13826" width="58.85546875" style="30" customWidth="1"/>
    <col min="13827" max="13828" width="11.42578125" style="30"/>
    <col min="13829" max="13829" width="2.140625" style="30" customWidth="1"/>
    <col min="13830" max="13830" width="11.42578125" style="30"/>
    <col min="13831" max="13831" width="9.5703125" style="30" customWidth="1"/>
    <col min="13832" max="14077" width="11.42578125" style="30"/>
    <col min="14078" max="14078" width="0.140625" style="30" customWidth="1"/>
    <col min="14079" max="14079" width="2.5703125" style="30" customWidth="1"/>
    <col min="14080" max="14080" width="18.5703125" style="30" customWidth="1"/>
    <col min="14081" max="14081" width="1.42578125" style="30" customWidth="1"/>
    <col min="14082" max="14082" width="58.85546875" style="30" customWidth="1"/>
    <col min="14083" max="14084" width="11.42578125" style="30"/>
    <col min="14085" max="14085" width="2.140625" style="30" customWidth="1"/>
    <col min="14086" max="14086" width="11.42578125" style="30"/>
    <col min="14087" max="14087" width="9.5703125" style="30" customWidth="1"/>
    <col min="14088" max="14333" width="11.42578125" style="30"/>
    <col min="14334" max="14334" width="0.140625" style="30" customWidth="1"/>
    <col min="14335" max="14335" width="2.5703125" style="30" customWidth="1"/>
    <col min="14336" max="14336" width="18.5703125" style="30" customWidth="1"/>
    <col min="14337" max="14337" width="1.42578125" style="30" customWidth="1"/>
    <col min="14338" max="14338" width="58.85546875" style="30" customWidth="1"/>
    <col min="14339" max="14340" width="11.42578125" style="30"/>
    <col min="14341" max="14341" width="2.140625" style="30" customWidth="1"/>
    <col min="14342" max="14342" width="11.42578125" style="30"/>
    <col min="14343" max="14343" width="9.5703125" style="30" customWidth="1"/>
    <col min="14344" max="14589" width="11.42578125" style="30"/>
    <col min="14590" max="14590" width="0.140625" style="30" customWidth="1"/>
    <col min="14591" max="14591" width="2.5703125" style="30" customWidth="1"/>
    <col min="14592" max="14592" width="18.5703125" style="30" customWidth="1"/>
    <col min="14593" max="14593" width="1.42578125" style="30" customWidth="1"/>
    <col min="14594" max="14594" width="58.85546875" style="30" customWidth="1"/>
    <col min="14595" max="14596" width="11.42578125" style="30"/>
    <col min="14597" max="14597" width="2.140625" style="30" customWidth="1"/>
    <col min="14598" max="14598" width="11.42578125" style="30"/>
    <col min="14599" max="14599" width="9.5703125" style="30" customWidth="1"/>
    <col min="14600" max="14845" width="11.42578125" style="30"/>
    <col min="14846" max="14846" width="0.140625" style="30" customWidth="1"/>
    <col min="14847" max="14847" width="2.5703125" style="30" customWidth="1"/>
    <col min="14848" max="14848" width="18.5703125" style="30" customWidth="1"/>
    <col min="14849" max="14849" width="1.42578125" style="30" customWidth="1"/>
    <col min="14850" max="14850" width="58.85546875" style="30" customWidth="1"/>
    <col min="14851" max="14852" width="11.42578125" style="30"/>
    <col min="14853" max="14853" width="2.140625" style="30" customWidth="1"/>
    <col min="14854" max="14854" width="11.42578125" style="30"/>
    <col min="14855" max="14855" width="9.5703125" style="30" customWidth="1"/>
    <col min="14856" max="15101" width="11.42578125" style="30"/>
    <col min="15102" max="15102" width="0.140625" style="30" customWidth="1"/>
    <col min="15103" max="15103" width="2.5703125" style="30" customWidth="1"/>
    <col min="15104" max="15104" width="18.5703125" style="30" customWidth="1"/>
    <col min="15105" max="15105" width="1.42578125" style="30" customWidth="1"/>
    <col min="15106" max="15106" width="58.85546875" style="30" customWidth="1"/>
    <col min="15107" max="15108" width="11.42578125" style="30"/>
    <col min="15109" max="15109" width="2.140625" style="30" customWidth="1"/>
    <col min="15110" max="15110" width="11.42578125" style="30"/>
    <col min="15111" max="15111" width="9.5703125" style="30" customWidth="1"/>
    <col min="15112" max="15357" width="11.42578125" style="30"/>
    <col min="15358" max="15358" width="0.140625" style="30" customWidth="1"/>
    <col min="15359" max="15359" width="2.5703125" style="30" customWidth="1"/>
    <col min="15360" max="15360" width="18.5703125" style="30" customWidth="1"/>
    <col min="15361" max="15361" width="1.42578125" style="30" customWidth="1"/>
    <col min="15362" max="15362" width="58.85546875" style="30" customWidth="1"/>
    <col min="15363" max="15364" width="11.42578125" style="30"/>
    <col min="15365" max="15365" width="2.140625" style="30" customWidth="1"/>
    <col min="15366" max="15366" width="11.42578125" style="30"/>
    <col min="15367" max="15367" width="9.5703125" style="30" customWidth="1"/>
    <col min="15368" max="15613" width="11.42578125" style="30"/>
    <col min="15614" max="15614" width="0.140625" style="30" customWidth="1"/>
    <col min="15615" max="15615" width="2.5703125" style="30" customWidth="1"/>
    <col min="15616" max="15616" width="18.5703125" style="30" customWidth="1"/>
    <col min="15617" max="15617" width="1.42578125" style="30" customWidth="1"/>
    <col min="15618" max="15618" width="58.85546875" style="30" customWidth="1"/>
    <col min="15619" max="15620" width="11.42578125" style="30"/>
    <col min="15621" max="15621" width="2.140625" style="30" customWidth="1"/>
    <col min="15622" max="15622" width="11.42578125" style="30"/>
    <col min="15623" max="15623" width="9.5703125" style="30" customWidth="1"/>
    <col min="15624" max="15869" width="11.42578125" style="30"/>
    <col min="15870" max="15870" width="0.140625" style="30" customWidth="1"/>
    <col min="15871" max="15871" width="2.5703125" style="30" customWidth="1"/>
    <col min="15872" max="15872" width="18.5703125" style="30" customWidth="1"/>
    <col min="15873" max="15873" width="1.42578125" style="30" customWidth="1"/>
    <col min="15874" max="15874" width="58.85546875" style="30" customWidth="1"/>
    <col min="15875" max="15876" width="11.42578125" style="30"/>
    <col min="15877" max="15877" width="2.140625" style="30" customWidth="1"/>
    <col min="15878" max="15878" width="11.42578125" style="30"/>
    <col min="15879" max="15879" width="9.5703125" style="30" customWidth="1"/>
    <col min="15880" max="16125" width="11.42578125" style="30"/>
    <col min="16126" max="16126" width="0.140625" style="30" customWidth="1"/>
    <col min="16127" max="16127" width="2.5703125" style="30" customWidth="1"/>
    <col min="16128" max="16128" width="18.5703125" style="30" customWidth="1"/>
    <col min="16129" max="16129" width="1.42578125" style="30" customWidth="1"/>
    <col min="16130" max="16130" width="58.85546875" style="30" customWidth="1"/>
    <col min="16131" max="16132" width="11.42578125" style="30"/>
    <col min="16133" max="16133" width="2.140625" style="30" customWidth="1"/>
    <col min="16134" max="16134" width="11.42578125" style="30"/>
    <col min="16135" max="16135" width="9.5703125" style="30" customWidth="1"/>
    <col min="16136" max="16384" width="11.42578125" style="30"/>
  </cols>
  <sheetData>
    <row r="1" spans="2:12" s="31" customFormat="1" ht="0.75" customHeight="1"/>
    <row r="2" spans="2:12" s="31" customFormat="1" ht="21" customHeight="1">
      <c r="E2" s="29" t="s">
        <v>19</v>
      </c>
    </row>
    <row r="3" spans="2:12" s="31" customFormat="1" ht="15" customHeight="1">
      <c r="E3" s="46" t="str">
        <f>Indice!E3</f>
        <v>Mayo 2023</v>
      </c>
    </row>
    <row r="4" spans="2:12" s="33" customFormat="1" ht="20.25" customHeight="1">
      <c r="B4" s="41"/>
      <c r="C4" s="27" t="s">
        <v>46</v>
      </c>
    </row>
    <row r="5" spans="2:12" s="33" customFormat="1" ht="12.75" customHeight="1">
      <c r="B5" s="41"/>
      <c r="C5" s="45"/>
    </row>
    <row r="6" spans="2:12" s="33" customFormat="1" ht="13.5" customHeight="1">
      <c r="B6" s="41"/>
      <c r="C6" s="40"/>
      <c r="D6" s="39"/>
      <c r="E6" s="39"/>
    </row>
    <row r="7" spans="2:12" s="33" customFormat="1" ht="12.75" customHeight="1">
      <c r="B7" s="41"/>
      <c r="C7" s="196" t="s">
        <v>35</v>
      </c>
      <c r="D7" s="39"/>
      <c r="E7" s="43"/>
    </row>
    <row r="8" spans="2:12" s="33" customFormat="1" ht="12.75" customHeight="1">
      <c r="B8" s="41"/>
      <c r="C8" s="196"/>
      <c r="D8" s="39"/>
      <c r="E8" s="43"/>
      <c r="F8" s="47"/>
      <c r="J8" s="32"/>
      <c r="K8" s="32"/>
      <c r="L8" s="32"/>
    </row>
    <row r="9" spans="2:12" s="33" customFormat="1" ht="12.75" customHeight="1">
      <c r="B9" s="41"/>
      <c r="C9" s="44"/>
      <c r="D9" s="39"/>
      <c r="E9" s="43"/>
      <c r="F9" s="47"/>
      <c r="J9" s="32"/>
      <c r="K9" s="81"/>
      <c r="L9" s="82"/>
    </row>
    <row r="10" spans="2:12" s="33" customFormat="1" ht="12.75" customHeight="1">
      <c r="B10" s="41"/>
      <c r="C10" s="34"/>
      <c r="D10" s="39"/>
      <c r="E10" s="43"/>
      <c r="F10" s="47"/>
      <c r="J10" s="32"/>
      <c r="K10" s="83"/>
      <c r="L10" s="80"/>
    </row>
    <row r="11" spans="2:12" s="33" customFormat="1" ht="12.75" customHeight="1">
      <c r="B11" s="41"/>
      <c r="D11" s="39"/>
      <c r="E11" s="39"/>
      <c r="F11" s="47"/>
      <c r="J11" s="32"/>
      <c r="K11" s="83"/>
      <c r="L11" s="80"/>
    </row>
    <row r="12" spans="2:12" s="33" customFormat="1" ht="12.75" customHeight="1">
      <c r="B12" s="41"/>
      <c r="C12" s="42"/>
      <c r="D12" s="39"/>
      <c r="E12" s="39"/>
      <c r="F12" s="47"/>
      <c r="J12" s="32"/>
    </row>
    <row r="13" spans="2:12" s="33" customFormat="1" ht="12.75" customHeight="1">
      <c r="B13" s="41"/>
      <c r="C13" s="42"/>
      <c r="D13" s="39"/>
      <c r="E13" s="39"/>
      <c r="J13" s="32"/>
      <c r="K13" s="32"/>
      <c r="L13" s="32"/>
    </row>
    <row r="14" spans="2:12" s="33" customFormat="1" ht="12.75" customHeight="1">
      <c r="B14" s="41"/>
      <c r="C14" s="42"/>
      <c r="D14" s="39"/>
      <c r="E14" s="39"/>
      <c r="F14" s="148"/>
    </row>
    <row r="15" spans="2:12" s="33" customFormat="1" ht="12.75" customHeight="1">
      <c r="B15" s="41"/>
      <c r="C15" s="42"/>
      <c r="D15" s="39"/>
      <c r="E15" s="39"/>
      <c r="F15" s="47"/>
    </row>
    <row r="16" spans="2:12" s="33" customFormat="1" ht="12.75" customHeight="1">
      <c r="B16" s="41"/>
      <c r="D16" s="39"/>
      <c r="E16" s="39"/>
      <c r="F16" s="47"/>
      <c r="J16" s="32"/>
      <c r="K16" s="32"/>
      <c r="L16" s="32"/>
    </row>
    <row r="17" spans="2:12" s="33" customFormat="1" ht="12.75" customHeight="1">
      <c r="B17" s="41"/>
      <c r="D17" s="39"/>
      <c r="E17" s="39"/>
      <c r="F17" s="47"/>
      <c r="J17" s="32"/>
      <c r="K17" s="32"/>
      <c r="L17" s="32"/>
    </row>
    <row r="18" spans="2:12" s="33" customFormat="1" ht="12.75" customHeight="1">
      <c r="B18" s="41"/>
      <c r="D18" s="39"/>
      <c r="E18" s="39"/>
      <c r="F18" s="150"/>
      <c r="J18" s="32"/>
      <c r="K18" s="32"/>
      <c r="L18" s="32"/>
    </row>
    <row r="19" spans="2:12" s="33" customFormat="1" ht="12.75" customHeight="1">
      <c r="B19" s="41"/>
      <c r="C19" s="42"/>
      <c r="D19" s="39"/>
      <c r="E19" s="39"/>
      <c r="F19" s="47"/>
      <c r="J19" s="32"/>
      <c r="K19" s="32"/>
      <c r="L19" s="32"/>
    </row>
    <row r="20" spans="2:12" s="33" customFormat="1" ht="12.75" customHeight="1">
      <c r="B20" s="41"/>
      <c r="C20" s="40"/>
      <c r="D20" s="39"/>
      <c r="E20" s="39"/>
      <c r="F20" s="47"/>
      <c r="J20" s="32"/>
      <c r="K20" s="32"/>
    </row>
    <row r="21" spans="2:12" s="33" customFormat="1" ht="12.75" customHeight="1">
      <c r="B21" s="41"/>
      <c r="C21" s="40"/>
      <c r="D21" s="39"/>
      <c r="E21" s="39"/>
      <c r="F21" s="47"/>
      <c r="J21" s="32"/>
      <c r="K21" s="32"/>
    </row>
    <row r="22" spans="2:12" s="33" customFormat="1" ht="12.75" customHeight="1">
      <c r="B22" s="41"/>
      <c r="C22" s="40"/>
      <c r="D22" s="39"/>
      <c r="E22" s="39"/>
      <c r="J22" s="32"/>
      <c r="K22" s="32"/>
    </row>
    <row r="23" spans="2:12">
      <c r="E23" s="38"/>
      <c r="J23" s="33"/>
      <c r="K23" s="33"/>
    </row>
    <row r="24" spans="2:12" ht="12.75" customHeight="1">
      <c r="C24" s="196" t="s">
        <v>49</v>
      </c>
      <c r="E24" s="37"/>
      <c r="J24" s="33"/>
      <c r="K24" s="33"/>
    </row>
    <row r="25" spans="2:12">
      <c r="C25" s="196"/>
      <c r="E25" s="36"/>
      <c r="J25" s="32"/>
      <c r="K25" s="32"/>
    </row>
    <row r="26" spans="2:12" ht="12.75" customHeight="1">
      <c r="C26" s="35"/>
      <c r="J26" s="81"/>
      <c r="K26" s="82"/>
    </row>
    <row r="27" spans="2:12">
      <c r="C27" s="67"/>
      <c r="J27" s="83"/>
      <c r="K27" s="80"/>
    </row>
    <row r="28" spans="2:12">
      <c r="C28" s="67"/>
      <c r="F28" s="47"/>
      <c r="J28" s="83"/>
      <c r="K28" s="80"/>
    </row>
    <row r="29" spans="2:12">
      <c r="C29" s="34"/>
      <c r="F29" s="47"/>
      <c r="J29" s="33"/>
      <c r="K29" s="33"/>
    </row>
    <row r="30" spans="2:12">
      <c r="F30" s="47"/>
      <c r="J30" s="32"/>
      <c r="K30" s="32"/>
    </row>
    <row r="31" spans="2:12">
      <c r="F31" s="47"/>
      <c r="J31" s="33"/>
      <c r="K31" s="33"/>
    </row>
    <row r="32" spans="2:12">
      <c r="F32" s="47"/>
      <c r="J32" s="33"/>
      <c r="K32" s="33"/>
    </row>
    <row r="33" spans="6:11">
      <c r="F33" s="47"/>
      <c r="J33" s="32"/>
      <c r="K33" s="32"/>
    </row>
    <row r="34" spans="6:11">
      <c r="F34" s="47"/>
      <c r="J34" s="32"/>
      <c r="K34" s="32"/>
    </row>
    <row r="35" spans="6:11">
      <c r="F35" s="47"/>
      <c r="J35" s="32"/>
      <c r="K35" s="32"/>
    </row>
    <row r="36" spans="6:11">
      <c r="F36" s="47"/>
      <c r="J36" s="32"/>
      <c r="K36" s="32"/>
    </row>
    <row r="37" spans="6:11">
      <c r="F37" s="47"/>
    </row>
    <row r="38" spans="6:11">
      <c r="F38" s="47"/>
    </row>
    <row r="39" spans="6:11">
      <c r="F39" s="47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0" customWidth="1"/>
    <col min="2" max="2" width="2.5703125" style="50" customWidth="1"/>
    <col min="3" max="3" width="23.5703125" style="50" customWidth="1"/>
    <col min="4" max="4" width="1.42578125" style="50" customWidth="1"/>
    <col min="5" max="5" width="105.5703125" style="50" customWidth="1"/>
    <col min="6" max="6" width="10.5703125" style="50" customWidth="1"/>
    <col min="7" max="7" width="21" style="50" bestFit="1" customWidth="1"/>
    <col min="8" max="244" width="11.42578125" style="50"/>
    <col min="245" max="245" width="0.140625" style="50" customWidth="1"/>
    <col min="246" max="246" width="2.5703125" style="50" customWidth="1"/>
    <col min="247" max="247" width="18.5703125" style="50" customWidth="1"/>
    <col min="248" max="248" width="1.42578125" style="50" customWidth="1"/>
    <col min="249" max="249" width="30.5703125" style="50" customWidth="1"/>
    <col min="250" max="254" width="10.5703125" style="50" customWidth="1"/>
    <col min="255" max="500" width="11.42578125" style="50"/>
    <col min="501" max="501" width="0.140625" style="50" customWidth="1"/>
    <col min="502" max="502" width="2.5703125" style="50" customWidth="1"/>
    <col min="503" max="503" width="18.5703125" style="50" customWidth="1"/>
    <col min="504" max="504" width="1.42578125" style="50" customWidth="1"/>
    <col min="505" max="505" width="30.5703125" style="50" customWidth="1"/>
    <col min="506" max="510" width="10.5703125" style="50" customWidth="1"/>
    <col min="511" max="756" width="11.42578125" style="50"/>
    <col min="757" max="757" width="0.140625" style="50" customWidth="1"/>
    <col min="758" max="758" width="2.5703125" style="50" customWidth="1"/>
    <col min="759" max="759" width="18.5703125" style="50" customWidth="1"/>
    <col min="760" max="760" width="1.42578125" style="50" customWidth="1"/>
    <col min="761" max="761" width="30.5703125" style="50" customWidth="1"/>
    <col min="762" max="766" width="10.5703125" style="50" customWidth="1"/>
    <col min="767" max="1012" width="11.42578125" style="50"/>
    <col min="1013" max="1013" width="0.140625" style="50" customWidth="1"/>
    <col min="1014" max="1014" width="2.5703125" style="50" customWidth="1"/>
    <col min="1015" max="1015" width="18.5703125" style="50" customWidth="1"/>
    <col min="1016" max="1016" width="1.42578125" style="50" customWidth="1"/>
    <col min="1017" max="1017" width="30.5703125" style="50" customWidth="1"/>
    <col min="1018" max="1022" width="10.5703125" style="50" customWidth="1"/>
    <col min="1023" max="1268" width="11.42578125" style="50"/>
    <col min="1269" max="1269" width="0.140625" style="50" customWidth="1"/>
    <col min="1270" max="1270" width="2.5703125" style="50" customWidth="1"/>
    <col min="1271" max="1271" width="18.5703125" style="50" customWidth="1"/>
    <col min="1272" max="1272" width="1.42578125" style="50" customWidth="1"/>
    <col min="1273" max="1273" width="30.5703125" style="50" customWidth="1"/>
    <col min="1274" max="1278" width="10.5703125" style="50" customWidth="1"/>
    <col min="1279" max="1524" width="11.42578125" style="50"/>
    <col min="1525" max="1525" width="0.140625" style="50" customWidth="1"/>
    <col min="1526" max="1526" width="2.5703125" style="50" customWidth="1"/>
    <col min="1527" max="1527" width="18.5703125" style="50" customWidth="1"/>
    <col min="1528" max="1528" width="1.42578125" style="50" customWidth="1"/>
    <col min="1529" max="1529" width="30.5703125" style="50" customWidth="1"/>
    <col min="1530" max="1534" width="10.5703125" style="50" customWidth="1"/>
    <col min="1535" max="1780" width="11.42578125" style="50"/>
    <col min="1781" max="1781" width="0.140625" style="50" customWidth="1"/>
    <col min="1782" max="1782" width="2.5703125" style="50" customWidth="1"/>
    <col min="1783" max="1783" width="18.5703125" style="50" customWidth="1"/>
    <col min="1784" max="1784" width="1.42578125" style="50" customWidth="1"/>
    <col min="1785" max="1785" width="30.5703125" style="50" customWidth="1"/>
    <col min="1786" max="1790" width="10.5703125" style="50" customWidth="1"/>
    <col min="1791" max="2036" width="11.42578125" style="50"/>
    <col min="2037" max="2037" width="0.140625" style="50" customWidth="1"/>
    <col min="2038" max="2038" width="2.5703125" style="50" customWidth="1"/>
    <col min="2039" max="2039" width="18.5703125" style="50" customWidth="1"/>
    <col min="2040" max="2040" width="1.42578125" style="50" customWidth="1"/>
    <col min="2041" max="2041" width="30.5703125" style="50" customWidth="1"/>
    <col min="2042" max="2046" width="10.5703125" style="50" customWidth="1"/>
    <col min="2047" max="2292" width="11.42578125" style="50"/>
    <col min="2293" max="2293" width="0.140625" style="50" customWidth="1"/>
    <col min="2294" max="2294" width="2.5703125" style="50" customWidth="1"/>
    <col min="2295" max="2295" width="18.5703125" style="50" customWidth="1"/>
    <col min="2296" max="2296" width="1.42578125" style="50" customWidth="1"/>
    <col min="2297" max="2297" width="30.5703125" style="50" customWidth="1"/>
    <col min="2298" max="2302" width="10.5703125" style="50" customWidth="1"/>
    <col min="2303" max="2548" width="11.42578125" style="50"/>
    <col min="2549" max="2549" width="0.140625" style="50" customWidth="1"/>
    <col min="2550" max="2550" width="2.5703125" style="50" customWidth="1"/>
    <col min="2551" max="2551" width="18.5703125" style="50" customWidth="1"/>
    <col min="2552" max="2552" width="1.42578125" style="50" customWidth="1"/>
    <col min="2553" max="2553" width="30.5703125" style="50" customWidth="1"/>
    <col min="2554" max="2558" width="10.5703125" style="50" customWidth="1"/>
    <col min="2559" max="2804" width="11.42578125" style="50"/>
    <col min="2805" max="2805" width="0.140625" style="50" customWidth="1"/>
    <col min="2806" max="2806" width="2.5703125" style="50" customWidth="1"/>
    <col min="2807" max="2807" width="18.5703125" style="50" customWidth="1"/>
    <col min="2808" max="2808" width="1.42578125" style="50" customWidth="1"/>
    <col min="2809" max="2809" width="30.5703125" style="50" customWidth="1"/>
    <col min="2810" max="2814" width="10.5703125" style="50" customWidth="1"/>
    <col min="2815" max="3060" width="11.42578125" style="50"/>
    <col min="3061" max="3061" width="0.140625" style="50" customWidth="1"/>
    <col min="3062" max="3062" width="2.5703125" style="50" customWidth="1"/>
    <col min="3063" max="3063" width="18.5703125" style="50" customWidth="1"/>
    <col min="3064" max="3064" width="1.42578125" style="50" customWidth="1"/>
    <col min="3065" max="3065" width="30.5703125" style="50" customWidth="1"/>
    <col min="3066" max="3070" width="10.5703125" style="50" customWidth="1"/>
    <col min="3071" max="3316" width="11.42578125" style="50"/>
    <col min="3317" max="3317" width="0.140625" style="50" customWidth="1"/>
    <col min="3318" max="3318" width="2.5703125" style="50" customWidth="1"/>
    <col min="3319" max="3319" width="18.5703125" style="50" customWidth="1"/>
    <col min="3320" max="3320" width="1.42578125" style="50" customWidth="1"/>
    <col min="3321" max="3321" width="30.5703125" style="50" customWidth="1"/>
    <col min="3322" max="3326" width="10.5703125" style="50" customWidth="1"/>
    <col min="3327" max="3572" width="11.42578125" style="50"/>
    <col min="3573" max="3573" width="0.140625" style="50" customWidth="1"/>
    <col min="3574" max="3574" width="2.5703125" style="50" customWidth="1"/>
    <col min="3575" max="3575" width="18.5703125" style="50" customWidth="1"/>
    <col min="3576" max="3576" width="1.42578125" style="50" customWidth="1"/>
    <col min="3577" max="3577" width="30.5703125" style="50" customWidth="1"/>
    <col min="3578" max="3582" width="10.5703125" style="50" customWidth="1"/>
    <col min="3583" max="3828" width="11.42578125" style="50"/>
    <col min="3829" max="3829" width="0.140625" style="50" customWidth="1"/>
    <col min="3830" max="3830" width="2.5703125" style="50" customWidth="1"/>
    <col min="3831" max="3831" width="18.5703125" style="50" customWidth="1"/>
    <col min="3832" max="3832" width="1.42578125" style="50" customWidth="1"/>
    <col min="3833" max="3833" width="30.5703125" style="50" customWidth="1"/>
    <col min="3834" max="3838" width="10.5703125" style="50" customWidth="1"/>
    <col min="3839" max="4084" width="11.42578125" style="50"/>
    <col min="4085" max="4085" width="0.140625" style="50" customWidth="1"/>
    <col min="4086" max="4086" width="2.5703125" style="50" customWidth="1"/>
    <col min="4087" max="4087" width="18.5703125" style="50" customWidth="1"/>
    <col min="4088" max="4088" width="1.42578125" style="50" customWidth="1"/>
    <col min="4089" max="4089" width="30.5703125" style="50" customWidth="1"/>
    <col min="4090" max="4094" width="10.5703125" style="50" customWidth="1"/>
    <col min="4095" max="4340" width="11.42578125" style="50"/>
    <col min="4341" max="4341" width="0.140625" style="50" customWidth="1"/>
    <col min="4342" max="4342" width="2.5703125" style="50" customWidth="1"/>
    <col min="4343" max="4343" width="18.5703125" style="50" customWidth="1"/>
    <col min="4344" max="4344" width="1.42578125" style="50" customWidth="1"/>
    <col min="4345" max="4345" width="30.5703125" style="50" customWidth="1"/>
    <col min="4346" max="4350" width="10.5703125" style="50" customWidth="1"/>
    <col min="4351" max="4596" width="11.42578125" style="50"/>
    <col min="4597" max="4597" width="0.140625" style="50" customWidth="1"/>
    <col min="4598" max="4598" width="2.5703125" style="50" customWidth="1"/>
    <col min="4599" max="4599" width="18.5703125" style="50" customWidth="1"/>
    <col min="4600" max="4600" width="1.42578125" style="50" customWidth="1"/>
    <col min="4601" max="4601" width="30.5703125" style="50" customWidth="1"/>
    <col min="4602" max="4606" width="10.5703125" style="50" customWidth="1"/>
    <col min="4607" max="4852" width="11.42578125" style="50"/>
    <col min="4853" max="4853" width="0.140625" style="50" customWidth="1"/>
    <col min="4854" max="4854" width="2.5703125" style="50" customWidth="1"/>
    <col min="4855" max="4855" width="18.5703125" style="50" customWidth="1"/>
    <col min="4856" max="4856" width="1.42578125" style="50" customWidth="1"/>
    <col min="4857" max="4857" width="30.5703125" style="50" customWidth="1"/>
    <col min="4858" max="4862" width="10.5703125" style="50" customWidth="1"/>
    <col min="4863" max="5108" width="11.42578125" style="50"/>
    <col min="5109" max="5109" width="0.140625" style="50" customWidth="1"/>
    <col min="5110" max="5110" width="2.5703125" style="50" customWidth="1"/>
    <col min="5111" max="5111" width="18.5703125" style="50" customWidth="1"/>
    <col min="5112" max="5112" width="1.42578125" style="50" customWidth="1"/>
    <col min="5113" max="5113" width="30.5703125" style="50" customWidth="1"/>
    <col min="5114" max="5118" width="10.5703125" style="50" customWidth="1"/>
    <col min="5119" max="5364" width="11.42578125" style="50"/>
    <col min="5365" max="5365" width="0.140625" style="50" customWidth="1"/>
    <col min="5366" max="5366" width="2.5703125" style="50" customWidth="1"/>
    <col min="5367" max="5367" width="18.5703125" style="50" customWidth="1"/>
    <col min="5368" max="5368" width="1.42578125" style="50" customWidth="1"/>
    <col min="5369" max="5369" width="30.5703125" style="50" customWidth="1"/>
    <col min="5370" max="5374" width="10.5703125" style="50" customWidth="1"/>
    <col min="5375" max="5620" width="11.42578125" style="50"/>
    <col min="5621" max="5621" width="0.140625" style="50" customWidth="1"/>
    <col min="5622" max="5622" width="2.5703125" style="50" customWidth="1"/>
    <col min="5623" max="5623" width="18.5703125" style="50" customWidth="1"/>
    <col min="5624" max="5624" width="1.42578125" style="50" customWidth="1"/>
    <col min="5625" max="5625" width="30.5703125" style="50" customWidth="1"/>
    <col min="5626" max="5630" width="10.5703125" style="50" customWidth="1"/>
    <col min="5631" max="5876" width="11.42578125" style="50"/>
    <col min="5877" max="5877" width="0.140625" style="50" customWidth="1"/>
    <col min="5878" max="5878" width="2.5703125" style="50" customWidth="1"/>
    <col min="5879" max="5879" width="18.5703125" style="50" customWidth="1"/>
    <col min="5880" max="5880" width="1.42578125" style="50" customWidth="1"/>
    <col min="5881" max="5881" width="30.5703125" style="50" customWidth="1"/>
    <col min="5882" max="5886" width="10.5703125" style="50" customWidth="1"/>
    <col min="5887" max="6132" width="11.42578125" style="50"/>
    <col min="6133" max="6133" width="0.140625" style="50" customWidth="1"/>
    <col min="6134" max="6134" width="2.5703125" style="50" customWidth="1"/>
    <col min="6135" max="6135" width="18.5703125" style="50" customWidth="1"/>
    <col min="6136" max="6136" width="1.42578125" style="50" customWidth="1"/>
    <col min="6137" max="6137" width="30.5703125" style="50" customWidth="1"/>
    <col min="6138" max="6142" width="10.5703125" style="50" customWidth="1"/>
    <col min="6143" max="6388" width="11.42578125" style="50"/>
    <col min="6389" max="6389" width="0.140625" style="50" customWidth="1"/>
    <col min="6390" max="6390" width="2.5703125" style="50" customWidth="1"/>
    <col min="6391" max="6391" width="18.5703125" style="50" customWidth="1"/>
    <col min="6392" max="6392" width="1.42578125" style="50" customWidth="1"/>
    <col min="6393" max="6393" width="30.5703125" style="50" customWidth="1"/>
    <col min="6394" max="6398" width="10.5703125" style="50" customWidth="1"/>
    <col min="6399" max="6644" width="11.42578125" style="50"/>
    <col min="6645" max="6645" width="0.140625" style="50" customWidth="1"/>
    <col min="6646" max="6646" width="2.5703125" style="50" customWidth="1"/>
    <col min="6647" max="6647" width="18.5703125" style="50" customWidth="1"/>
    <col min="6648" max="6648" width="1.42578125" style="50" customWidth="1"/>
    <col min="6649" max="6649" width="30.5703125" style="50" customWidth="1"/>
    <col min="6650" max="6654" width="10.5703125" style="50" customWidth="1"/>
    <col min="6655" max="6900" width="11.42578125" style="50"/>
    <col min="6901" max="6901" width="0.140625" style="50" customWidth="1"/>
    <col min="6902" max="6902" width="2.5703125" style="50" customWidth="1"/>
    <col min="6903" max="6903" width="18.5703125" style="50" customWidth="1"/>
    <col min="6904" max="6904" width="1.42578125" style="50" customWidth="1"/>
    <col min="6905" max="6905" width="30.5703125" style="50" customWidth="1"/>
    <col min="6906" max="6910" width="10.5703125" style="50" customWidth="1"/>
    <col min="6911" max="7156" width="11.42578125" style="50"/>
    <col min="7157" max="7157" width="0.140625" style="50" customWidth="1"/>
    <col min="7158" max="7158" width="2.5703125" style="50" customWidth="1"/>
    <col min="7159" max="7159" width="18.5703125" style="50" customWidth="1"/>
    <col min="7160" max="7160" width="1.42578125" style="50" customWidth="1"/>
    <col min="7161" max="7161" width="30.5703125" style="50" customWidth="1"/>
    <col min="7162" max="7166" width="10.5703125" style="50" customWidth="1"/>
    <col min="7167" max="7412" width="11.42578125" style="50"/>
    <col min="7413" max="7413" width="0.140625" style="50" customWidth="1"/>
    <col min="7414" max="7414" width="2.5703125" style="50" customWidth="1"/>
    <col min="7415" max="7415" width="18.5703125" style="50" customWidth="1"/>
    <col min="7416" max="7416" width="1.42578125" style="50" customWidth="1"/>
    <col min="7417" max="7417" width="30.5703125" style="50" customWidth="1"/>
    <col min="7418" max="7422" width="10.5703125" style="50" customWidth="1"/>
    <col min="7423" max="7668" width="11.42578125" style="50"/>
    <col min="7669" max="7669" width="0.140625" style="50" customWidth="1"/>
    <col min="7670" max="7670" width="2.5703125" style="50" customWidth="1"/>
    <col min="7671" max="7671" width="18.5703125" style="50" customWidth="1"/>
    <col min="7672" max="7672" width="1.42578125" style="50" customWidth="1"/>
    <col min="7673" max="7673" width="30.5703125" style="50" customWidth="1"/>
    <col min="7674" max="7678" width="10.5703125" style="50" customWidth="1"/>
    <col min="7679" max="7924" width="11.42578125" style="50"/>
    <col min="7925" max="7925" width="0.140625" style="50" customWidth="1"/>
    <col min="7926" max="7926" width="2.5703125" style="50" customWidth="1"/>
    <col min="7927" max="7927" width="18.5703125" style="50" customWidth="1"/>
    <col min="7928" max="7928" width="1.42578125" style="50" customWidth="1"/>
    <col min="7929" max="7929" width="30.5703125" style="50" customWidth="1"/>
    <col min="7930" max="7934" width="10.5703125" style="50" customWidth="1"/>
    <col min="7935" max="8180" width="11.42578125" style="50"/>
    <col min="8181" max="8181" width="0.140625" style="50" customWidth="1"/>
    <col min="8182" max="8182" width="2.5703125" style="50" customWidth="1"/>
    <col min="8183" max="8183" width="18.5703125" style="50" customWidth="1"/>
    <col min="8184" max="8184" width="1.42578125" style="50" customWidth="1"/>
    <col min="8185" max="8185" width="30.5703125" style="50" customWidth="1"/>
    <col min="8186" max="8190" width="10.5703125" style="50" customWidth="1"/>
    <col min="8191" max="8436" width="11.42578125" style="50"/>
    <col min="8437" max="8437" width="0.140625" style="50" customWidth="1"/>
    <col min="8438" max="8438" width="2.5703125" style="50" customWidth="1"/>
    <col min="8439" max="8439" width="18.5703125" style="50" customWidth="1"/>
    <col min="8440" max="8440" width="1.42578125" style="50" customWidth="1"/>
    <col min="8441" max="8441" width="30.5703125" style="50" customWidth="1"/>
    <col min="8442" max="8446" width="10.5703125" style="50" customWidth="1"/>
    <col min="8447" max="8692" width="11.42578125" style="50"/>
    <col min="8693" max="8693" width="0.140625" style="50" customWidth="1"/>
    <col min="8694" max="8694" width="2.5703125" style="50" customWidth="1"/>
    <col min="8695" max="8695" width="18.5703125" style="50" customWidth="1"/>
    <col min="8696" max="8696" width="1.42578125" style="50" customWidth="1"/>
    <col min="8697" max="8697" width="30.5703125" style="50" customWidth="1"/>
    <col min="8698" max="8702" width="10.5703125" style="50" customWidth="1"/>
    <col min="8703" max="8948" width="11.42578125" style="50"/>
    <col min="8949" max="8949" width="0.140625" style="50" customWidth="1"/>
    <col min="8950" max="8950" width="2.5703125" style="50" customWidth="1"/>
    <col min="8951" max="8951" width="18.5703125" style="50" customWidth="1"/>
    <col min="8952" max="8952" width="1.42578125" style="50" customWidth="1"/>
    <col min="8953" max="8953" width="30.5703125" style="50" customWidth="1"/>
    <col min="8954" max="8958" width="10.5703125" style="50" customWidth="1"/>
    <col min="8959" max="9204" width="11.42578125" style="50"/>
    <col min="9205" max="9205" width="0.140625" style="50" customWidth="1"/>
    <col min="9206" max="9206" width="2.5703125" style="50" customWidth="1"/>
    <col min="9207" max="9207" width="18.5703125" style="50" customWidth="1"/>
    <col min="9208" max="9208" width="1.42578125" style="50" customWidth="1"/>
    <col min="9209" max="9209" width="30.5703125" style="50" customWidth="1"/>
    <col min="9210" max="9214" width="10.5703125" style="50" customWidth="1"/>
    <col min="9215" max="9460" width="11.42578125" style="50"/>
    <col min="9461" max="9461" width="0.140625" style="50" customWidth="1"/>
    <col min="9462" max="9462" width="2.5703125" style="50" customWidth="1"/>
    <col min="9463" max="9463" width="18.5703125" style="50" customWidth="1"/>
    <col min="9464" max="9464" width="1.42578125" style="50" customWidth="1"/>
    <col min="9465" max="9465" width="30.5703125" style="50" customWidth="1"/>
    <col min="9466" max="9470" width="10.5703125" style="50" customWidth="1"/>
    <col min="9471" max="9716" width="11.42578125" style="50"/>
    <col min="9717" max="9717" width="0.140625" style="50" customWidth="1"/>
    <col min="9718" max="9718" width="2.5703125" style="50" customWidth="1"/>
    <col min="9719" max="9719" width="18.5703125" style="50" customWidth="1"/>
    <col min="9720" max="9720" width="1.42578125" style="50" customWidth="1"/>
    <col min="9721" max="9721" width="30.5703125" style="50" customWidth="1"/>
    <col min="9722" max="9726" width="10.5703125" style="50" customWidth="1"/>
    <col min="9727" max="9972" width="11.42578125" style="50"/>
    <col min="9973" max="9973" width="0.140625" style="50" customWidth="1"/>
    <col min="9974" max="9974" width="2.5703125" style="50" customWidth="1"/>
    <col min="9975" max="9975" width="18.5703125" style="50" customWidth="1"/>
    <col min="9976" max="9976" width="1.42578125" style="50" customWidth="1"/>
    <col min="9977" max="9977" width="30.5703125" style="50" customWidth="1"/>
    <col min="9978" max="9982" width="10.5703125" style="50" customWidth="1"/>
    <col min="9983" max="10228" width="11.42578125" style="50"/>
    <col min="10229" max="10229" width="0.140625" style="50" customWidth="1"/>
    <col min="10230" max="10230" width="2.5703125" style="50" customWidth="1"/>
    <col min="10231" max="10231" width="18.5703125" style="50" customWidth="1"/>
    <col min="10232" max="10232" width="1.42578125" style="50" customWidth="1"/>
    <col min="10233" max="10233" width="30.5703125" style="50" customWidth="1"/>
    <col min="10234" max="10238" width="10.5703125" style="50" customWidth="1"/>
    <col min="10239" max="10484" width="11.42578125" style="50"/>
    <col min="10485" max="10485" width="0.140625" style="50" customWidth="1"/>
    <col min="10486" max="10486" width="2.5703125" style="50" customWidth="1"/>
    <col min="10487" max="10487" width="18.5703125" style="50" customWidth="1"/>
    <col min="10488" max="10488" width="1.42578125" style="50" customWidth="1"/>
    <col min="10489" max="10489" width="30.5703125" style="50" customWidth="1"/>
    <col min="10490" max="10494" width="10.5703125" style="50" customWidth="1"/>
    <col min="10495" max="10740" width="11.42578125" style="50"/>
    <col min="10741" max="10741" width="0.140625" style="50" customWidth="1"/>
    <col min="10742" max="10742" width="2.5703125" style="50" customWidth="1"/>
    <col min="10743" max="10743" width="18.5703125" style="50" customWidth="1"/>
    <col min="10744" max="10744" width="1.42578125" style="50" customWidth="1"/>
    <col min="10745" max="10745" width="30.5703125" style="50" customWidth="1"/>
    <col min="10746" max="10750" width="10.5703125" style="50" customWidth="1"/>
    <col min="10751" max="10996" width="11.42578125" style="50"/>
    <col min="10997" max="10997" width="0.140625" style="50" customWidth="1"/>
    <col min="10998" max="10998" width="2.5703125" style="50" customWidth="1"/>
    <col min="10999" max="10999" width="18.5703125" style="50" customWidth="1"/>
    <col min="11000" max="11000" width="1.42578125" style="50" customWidth="1"/>
    <col min="11001" max="11001" width="30.5703125" style="50" customWidth="1"/>
    <col min="11002" max="11006" width="10.5703125" style="50" customWidth="1"/>
    <col min="11007" max="11252" width="11.42578125" style="50"/>
    <col min="11253" max="11253" width="0.140625" style="50" customWidth="1"/>
    <col min="11254" max="11254" width="2.5703125" style="50" customWidth="1"/>
    <col min="11255" max="11255" width="18.5703125" style="50" customWidth="1"/>
    <col min="11256" max="11256" width="1.42578125" style="50" customWidth="1"/>
    <col min="11257" max="11257" width="30.5703125" style="50" customWidth="1"/>
    <col min="11258" max="11262" width="10.5703125" style="50" customWidth="1"/>
    <col min="11263" max="11508" width="11.42578125" style="50"/>
    <col min="11509" max="11509" width="0.140625" style="50" customWidth="1"/>
    <col min="11510" max="11510" width="2.5703125" style="50" customWidth="1"/>
    <col min="11511" max="11511" width="18.5703125" style="50" customWidth="1"/>
    <col min="11512" max="11512" width="1.42578125" style="50" customWidth="1"/>
    <col min="11513" max="11513" width="30.5703125" style="50" customWidth="1"/>
    <col min="11514" max="11518" width="10.5703125" style="50" customWidth="1"/>
    <col min="11519" max="11764" width="11.42578125" style="50"/>
    <col min="11765" max="11765" width="0.140625" style="50" customWidth="1"/>
    <col min="11766" max="11766" width="2.5703125" style="50" customWidth="1"/>
    <col min="11767" max="11767" width="18.5703125" style="50" customWidth="1"/>
    <col min="11768" max="11768" width="1.42578125" style="50" customWidth="1"/>
    <col min="11769" max="11769" width="30.5703125" style="50" customWidth="1"/>
    <col min="11770" max="11774" width="10.5703125" style="50" customWidth="1"/>
    <col min="11775" max="12020" width="11.42578125" style="50"/>
    <col min="12021" max="12021" width="0.140625" style="50" customWidth="1"/>
    <col min="12022" max="12022" width="2.5703125" style="50" customWidth="1"/>
    <col min="12023" max="12023" width="18.5703125" style="50" customWidth="1"/>
    <col min="12024" max="12024" width="1.42578125" style="50" customWidth="1"/>
    <col min="12025" max="12025" width="30.5703125" style="50" customWidth="1"/>
    <col min="12026" max="12030" width="10.5703125" style="50" customWidth="1"/>
    <col min="12031" max="12276" width="11.42578125" style="50"/>
    <col min="12277" max="12277" width="0.140625" style="50" customWidth="1"/>
    <col min="12278" max="12278" width="2.5703125" style="50" customWidth="1"/>
    <col min="12279" max="12279" width="18.5703125" style="50" customWidth="1"/>
    <col min="12280" max="12280" width="1.42578125" style="50" customWidth="1"/>
    <col min="12281" max="12281" width="30.5703125" style="50" customWidth="1"/>
    <col min="12282" max="12286" width="10.5703125" style="50" customWidth="1"/>
    <col min="12287" max="12532" width="11.42578125" style="50"/>
    <col min="12533" max="12533" width="0.140625" style="50" customWidth="1"/>
    <col min="12534" max="12534" width="2.5703125" style="50" customWidth="1"/>
    <col min="12535" max="12535" width="18.5703125" style="50" customWidth="1"/>
    <col min="12536" max="12536" width="1.42578125" style="50" customWidth="1"/>
    <col min="12537" max="12537" width="30.5703125" style="50" customWidth="1"/>
    <col min="12538" max="12542" width="10.5703125" style="50" customWidth="1"/>
    <col min="12543" max="12788" width="11.42578125" style="50"/>
    <col min="12789" max="12789" width="0.140625" style="50" customWidth="1"/>
    <col min="12790" max="12790" width="2.5703125" style="50" customWidth="1"/>
    <col min="12791" max="12791" width="18.5703125" style="50" customWidth="1"/>
    <col min="12792" max="12792" width="1.42578125" style="50" customWidth="1"/>
    <col min="12793" max="12793" width="30.5703125" style="50" customWidth="1"/>
    <col min="12794" max="12798" width="10.5703125" style="50" customWidth="1"/>
    <col min="12799" max="13044" width="11.42578125" style="50"/>
    <col min="13045" max="13045" width="0.140625" style="50" customWidth="1"/>
    <col min="13046" max="13046" width="2.5703125" style="50" customWidth="1"/>
    <col min="13047" max="13047" width="18.5703125" style="50" customWidth="1"/>
    <col min="13048" max="13048" width="1.42578125" style="50" customWidth="1"/>
    <col min="13049" max="13049" width="30.5703125" style="50" customWidth="1"/>
    <col min="13050" max="13054" width="10.5703125" style="50" customWidth="1"/>
    <col min="13055" max="13300" width="11.42578125" style="50"/>
    <col min="13301" max="13301" width="0.140625" style="50" customWidth="1"/>
    <col min="13302" max="13302" width="2.5703125" style="50" customWidth="1"/>
    <col min="13303" max="13303" width="18.5703125" style="50" customWidth="1"/>
    <col min="13304" max="13304" width="1.42578125" style="50" customWidth="1"/>
    <col min="13305" max="13305" width="30.5703125" style="50" customWidth="1"/>
    <col min="13306" max="13310" width="10.5703125" style="50" customWidth="1"/>
    <col min="13311" max="13556" width="11.42578125" style="50"/>
    <col min="13557" max="13557" width="0.140625" style="50" customWidth="1"/>
    <col min="13558" max="13558" width="2.5703125" style="50" customWidth="1"/>
    <col min="13559" max="13559" width="18.5703125" style="50" customWidth="1"/>
    <col min="13560" max="13560" width="1.42578125" style="50" customWidth="1"/>
    <col min="13561" max="13561" width="30.5703125" style="50" customWidth="1"/>
    <col min="13562" max="13566" width="10.5703125" style="50" customWidth="1"/>
    <col min="13567" max="13812" width="11.42578125" style="50"/>
    <col min="13813" max="13813" width="0.140625" style="50" customWidth="1"/>
    <col min="13814" max="13814" width="2.5703125" style="50" customWidth="1"/>
    <col min="13815" max="13815" width="18.5703125" style="50" customWidth="1"/>
    <col min="13816" max="13816" width="1.42578125" style="50" customWidth="1"/>
    <col min="13817" max="13817" width="30.5703125" style="50" customWidth="1"/>
    <col min="13818" max="13822" width="10.5703125" style="50" customWidth="1"/>
    <col min="13823" max="14068" width="11.42578125" style="50"/>
    <col min="14069" max="14069" width="0.140625" style="50" customWidth="1"/>
    <col min="14070" max="14070" width="2.5703125" style="50" customWidth="1"/>
    <col min="14071" max="14071" width="18.5703125" style="50" customWidth="1"/>
    <col min="14072" max="14072" width="1.42578125" style="50" customWidth="1"/>
    <col min="14073" max="14073" width="30.5703125" style="50" customWidth="1"/>
    <col min="14074" max="14078" width="10.5703125" style="50" customWidth="1"/>
    <col min="14079" max="14324" width="11.42578125" style="50"/>
    <col min="14325" max="14325" width="0.140625" style="50" customWidth="1"/>
    <col min="14326" max="14326" width="2.5703125" style="50" customWidth="1"/>
    <col min="14327" max="14327" width="18.5703125" style="50" customWidth="1"/>
    <col min="14328" max="14328" width="1.42578125" style="50" customWidth="1"/>
    <col min="14329" max="14329" width="30.5703125" style="50" customWidth="1"/>
    <col min="14330" max="14334" width="10.5703125" style="50" customWidth="1"/>
    <col min="14335" max="14580" width="11.42578125" style="50"/>
    <col min="14581" max="14581" width="0.140625" style="50" customWidth="1"/>
    <col min="14582" max="14582" width="2.5703125" style="50" customWidth="1"/>
    <col min="14583" max="14583" width="18.5703125" style="50" customWidth="1"/>
    <col min="14584" max="14584" width="1.42578125" style="50" customWidth="1"/>
    <col min="14585" max="14585" width="30.5703125" style="50" customWidth="1"/>
    <col min="14586" max="14590" width="10.5703125" style="50" customWidth="1"/>
    <col min="14591" max="14836" width="11.42578125" style="50"/>
    <col min="14837" max="14837" width="0.140625" style="50" customWidth="1"/>
    <col min="14838" max="14838" width="2.5703125" style="50" customWidth="1"/>
    <col min="14839" max="14839" width="18.5703125" style="50" customWidth="1"/>
    <col min="14840" max="14840" width="1.42578125" style="50" customWidth="1"/>
    <col min="14841" max="14841" width="30.5703125" style="50" customWidth="1"/>
    <col min="14842" max="14846" width="10.5703125" style="50" customWidth="1"/>
    <col min="14847" max="15092" width="11.42578125" style="50"/>
    <col min="15093" max="15093" width="0.140625" style="50" customWidth="1"/>
    <col min="15094" max="15094" width="2.5703125" style="50" customWidth="1"/>
    <col min="15095" max="15095" width="18.5703125" style="50" customWidth="1"/>
    <col min="15096" max="15096" width="1.42578125" style="50" customWidth="1"/>
    <col min="15097" max="15097" width="30.5703125" style="50" customWidth="1"/>
    <col min="15098" max="15102" width="10.5703125" style="50" customWidth="1"/>
    <col min="15103" max="15348" width="11.42578125" style="50"/>
    <col min="15349" max="15349" width="0.140625" style="50" customWidth="1"/>
    <col min="15350" max="15350" width="2.5703125" style="50" customWidth="1"/>
    <col min="15351" max="15351" width="18.5703125" style="50" customWidth="1"/>
    <col min="15352" max="15352" width="1.42578125" style="50" customWidth="1"/>
    <col min="15353" max="15353" width="30.5703125" style="50" customWidth="1"/>
    <col min="15354" max="15358" width="10.5703125" style="50" customWidth="1"/>
    <col min="15359" max="15604" width="11.42578125" style="50"/>
    <col min="15605" max="15605" width="0.140625" style="50" customWidth="1"/>
    <col min="15606" max="15606" width="2.5703125" style="50" customWidth="1"/>
    <col min="15607" max="15607" width="18.5703125" style="50" customWidth="1"/>
    <col min="15608" max="15608" width="1.42578125" style="50" customWidth="1"/>
    <col min="15609" max="15609" width="30.5703125" style="50" customWidth="1"/>
    <col min="15610" max="15614" width="10.5703125" style="50" customWidth="1"/>
    <col min="15615" max="15860" width="11.42578125" style="50"/>
    <col min="15861" max="15861" width="0.140625" style="50" customWidth="1"/>
    <col min="15862" max="15862" width="2.5703125" style="50" customWidth="1"/>
    <col min="15863" max="15863" width="18.5703125" style="50" customWidth="1"/>
    <col min="15864" max="15864" width="1.42578125" style="50" customWidth="1"/>
    <col min="15865" max="15865" width="30.5703125" style="50" customWidth="1"/>
    <col min="15866" max="15870" width="10.5703125" style="50" customWidth="1"/>
    <col min="15871" max="16116" width="11.42578125" style="50"/>
    <col min="16117" max="16117" width="0.140625" style="50" customWidth="1"/>
    <col min="16118" max="16118" width="2.5703125" style="50" customWidth="1"/>
    <col min="16119" max="16119" width="18.5703125" style="50" customWidth="1"/>
    <col min="16120" max="16120" width="1.42578125" style="50" customWidth="1"/>
    <col min="16121" max="16121" width="30.5703125" style="50" customWidth="1"/>
    <col min="16122" max="16126" width="10.5703125" style="50" customWidth="1"/>
    <col min="16127" max="16384" width="11.42578125" style="50"/>
  </cols>
  <sheetData>
    <row r="1" spans="1:20" ht="0.75" customHeight="1"/>
    <row r="2" spans="1:20" ht="21" customHeight="1">
      <c r="E2" s="29" t="s">
        <v>19</v>
      </c>
      <c r="F2" s="66"/>
      <c r="G2" s="66"/>
    </row>
    <row r="3" spans="1:20" ht="15" customHeight="1">
      <c r="E3" s="46" t="str">
        <f>Indice!E3</f>
        <v>Mayo 2023</v>
      </c>
      <c r="F3" s="65"/>
      <c r="G3" s="65"/>
    </row>
    <row r="4" spans="1:20" s="61" customFormat="1" ht="20.25" customHeight="1">
      <c r="B4" s="60"/>
      <c r="C4" s="27" t="s">
        <v>46</v>
      </c>
    </row>
    <row r="5" spans="1:20" s="61" customFormat="1" ht="12.75" customHeight="1">
      <c r="B5" s="60"/>
      <c r="C5" s="64"/>
    </row>
    <row r="6" spans="1:20" s="61" customFormat="1" ht="13.5" customHeight="1">
      <c r="B6" s="60"/>
      <c r="C6" s="59"/>
      <c r="D6" s="58"/>
      <c r="E6" s="58"/>
      <c r="G6" s="4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s="61" customFormat="1" ht="12.75" customHeight="1">
      <c r="B7" s="60"/>
      <c r="C7" s="197" t="s">
        <v>36</v>
      </c>
      <c r="D7" s="58"/>
      <c r="E7" s="62"/>
    </row>
    <row r="8" spans="1:20" ht="12.75" customHeight="1">
      <c r="A8" s="61"/>
      <c r="B8" s="60"/>
      <c r="C8" s="197"/>
      <c r="D8" s="58"/>
      <c r="E8" s="62"/>
      <c r="F8" s="57"/>
    </row>
    <row r="9" spans="1:20" ht="12.75" customHeight="1">
      <c r="A9" s="61"/>
      <c r="B9" s="60"/>
      <c r="C9" s="197"/>
      <c r="D9" s="58"/>
      <c r="E9" s="62"/>
      <c r="F9" s="57"/>
    </row>
    <row r="10" spans="1:20" ht="12.75" customHeight="1">
      <c r="A10" s="61"/>
      <c r="B10" s="60"/>
      <c r="C10" s="34"/>
      <c r="D10" s="58"/>
      <c r="E10" s="62"/>
      <c r="F10" s="57"/>
    </row>
    <row r="11" spans="1:20" ht="12.75" customHeight="1">
      <c r="A11" s="61"/>
      <c r="B11" s="60"/>
      <c r="D11" s="58"/>
      <c r="E11" s="58"/>
      <c r="F11" s="57"/>
    </row>
    <row r="12" spans="1:20" ht="12.75" customHeight="1">
      <c r="A12" s="61"/>
      <c r="B12" s="60"/>
      <c r="D12" s="58"/>
      <c r="E12" s="58"/>
      <c r="F12" s="57"/>
    </row>
    <row r="13" spans="1:20" ht="12.75" customHeight="1">
      <c r="A13" s="61"/>
      <c r="B13" s="60"/>
      <c r="C13" s="59"/>
      <c r="D13" s="58"/>
      <c r="E13" s="58"/>
      <c r="F13" s="57"/>
    </row>
    <row r="14" spans="1:20" ht="12.75" customHeight="1">
      <c r="A14" s="61"/>
      <c r="B14" s="60"/>
      <c r="C14" s="59"/>
      <c r="D14" s="58"/>
      <c r="E14" s="58"/>
      <c r="F14" s="57"/>
    </row>
    <row r="15" spans="1:20" ht="12.75" customHeight="1">
      <c r="A15" s="61"/>
      <c r="B15" s="60"/>
      <c r="C15" s="59"/>
      <c r="D15" s="58"/>
      <c r="E15" s="58"/>
      <c r="F15" s="57"/>
    </row>
    <row r="16" spans="1:20" ht="12.75" customHeight="1">
      <c r="A16" s="61"/>
      <c r="B16" s="60"/>
      <c r="C16" s="59"/>
      <c r="D16" s="58"/>
      <c r="E16" s="58"/>
      <c r="F16" s="57"/>
    </row>
    <row r="17" spans="1:7" ht="12.75" customHeight="1">
      <c r="A17" s="61"/>
      <c r="B17" s="60"/>
      <c r="C17" s="59"/>
      <c r="D17" s="58"/>
      <c r="E17" s="58"/>
      <c r="F17" s="57"/>
    </row>
    <row r="18" spans="1:7" ht="12.75" customHeight="1">
      <c r="A18" s="61"/>
      <c r="B18" s="60"/>
      <c r="C18" s="59"/>
      <c r="D18" s="58"/>
      <c r="E18" s="58"/>
      <c r="F18" s="149"/>
    </row>
    <row r="19" spans="1:7" ht="12.75" customHeight="1">
      <c r="A19" s="61"/>
      <c r="B19" s="60"/>
      <c r="C19" s="59"/>
      <c r="D19" s="58"/>
      <c r="E19" s="58"/>
      <c r="F19" s="57"/>
    </row>
    <row r="20" spans="1:7" ht="12.75" customHeight="1">
      <c r="A20" s="61"/>
      <c r="B20" s="60"/>
      <c r="C20" s="59"/>
      <c r="D20" s="58"/>
      <c r="E20" s="58"/>
      <c r="F20" s="57"/>
    </row>
    <row r="21" spans="1:7" ht="12.75" customHeight="1"/>
    <row r="22" spans="1:7" ht="12.75" customHeight="1"/>
    <row r="23" spans="1:7" ht="12.75" customHeight="1"/>
    <row r="24" spans="1:7" ht="12.75" customHeight="1">
      <c r="E24" s="54"/>
      <c r="F24" s="54"/>
      <c r="G24" s="54"/>
    </row>
    <row r="25" spans="1:7" ht="12.75" customHeight="1">
      <c r="E25" s="51" t="s">
        <v>89</v>
      </c>
      <c r="F25" s="56"/>
      <c r="G25" s="56"/>
    </row>
    <row r="26" spans="1:7" ht="12.75" customHeight="1">
      <c r="E26" s="51" t="s">
        <v>52</v>
      </c>
      <c r="F26" s="56"/>
      <c r="G26" s="56"/>
    </row>
    <row r="27" spans="1:7" ht="23.25">
      <c r="E27" s="51" t="s">
        <v>105</v>
      </c>
      <c r="F27" s="54"/>
      <c r="G27" s="54"/>
    </row>
    <row r="28" spans="1:7" ht="12.75" customHeight="1">
      <c r="E28" s="55"/>
      <c r="F28" s="54"/>
      <c r="G28" s="54"/>
    </row>
    <row r="29" spans="1:7" ht="12.75" customHeight="1">
      <c r="F29" s="54"/>
      <c r="G29" s="54"/>
    </row>
    <row r="30" spans="1:7" ht="12.75" customHeight="1">
      <c r="F30" s="54"/>
      <c r="G30" s="54"/>
    </row>
    <row r="31" spans="1:7" ht="12.75" customHeight="1">
      <c r="E31" s="5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1"/>
    </row>
    <row r="46" spans="5:5">
      <c r="E46" s="5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2023-06-13T12:01:01Z</dcterms:modified>
</cp:coreProperties>
</file>