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Y\INF_ELABORADA\"/>
    </mc:Choice>
  </mc:AlternateContent>
  <xr:revisionPtr revIDLastSave="0" documentId="13_ncr:1_{CF2C228F-8D00-47F3-9FC3-E2F86620D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Dat_01!$A$85:$T$114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<sst xmlns="http://schemas.openxmlformats.org/spreadsheetml/2006/main" count="427" uniqueCount="131">
  <si>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</si>
  <si>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</si>
  <si>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</si>
  <si>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</si>
  <si>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</si>
  <si>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</si>
  <si>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</si>
  <si>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</si>
  <si>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</si>
  <si>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</si>
  <si>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</si>
  <si>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</si>
  <si>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</si>
  <si>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</si>
  <si>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</si>
  <si>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</si>
  <si>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</si>
  <si>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</si>
  <si>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</si>
  <si>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</si>
  <si>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</si>
  <si>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</si>
  <si>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</si>
  <si>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</si>
  <si>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</si>
  <si>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</si>
  <si>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</si>
  <si>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</si>
  <si>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</si>
  <si>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</si>
  <si>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</si>
  <si>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</si>
  <si>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</si>
  <si>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</si>
  <si>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</si>
  <si>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</si>
  <si>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</si>
  <si>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</si>
  <si>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</si>
  <si>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</si>
  <si>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</si>
  <si>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</si>
  <si>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</si>
  <si>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</si>
  <si>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</si>
  <si>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</si>
  <si>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</si>
  <si>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</si>
  <si>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</si>
  <si>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</si>
  <si>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</si>
  <si>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</si>
  <si>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</si>
  <si>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</si>
  <si>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</si>
  <si>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</si>
  <si>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</si>
  <si>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</si>
  <si>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</si>
  <si>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</si>
  <si>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</si>
  <si>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</si>
  <si>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</si>
  <si>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</si>
  <si>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</si>
  <si>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</si>
  <si>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</si>
  <si>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</si>
  <si>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</si>
  <si>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</si>
  <si>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</si>
  <si>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</si>
  <si>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</si>
  <si>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</si>
  <si>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</si>
  <si>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</si>
  <si>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</si>
  <si>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</si>
  <si>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</si>
  <si>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</si>
  <si>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</si>
  <si>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</si>
  <si>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</si>
  <si>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</si>
  <si>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</si>
  <si>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</si>
  <si>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</si>
  <si>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</si>
  <si>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</si>
  <si>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</si>
  <si>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</si>
  <si>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</si>
  <si>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</si>
  <si>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</si>
  <si>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</si>
  <si>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</si>
  <si>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</si>
  <si>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</si>
  <si>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</si>
  <si>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</si>
  <si>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</si>
  <si>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</si>
  <si>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</si>
  <si>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</si>
  <si>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</si>
  <si>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</si>
  <si>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</si>
  <si>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</si>
  <si>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</si>
  <si>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</si>
  <si>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</si>
  <si>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</si>
  <si>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</si>
  <si>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</si>
  <si>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</si>
  <si>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</si>
  <si>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</si>
  <si>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</si>
  <si>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</si>
  <si>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</si>
  <si>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</si>
  <si>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</si>
  <si>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</si>
  <si>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31/05/2023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</si>
  <si>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10:44:32"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msgID="9E1011E211EE06B278270080EF85A454"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</si>
  <si>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10:56:05"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msgID="C072B07311EE06B378270080EF95C250"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nrr="1326" nrc="2496"&gt;&lt;pg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</si>
  <si>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Junio 2023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</si>
  <si>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ut="06/09/2023 11:01:52"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msgID="6021A84F11EE06B478270080EF85A454"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cols="20" /&gt;&lt;esdo ews="" ece="" ptn="" /&gt;&lt;/excel&gt;&lt;pgs&gt;&lt;pg rows="27" cols="18" nrr="1899" nrc="1463"&gt;&lt;pg /&gt;&lt;bls&gt;&lt;bl sr="1" sc="1" rfetch="27" cfetch="18" posid="1" darows="0" dacols="1"&gt;&lt;excel&gt;&lt;epo ews="Dat_01" ece="A85" enr="MSTR.Serie_Balance_B.C._Mensual_Baleares_y_Canarias" ptn="" qtn="" rows="30" cols="20" /&gt;&lt;esdo ews="" ece="" ptn="" /&gt;&lt;/excel&gt;&lt;gridRng&gt;&lt;sect id="TITLE_AREA" rngprop="1:1:3:2" /&gt;&lt;sect id="ROWHEADERS_AREA" rngprop="4:1:27:2" /&gt;&lt;sect id="COLUMNHEADERS_AREA" rngprop="1:3:3:18" /&gt;&lt;sect id="DATA_AREA" rngprop="4:3:27:18"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</si>
  <si>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ut="06/09/2023 11:04:07" si="2.00000001160b42f1755d2739cf9debbc439c2724591a3343f292cb6074553a37346e8a4298c1999b90e7bceca2c003ab67a588826f615cb4795c36509c951420aced94b555e721b3d2905f569070d7ba53b8204d745a7145f9026f70906faceda0420c7868238ee866973792361c682d1355dc0ce4bc87f6cc47184b76e35f628ace103b0ec99ff9e4b5dc62298694c71adb864163c5fdc825f80f5985e4e8355f9a.p.3082.0.1.Europe/Madrid.upriv*_1*_pidn2*_37*_session*-lat*_1.00000001d9f1b9512fefe929dd9e0b0f91b20fc1bc6025e02f30bce2b1be8081b231d4b8c26aca13d08074e8eababd3cd8fb015ce7089f10.00000001885117a81169a7f6b7c37d489eaa20cfbc6025e015c166ebc2520b8bc4a3cc57212ee524b5b4e217e3686eae43a6ee25a1ef26f2.0.1.1.BDEbi.D066E1C611E6257C10D00080EF253B44.0-3082.1.1_-0.1.0_-3082.1.1_5.5.0.*0.0000000142bdb2ee09e9892cd9cd0491d952e2bfc911585a38b42fb186ff6fb15f46ff14d301fba8.0.23.11*.2*.0400*.31152J.e.000000015e3013028304b2dc33eaa3a7bcee82a9c911585a83b53ec125a4b0a2554c873c996aa1e7.0.10*.131*.122*.122.0.0" msgID="4FF1A38911EE06B578270080EF95C352"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nrr="104" nrc="684"&gt;&lt;pg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</si>
  <si>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95b5c624dd1149ad88e622766891ebf6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</si>
  <si>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ut="06/09/2023 11:04:38" si="2.00000001160b42f1755d2739cf9debbc439c2724591a3343f292cb6074553a37346e8a4298c1999b90e7bceca2c003ab67a588826f615cb4795c36509c951420aced94b555e721b3d2905f569070d7ba53b8204d745a7145f9026f70906faceda0420c7868238ee866973792361c682d1355dc0ce4bc87f6cc47184b76e35f628ace103b0ec99ff9e4b5dc62298694c71adb864163c5fdc825f80f5985e4e8355f9a.p.3082.0.1.Europe/Madrid.upriv*_1*_pidn2*_37*_session*-lat*_1.00000001d9f1b9512fefe929dd9e0b0f91b20fc1bc6025e02f30bce2b1be8081b231d4b8c26aca13d08074e8eababd3cd8fb015ce7089f10.00000001885117a81169a7f6b7c37d489eaa20cfbc6025e015c166ebc2520b8bc4a3cc57212ee524b5b4e217e3686eae43a6ee25a1ef26f2.0.1.1.BDEbi.D066E1C611E6257C10D00080EF253B44.0-3082.1.1_-0.1.0_-3082.1.1_5.5.0.*0.0000000142bdb2ee09e9892cd9cd0491d952e2bfc911585a38b42fb186ff6fb15f46ff14d301fba8.0.23.11*.2*.0400*.31152J.e.000000015e3013028304b2dc33eaa3a7bcee82a9c911585a83b53ec125a4b0a2554c873c996aa1e7.0.10*.131*.122*.122.0.0" msgID="659AE7BC11EE06B578270080EFE56350"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nrr="59" nrc="720"&gt;&lt;pg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</si>
</sst>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7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73" fontId="0" fillId="0" borderId="0" xfId="0" applyNumberForma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6910569105691056"/>
                  <c:y val="-0.186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024390243902439"/>
                  <c:y val="-0.226452254129998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6565802445426034"/>
                  <c:y val="-0.13699822448664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2.7627657969880888</c:v>
                </c:pt>
                <c:pt idx="2">
                  <c:v>7.6571345074461963</c:v>
                </c:pt>
                <c:pt idx="3">
                  <c:v>50.327534900469587</c:v>
                </c:pt>
                <c:pt idx="4">
                  <c:v>0</c:v>
                </c:pt>
                <c:pt idx="5">
                  <c:v>0.76479915361811279</c:v>
                </c:pt>
                <c:pt idx="6">
                  <c:v>2.6587497142468166</c:v>
                </c:pt>
                <c:pt idx="7">
                  <c:v>2.6587497142468166</c:v>
                </c:pt>
                <c:pt idx="8">
                  <c:v>5.4279271361545582E-2</c:v>
                </c:pt>
                <c:pt idx="9">
                  <c:v>7.2749873559590936</c:v>
                </c:pt>
                <c:pt idx="10">
                  <c:v>1.9603293973471103E-2</c:v>
                </c:pt>
                <c:pt idx="11">
                  <c:v>25.821396291690252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11.304794534199331</c:v>
                </c:pt>
                <c:pt idx="1">
                  <c:v>6.5335338228332791</c:v>
                </c:pt>
                <c:pt idx="2">
                  <c:v>28.266673232071383</c:v>
                </c:pt>
                <c:pt idx="3">
                  <c:v>38.568471899637771</c:v>
                </c:pt>
                <c:pt idx="4">
                  <c:v>0</c:v>
                </c:pt>
                <c:pt idx="5">
                  <c:v>0.54007109211268201</c:v>
                </c:pt>
                <c:pt idx="6">
                  <c:v>1.7528993183211237</c:v>
                </c:pt>
                <c:pt idx="7">
                  <c:v>1.7528993183211237</c:v>
                </c:pt>
                <c:pt idx="8">
                  <c:v>0.1690797938728196</c:v>
                </c:pt>
                <c:pt idx="9">
                  <c:v>11.011746091624481</c:v>
                </c:pt>
                <c:pt idx="10">
                  <c:v>9.9830897005989114E-2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-1.0302370000000001</c:v>
                </c:pt>
                <c:pt idx="1">
                  <c:v>29.141857000000002</c:v>
                </c:pt>
                <c:pt idx="2">
                  <c:v>50.189168000000002</c:v>
                </c:pt>
                <c:pt idx="3">
                  <c:v>5.2653150000000002</c:v>
                </c:pt>
                <c:pt idx="4">
                  <c:v>-0.60380599999999995</c:v>
                </c:pt>
                <c:pt idx="5">
                  <c:v>-0.613232</c:v>
                </c:pt>
                <c:pt idx="6">
                  <c:v>-0.58811800000000003</c:v>
                </c:pt>
                <c:pt idx="7">
                  <c:v>-0.62679200000000002</c:v>
                </c:pt>
                <c:pt idx="8">
                  <c:v>-0.72771799999999998</c:v>
                </c:pt>
                <c:pt idx="9">
                  <c:v>-0.70697299999999996</c:v>
                </c:pt>
                <c:pt idx="10">
                  <c:v>-0.51834000000000002</c:v>
                </c:pt>
                <c:pt idx="11">
                  <c:v>-0.60865999999999998</c:v>
                </c:pt>
                <c:pt idx="12">
                  <c:v>-0.83296899999999996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70.042819000000009</c:v>
                </c:pt>
                <c:pt idx="1">
                  <c:v>85.898263999999998</c:v>
                </c:pt>
                <c:pt idx="2">
                  <c:v>121.496702</c:v>
                </c:pt>
                <c:pt idx="3">
                  <c:v>132.469054</c:v>
                </c:pt>
                <c:pt idx="4">
                  <c:v>93.246324000000001</c:v>
                </c:pt>
                <c:pt idx="5">
                  <c:v>60.668753000000002</c:v>
                </c:pt>
                <c:pt idx="6">
                  <c:v>32.393524999999997</c:v>
                </c:pt>
                <c:pt idx="7">
                  <c:v>28.980339000000001</c:v>
                </c:pt>
                <c:pt idx="8">
                  <c:v>54.403029000000004</c:v>
                </c:pt>
                <c:pt idx="9">
                  <c:v>47.337153999999998</c:v>
                </c:pt>
                <c:pt idx="10">
                  <c:v>40.752212</c:v>
                </c:pt>
                <c:pt idx="11">
                  <c:v>36.577028999999996</c:v>
                </c:pt>
                <c:pt idx="12">
                  <c:v>47.925082000000003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317.55595499999998</c:v>
                </c:pt>
                <c:pt idx="1">
                  <c:v>367.58788099999998</c:v>
                </c:pt>
                <c:pt idx="2">
                  <c:v>396.959791</c:v>
                </c:pt>
                <c:pt idx="3">
                  <c:v>456.377207</c:v>
                </c:pt>
                <c:pt idx="4">
                  <c:v>377.07382699999999</c:v>
                </c:pt>
                <c:pt idx="5">
                  <c:v>297.32130999999998</c:v>
                </c:pt>
                <c:pt idx="6">
                  <c:v>234.47985499999999</c:v>
                </c:pt>
                <c:pt idx="7">
                  <c:v>251.18496099999999</c:v>
                </c:pt>
                <c:pt idx="8">
                  <c:v>236.33414099999999</c:v>
                </c:pt>
                <c:pt idx="9">
                  <c:v>250.50749099999999</c:v>
                </c:pt>
                <c:pt idx="10">
                  <c:v>233.28242</c:v>
                </c:pt>
                <c:pt idx="11">
                  <c:v>207.738203</c:v>
                </c:pt>
                <c:pt idx="12">
                  <c:v>231.47546199999999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0.16079099999999999</c:v>
                </c:pt>
                <c:pt idx="1">
                  <c:v>6.1459E-2</c:v>
                </c:pt>
                <c:pt idx="2">
                  <c:v>3.0289E-2</c:v>
                </c:pt>
                <c:pt idx="3">
                  <c:v>3.2219999999999999E-2</c:v>
                </c:pt>
                <c:pt idx="4">
                  <c:v>1.2760000000000001E-2</c:v>
                </c:pt>
                <c:pt idx="5">
                  <c:v>2.8530000000000001E-3</c:v>
                </c:pt>
                <c:pt idx="6">
                  <c:v>2.5883E-2</c:v>
                </c:pt>
                <c:pt idx="7">
                  <c:v>0.100989</c:v>
                </c:pt>
                <c:pt idx="8">
                  <c:v>0.21573000000000001</c:v>
                </c:pt>
                <c:pt idx="9">
                  <c:v>0.18323999999999999</c:v>
                </c:pt>
                <c:pt idx="10">
                  <c:v>0.20035</c:v>
                </c:pt>
                <c:pt idx="11">
                  <c:v>0.12734500000000001</c:v>
                </c:pt>
                <c:pt idx="12">
                  <c:v>0.24965100000000001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27.351011</c:v>
                </c:pt>
                <c:pt idx="1">
                  <c:v>29.26784</c:v>
                </c:pt>
                <c:pt idx="2">
                  <c:v>33.069572000000001</c:v>
                </c:pt>
                <c:pt idx="3">
                  <c:v>29.670628000000001</c:v>
                </c:pt>
                <c:pt idx="4">
                  <c:v>25.077711000000001</c:v>
                </c:pt>
                <c:pt idx="5">
                  <c:v>23.563777000000002</c:v>
                </c:pt>
                <c:pt idx="6">
                  <c:v>17.217534000000001</c:v>
                </c:pt>
                <c:pt idx="7">
                  <c:v>15.034399000000001</c:v>
                </c:pt>
                <c:pt idx="8">
                  <c:v>18.176791999999999</c:v>
                </c:pt>
                <c:pt idx="9">
                  <c:v>21.958507000000001</c:v>
                </c:pt>
                <c:pt idx="10">
                  <c:v>34.017825999999999</c:v>
                </c:pt>
                <c:pt idx="11">
                  <c:v>36.519472</c:v>
                </c:pt>
                <c:pt idx="12">
                  <c:v>33.460431999999997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0.166327</c:v>
                </c:pt>
                <c:pt idx="1">
                  <c:v>0.111179</c:v>
                </c:pt>
                <c:pt idx="2">
                  <c:v>9.5128000000000004E-2</c:v>
                </c:pt>
                <c:pt idx="3">
                  <c:v>5.6752999999999998E-2</c:v>
                </c:pt>
                <c:pt idx="4">
                  <c:v>7.1924000000000002E-2</c:v>
                </c:pt>
                <c:pt idx="5">
                  <c:v>9.6991999999999995E-2</c:v>
                </c:pt>
                <c:pt idx="6">
                  <c:v>8.4503999999999996E-2</c:v>
                </c:pt>
                <c:pt idx="7">
                  <c:v>7.7099000000000001E-2</c:v>
                </c:pt>
                <c:pt idx="8">
                  <c:v>9.3608999999999998E-2</c:v>
                </c:pt>
                <c:pt idx="9">
                  <c:v>0.13599800000000001</c:v>
                </c:pt>
                <c:pt idx="10">
                  <c:v>0.11230800000000001</c:v>
                </c:pt>
                <c:pt idx="11">
                  <c:v>7.399E-2</c:v>
                </c:pt>
                <c:pt idx="12">
                  <c:v>9.0162999999999993E-2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1.9461250000000001</c:v>
                </c:pt>
                <c:pt idx="1">
                  <c:v>1.5363420000000001</c:v>
                </c:pt>
                <c:pt idx="2">
                  <c:v>1.1719729999999999</c:v>
                </c:pt>
                <c:pt idx="3">
                  <c:v>5.1333999999999998E-2</c:v>
                </c:pt>
                <c:pt idx="4">
                  <c:v>2.0373130000000002</c:v>
                </c:pt>
                <c:pt idx="5">
                  <c:v>1.826864</c:v>
                </c:pt>
                <c:pt idx="6">
                  <c:v>2.5541079999999998</c:v>
                </c:pt>
                <c:pt idx="7">
                  <c:v>2.9410020000000001</c:v>
                </c:pt>
                <c:pt idx="8">
                  <c:v>3.055609</c:v>
                </c:pt>
                <c:pt idx="9">
                  <c:v>3.0516040000000002</c:v>
                </c:pt>
                <c:pt idx="10">
                  <c:v>3.5856219999999999</c:v>
                </c:pt>
                <c:pt idx="11">
                  <c:v>3.6202459999999999</c:v>
                </c:pt>
                <c:pt idx="12">
                  <c:v>3.5176020000000001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11.846197500000001</c:v>
                </c:pt>
                <c:pt idx="1">
                  <c:v>13.186323</c:v>
                </c:pt>
                <c:pt idx="2">
                  <c:v>16.1606655</c:v>
                </c:pt>
                <c:pt idx="3">
                  <c:v>13.6723105</c:v>
                </c:pt>
                <c:pt idx="4">
                  <c:v>13.5816645</c:v>
                </c:pt>
                <c:pt idx="5">
                  <c:v>11.230755</c:v>
                </c:pt>
                <c:pt idx="6">
                  <c:v>10.188828000000001</c:v>
                </c:pt>
                <c:pt idx="7">
                  <c:v>10.4136255</c:v>
                </c:pt>
                <c:pt idx="8">
                  <c:v>7.3618245</c:v>
                </c:pt>
                <c:pt idx="9">
                  <c:v>9.8298860000000001</c:v>
                </c:pt>
                <c:pt idx="10">
                  <c:v>9.6378819999999994</c:v>
                </c:pt>
                <c:pt idx="11">
                  <c:v>10.65733</c:v>
                </c:pt>
                <c:pt idx="12">
                  <c:v>12.228600500000001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11.846197500000001</c:v>
                </c:pt>
                <c:pt idx="1">
                  <c:v>13.186323</c:v>
                </c:pt>
                <c:pt idx="2">
                  <c:v>16.1606655</c:v>
                </c:pt>
                <c:pt idx="3">
                  <c:v>13.6723105</c:v>
                </c:pt>
                <c:pt idx="4">
                  <c:v>13.5816645</c:v>
                </c:pt>
                <c:pt idx="5">
                  <c:v>11.230755</c:v>
                </c:pt>
                <c:pt idx="6">
                  <c:v>10.188828000000001</c:v>
                </c:pt>
                <c:pt idx="7">
                  <c:v>10.4136255</c:v>
                </c:pt>
                <c:pt idx="8">
                  <c:v>7.3618245</c:v>
                </c:pt>
                <c:pt idx="9">
                  <c:v>9.8298860000000001</c:v>
                </c:pt>
                <c:pt idx="10">
                  <c:v>9.6378819999999994</c:v>
                </c:pt>
                <c:pt idx="11">
                  <c:v>10.65733</c:v>
                </c:pt>
                <c:pt idx="12">
                  <c:v>12.228600500000001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32.047055999999998</c:v>
                </c:pt>
                <c:pt idx="1">
                  <c:v>35.225064000000003</c:v>
                </c:pt>
                <c:pt idx="2">
                  <c:v>67.033137999999994</c:v>
                </c:pt>
                <c:pt idx="3">
                  <c:v>77.653036</c:v>
                </c:pt>
                <c:pt idx="4">
                  <c:v>70.647335999999996</c:v>
                </c:pt>
                <c:pt idx="5">
                  <c:v>61.365385000000003</c:v>
                </c:pt>
                <c:pt idx="6">
                  <c:v>55.991686000000001</c:v>
                </c:pt>
                <c:pt idx="7">
                  <c:v>79.778822000000005</c:v>
                </c:pt>
                <c:pt idx="8">
                  <c:v>123.950131</c:v>
                </c:pt>
                <c:pt idx="9">
                  <c:v>89.734262000000001</c:v>
                </c:pt>
                <c:pt idx="10">
                  <c:v>82.194308000000007</c:v>
                </c:pt>
                <c:pt idx="11">
                  <c:v>98.033413999999993</c:v>
                </c:pt>
                <c:pt idx="12">
                  <c:v>118.762416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14.941342827816639</c:v>
                </c:pt>
                <c:pt idx="1">
                  <c:v>15.955836841902871</c:v>
                </c:pt>
                <c:pt idx="2">
                  <c:v>14.788142282047048</c:v>
                </c:pt>
                <c:pt idx="3">
                  <c:v>26.515950461800752</c:v>
                </c:pt>
                <c:pt idx="4">
                  <c:v>1.1704521696796728</c:v>
                </c:pt>
                <c:pt idx="5">
                  <c:v>4.6572965913955565E-2</c:v>
                </c:pt>
                <c:pt idx="6">
                  <c:v>0.34684603562235328</c:v>
                </c:pt>
                <c:pt idx="7">
                  <c:v>19.620853498348787</c:v>
                </c:pt>
                <c:pt idx="8">
                  <c:v>6.5007570734350377</c:v>
                </c:pt>
                <c:pt idx="9">
                  <c:v>0.11324584343288142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9837398373983739"/>
                  <c:y val="-3.082599969121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7886178861788621"/>
                  <c:y val="-4.1711811023622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25365840855258948"/>
                  <c:y val="-6.78429133858267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21.784278686238583</c:v>
                </c:pt>
                <c:pt idx="1">
                  <c:v>3.3487954363089942</c:v>
                </c:pt>
                <c:pt idx="2">
                  <c:v>12.112393316932705</c:v>
                </c:pt>
                <c:pt idx="3">
                  <c:v>39.290775300818979</c:v>
                </c:pt>
                <c:pt idx="4">
                  <c:v>0</c:v>
                </c:pt>
                <c:pt idx="5">
                  <c:v>4.2511199782345806E-2</c:v>
                </c:pt>
                <c:pt idx="6">
                  <c:v>0.29498585015580714</c:v>
                </c:pt>
                <c:pt idx="7">
                  <c:v>18.686411475481908</c:v>
                </c:pt>
                <c:pt idx="8">
                  <c:v>4.3470152982797412</c:v>
                </c:pt>
                <c:pt idx="9">
                  <c:v>9.2833436000939087E-2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0.29870099999999999</c:v>
                </c:pt>
                <c:pt idx="1">
                  <c:v>0.28138299999999999</c:v>
                </c:pt>
                <c:pt idx="2">
                  <c:v>0.29436099999999998</c:v>
                </c:pt>
                <c:pt idx="3">
                  <c:v>0.29274699999999998</c:v>
                </c:pt>
                <c:pt idx="4">
                  <c:v>0.28892499999999999</c:v>
                </c:pt>
                <c:pt idx="5">
                  <c:v>0.29400900000000002</c:v>
                </c:pt>
                <c:pt idx="6">
                  <c:v>0.27748800000000001</c:v>
                </c:pt>
                <c:pt idx="7">
                  <c:v>0.28856799999999999</c:v>
                </c:pt>
                <c:pt idx="8">
                  <c:v>0.27497500000000002</c:v>
                </c:pt>
                <c:pt idx="9">
                  <c:v>0.25442500000000001</c:v>
                </c:pt>
                <c:pt idx="10">
                  <c:v>0.29023300000000002</c:v>
                </c:pt>
                <c:pt idx="11">
                  <c:v>0.27610800000000002</c:v>
                </c:pt>
                <c:pt idx="12">
                  <c:v>0.29790899999999998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244.42555600000003</c:v>
                </c:pt>
                <c:pt idx="1">
                  <c:v>215.54708500000001</c:v>
                </c:pt>
                <c:pt idx="2">
                  <c:v>238.315326</c:v>
                </c:pt>
                <c:pt idx="3">
                  <c:v>264.80231099999997</c:v>
                </c:pt>
                <c:pt idx="4">
                  <c:v>286.046403</c:v>
                </c:pt>
                <c:pt idx="5">
                  <c:v>308.95133199999998</c:v>
                </c:pt>
                <c:pt idx="6">
                  <c:v>271.88252899999998</c:v>
                </c:pt>
                <c:pt idx="7">
                  <c:v>312.87680900000004</c:v>
                </c:pt>
                <c:pt idx="8">
                  <c:v>282.44358199999999</c:v>
                </c:pt>
                <c:pt idx="9">
                  <c:v>296.20417700000002</c:v>
                </c:pt>
                <c:pt idx="10">
                  <c:v>261.84115199999997</c:v>
                </c:pt>
                <c:pt idx="11">
                  <c:v>260.1001</c:v>
                </c:pt>
                <c:pt idx="12">
                  <c:v>261.00792300000001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303.45663500000001</c:v>
                </c:pt>
                <c:pt idx="1">
                  <c:v>283.58392400000002</c:v>
                </c:pt>
                <c:pt idx="2">
                  <c:v>295.51749599999999</c:v>
                </c:pt>
                <c:pt idx="3">
                  <c:v>269.79137200000002</c:v>
                </c:pt>
                <c:pt idx="4">
                  <c:v>285.29845599999999</c:v>
                </c:pt>
                <c:pt idx="5">
                  <c:v>305.38632699999999</c:v>
                </c:pt>
                <c:pt idx="6">
                  <c:v>309.74341800000002</c:v>
                </c:pt>
                <c:pt idx="7">
                  <c:v>347.66188299999999</c:v>
                </c:pt>
                <c:pt idx="8">
                  <c:v>279.418815</c:v>
                </c:pt>
                <c:pt idx="9">
                  <c:v>289.33312999999998</c:v>
                </c:pt>
                <c:pt idx="10">
                  <c:v>284.83144399999998</c:v>
                </c:pt>
                <c:pt idx="11">
                  <c:v>279.54366599999997</c:v>
                </c:pt>
                <c:pt idx="12">
                  <c:v>275.34098399999999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1.9171739999999999</c:v>
                </c:pt>
                <c:pt idx="1">
                  <c:v>2.44956</c:v>
                </c:pt>
                <c:pt idx="2">
                  <c:v>3.5629430000000002</c:v>
                </c:pt>
                <c:pt idx="3">
                  <c:v>3.5176750000000001</c:v>
                </c:pt>
                <c:pt idx="4">
                  <c:v>2.0750950000000001</c:v>
                </c:pt>
                <c:pt idx="5">
                  <c:v>1.3500719999999999</c:v>
                </c:pt>
                <c:pt idx="6">
                  <c:v>1.1694089999999999</c:v>
                </c:pt>
                <c:pt idx="7">
                  <c:v>0.36710399999999999</c:v>
                </c:pt>
                <c:pt idx="8">
                  <c:v>1.6495040000000001</c:v>
                </c:pt>
                <c:pt idx="9">
                  <c:v>0.82934099999999999</c:v>
                </c:pt>
                <c:pt idx="10">
                  <c:v>1.5724450000000001</c:v>
                </c:pt>
                <c:pt idx="11">
                  <c:v>1.573337</c:v>
                </c:pt>
                <c:pt idx="12">
                  <c:v>2.0671949999999999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116.96555499999999</c:v>
                </c:pt>
                <c:pt idx="1">
                  <c:v>160.356527</c:v>
                </c:pt>
                <c:pt idx="2">
                  <c:v>181.49906899999999</c:v>
                </c:pt>
                <c:pt idx="3">
                  <c:v>185.782734</c:v>
                </c:pt>
                <c:pt idx="4">
                  <c:v>123.26133799999999</c:v>
                </c:pt>
                <c:pt idx="5">
                  <c:v>85.078937999999994</c:v>
                </c:pt>
                <c:pt idx="6">
                  <c:v>102.221262</c:v>
                </c:pt>
                <c:pt idx="7">
                  <c:v>37.913117999999997</c:v>
                </c:pt>
                <c:pt idx="8">
                  <c:v>132.72816599999999</c:v>
                </c:pt>
                <c:pt idx="9">
                  <c:v>42.685206000000001</c:v>
                </c:pt>
                <c:pt idx="10">
                  <c:v>131.43829199999999</c:v>
                </c:pt>
                <c:pt idx="11">
                  <c:v>103.68509299999999</c:v>
                </c:pt>
                <c:pt idx="12">
                  <c:v>130.95020099999999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32.971663999999997</c:v>
                </c:pt>
                <c:pt idx="1">
                  <c:v>30.752493999999999</c:v>
                </c:pt>
                <c:pt idx="2">
                  <c:v>34.434815</c:v>
                </c:pt>
                <c:pt idx="3">
                  <c:v>32.263370000000002</c:v>
                </c:pt>
                <c:pt idx="4">
                  <c:v>26.538736</c:v>
                </c:pt>
                <c:pt idx="5">
                  <c:v>26.753266</c:v>
                </c:pt>
                <c:pt idx="6">
                  <c:v>23.169461999999999</c:v>
                </c:pt>
                <c:pt idx="7">
                  <c:v>19.006923</c:v>
                </c:pt>
                <c:pt idx="8">
                  <c:v>22.065138000000001</c:v>
                </c:pt>
                <c:pt idx="9">
                  <c:v>20.222797</c:v>
                </c:pt>
                <c:pt idx="10">
                  <c:v>32.125762000000002</c:v>
                </c:pt>
                <c:pt idx="11">
                  <c:v>29.890439000000001</c:v>
                </c:pt>
                <c:pt idx="12">
                  <c:v>30.462913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may.-22</c:v>
                </c:pt>
                <c:pt idx="1">
                  <c:v>jun.-22</c:v>
                </c:pt>
                <c:pt idx="2">
                  <c:v>jul.-22</c:v>
                </c:pt>
                <c:pt idx="3">
                  <c:v>ago.-22</c:v>
                </c:pt>
                <c:pt idx="4">
                  <c:v>sep.-22</c:v>
                </c:pt>
                <c:pt idx="5">
                  <c:v>oct.-22</c:v>
                </c:pt>
                <c:pt idx="6">
                  <c:v>nov.-22</c:v>
                </c:pt>
                <c:pt idx="7">
                  <c:v>dic.-22</c:v>
                </c:pt>
                <c:pt idx="8">
                  <c:v>ene.-23</c:v>
                </c:pt>
                <c:pt idx="9">
                  <c:v>feb.-23</c:v>
                </c:pt>
                <c:pt idx="10">
                  <c:v>mar.-23</c:v>
                </c:pt>
                <c:pt idx="11">
                  <c:v>abr.-23</c:v>
                </c:pt>
                <c:pt idx="12">
                  <c:v>may.-23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0.72146399999999999</c:v>
                </c:pt>
                <c:pt idx="1">
                  <c:v>0.696106</c:v>
                </c:pt>
                <c:pt idx="2">
                  <c:v>0.688222</c:v>
                </c:pt>
                <c:pt idx="3">
                  <c:v>0.71531400000000001</c:v>
                </c:pt>
                <c:pt idx="4">
                  <c:v>0.714812</c:v>
                </c:pt>
                <c:pt idx="5">
                  <c:v>0.73132799999999998</c:v>
                </c:pt>
                <c:pt idx="6">
                  <c:v>0.76498500000000003</c:v>
                </c:pt>
                <c:pt idx="7">
                  <c:v>0.78453200000000001</c:v>
                </c:pt>
                <c:pt idx="8">
                  <c:v>0.78413299999999997</c:v>
                </c:pt>
                <c:pt idx="9">
                  <c:v>0.71108700000000002</c:v>
                </c:pt>
                <c:pt idx="10">
                  <c:v>0.73842799999999997</c:v>
                </c:pt>
                <c:pt idx="11">
                  <c:v>0.63095199999999996</c:v>
                </c:pt>
                <c:pt idx="12">
                  <c:v>0.65055600000000002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Mayo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90" zoomScaleNormal="90" workbookViewId="0">
      <selection activeCell="C71" sqref="C71"/>
    </sheetView>
  </sheetViews>
  <sheetFormatPr baseColWidth="10" defaultColWidth="11.42578125" defaultRowHeight="12"/>
  <cols>
    <col min="1" max="1" width="7.85546875" style="102" bestFit="1" customWidth="1"/>
    <col min="2" max="2" width="12.85546875" style="102" bestFit="1" customWidth="1"/>
    <col min="3" max="3" width="23.7109375" style="102" bestFit="1" customWidth="1"/>
    <col min="4" max="4" width="19.85546875" style="102" bestFit="1" customWidth="1"/>
    <col min="5" max="5" width="20.5703125" style="102" bestFit="1" customWidth="1"/>
    <col min="6" max="6" width="32.28515625" style="102" bestFit="1" customWidth="1"/>
    <col min="7" max="7" width="23.7109375" style="102" bestFit="1" customWidth="1"/>
    <col min="8" max="8" width="19.85546875" style="102" bestFit="1" customWidth="1"/>
    <col min="9" max="9" width="20.42578125" style="102" bestFit="1" customWidth="1"/>
    <col min="10" max="11" width="27.85546875" style="102" bestFit="1" customWidth="1"/>
    <col min="12" max="12" width="24" style="102" bestFit="1" customWidth="1"/>
    <col min="13" max="13" width="24.7109375" style="102" bestFit="1" customWidth="1"/>
    <col min="14" max="14" width="32" style="102" bestFit="1" customWidth="1"/>
    <col min="15" max="33" width="21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122</v>
      </c>
      <c r="B2" s="133" t="s">
        <v>123</v>
      </c>
    </row>
    <row r="4" spans="1:33" ht="15">
      <c r="A4" s="134" t="s">
        <v>67</v>
      </c>
      <c r="B4" s="198" t="s">
        <v>122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</row>
    <row r="5" spans="1:33" ht="15">
      <c r="A5" s="134" t="s">
        <v>68</v>
      </c>
      <c r="B5" s="214" t="s">
        <v>15</v>
      </c>
      <c r="C5" s="215"/>
      <c r="D5" s="215"/>
      <c r="E5" s="215"/>
      <c r="F5" s="215"/>
      <c r="G5" s="215"/>
      <c r="H5" s="215"/>
      <c r="I5" s="216"/>
      <c r="J5" s="214" t="s">
        <v>14</v>
      </c>
      <c r="K5" s="215"/>
      <c r="L5" s="215"/>
      <c r="M5" s="215"/>
      <c r="N5" s="215"/>
      <c r="O5" s="215"/>
      <c r="P5" s="215"/>
      <c r="Q5" s="216"/>
      <c r="R5" s="214" t="s">
        <v>57</v>
      </c>
      <c r="S5" s="215"/>
      <c r="T5" s="215"/>
      <c r="U5" s="215"/>
      <c r="V5" s="215"/>
      <c r="W5" s="215"/>
      <c r="X5" s="215"/>
      <c r="Y5" s="216"/>
      <c r="Z5" s="214" t="s">
        <v>58</v>
      </c>
      <c r="AA5" s="215"/>
      <c r="AB5" s="215"/>
      <c r="AC5" s="215"/>
      <c r="AD5" s="215"/>
      <c r="AE5" s="215"/>
      <c r="AF5" s="215"/>
      <c r="AG5" s="215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297.90899999999999</v>
      </c>
      <c r="AA8" s="171">
        <v>298.70100000000002</v>
      </c>
      <c r="AB8" s="172">
        <v>-2.6514809000000002E-3</v>
      </c>
      <c r="AC8" s="171">
        <v>1393.65</v>
      </c>
      <c r="AD8" s="171">
        <v>1414.0139999999999</v>
      </c>
      <c r="AE8" s="172">
        <v>-1.4401554699999999E-2</v>
      </c>
      <c r="AF8" s="171">
        <v>3411.1309999999999</v>
      </c>
      <c r="AG8" s="172">
        <v>6.1592402099999999E-2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-832.96900000000005</v>
      </c>
      <c r="S9" s="171">
        <v>-1030.2370000000001</v>
      </c>
      <c r="T9" s="172">
        <v>-0.19147827149999999</v>
      </c>
      <c r="U9" s="171">
        <v>-3394.66</v>
      </c>
      <c r="V9" s="171">
        <v>-3512.1869999999999</v>
      </c>
      <c r="W9" s="172">
        <v>-3.3462626000000002E-2</v>
      </c>
      <c r="X9" s="171">
        <v>78769.732000000004</v>
      </c>
      <c r="Y9" s="172">
        <v>0.76314749110000002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14167.683000000001</v>
      </c>
      <c r="C10" s="171">
        <v>16199.483</v>
      </c>
      <c r="D10" s="172">
        <v>-0.12542375580000001</v>
      </c>
      <c r="E10" s="171">
        <v>75649.714999999997</v>
      </c>
      <c r="F10" s="171">
        <v>81214.94</v>
      </c>
      <c r="G10" s="172">
        <v>-6.8524645800000006E-2</v>
      </c>
      <c r="H10" s="171">
        <v>189355.54</v>
      </c>
      <c r="I10" s="172">
        <v>-4.4572677900000003E-2</v>
      </c>
      <c r="J10" s="171">
        <v>14581.069</v>
      </c>
      <c r="K10" s="171">
        <v>14310.450999999999</v>
      </c>
      <c r="L10" s="172">
        <v>1.8910515100000001E-2</v>
      </c>
      <c r="M10" s="171">
        <v>71614.839000000007</v>
      </c>
      <c r="N10" s="171">
        <v>72965.888999999996</v>
      </c>
      <c r="O10" s="172">
        <v>-1.8516186399999999E-2</v>
      </c>
      <c r="P10" s="171">
        <v>183221.81700000001</v>
      </c>
      <c r="Q10" s="172">
        <v>-3.7131953199999998E-2</v>
      </c>
      <c r="R10" s="171">
        <v>12707.01</v>
      </c>
      <c r="S10" s="171">
        <v>43134.307000000001</v>
      </c>
      <c r="T10" s="172">
        <v>-0.70540827279999996</v>
      </c>
      <c r="U10" s="171">
        <v>46087.406999999999</v>
      </c>
      <c r="V10" s="171">
        <v>167561.185</v>
      </c>
      <c r="W10" s="172">
        <v>-0.72495177209999995</v>
      </c>
      <c r="X10" s="171">
        <v>279942.027</v>
      </c>
      <c r="Y10" s="172">
        <v>-0.40160727629999998</v>
      </c>
      <c r="Z10" s="171">
        <v>152672.84400000001</v>
      </c>
      <c r="AA10" s="171">
        <v>142200.139</v>
      </c>
      <c r="AB10" s="172">
        <v>7.3647642499999999E-2</v>
      </c>
      <c r="AC10" s="171">
        <v>744729.36</v>
      </c>
      <c r="AD10" s="171">
        <v>702354.701</v>
      </c>
      <c r="AE10" s="172">
        <v>6.0332277900000002E-2</v>
      </c>
      <c r="AF10" s="171">
        <v>1797614.6869999999</v>
      </c>
      <c r="AG10" s="172">
        <v>1.50282725E-2</v>
      </c>
    </row>
    <row r="11" spans="1:33">
      <c r="A11" s="133" t="s">
        <v>9</v>
      </c>
      <c r="B11" s="171">
        <v>4.83</v>
      </c>
      <c r="C11" s="171">
        <v>4.2679999999999998</v>
      </c>
      <c r="D11" s="172">
        <v>0.13167760070000001</v>
      </c>
      <c r="E11" s="171">
        <v>32.563000000000002</v>
      </c>
      <c r="F11" s="171">
        <v>47.764000000000003</v>
      </c>
      <c r="G11" s="172">
        <v>-0.31825224019999998</v>
      </c>
      <c r="H11" s="171">
        <v>463.33</v>
      </c>
      <c r="I11" s="172">
        <v>1.0920099695000001</v>
      </c>
      <c r="J11" s="171">
        <v>1.875</v>
      </c>
      <c r="K11" s="171">
        <v>19.233000000000001</v>
      </c>
      <c r="L11" s="172">
        <v>-0.90251130869999996</v>
      </c>
      <c r="M11" s="171">
        <v>11.183</v>
      </c>
      <c r="N11" s="171">
        <v>77.260999999999996</v>
      </c>
      <c r="O11" s="172">
        <v>-0.85525685659999995</v>
      </c>
      <c r="P11" s="171">
        <v>33.814</v>
      </c>
      <c r="Q11" s="172">
        <v>-0.65173955139999995</v>
      </c>
      <c r="R11" s="171">
        <v>35218.072</v>
      </c>
      <c r="S11" s="171">
        <v>26908.511999999999</v>
      </c>
      <c r="T11" s="172">
        <v>0.30880785979999997</v>
      </c>
      <c r="U11" s="171">
        <v>180907.09899999999</v>
      </c>
      <c r="V11" s="171">
        <v>86727.137000000002</v>
      </c>
      <c r="W11" s="172">
        <v>1.0859341754</v>
      </c>
      <c r="X11" s="171">
        <v>490087.93900000001</v>
      </c>
      <c r="Y11" s="172">
        <v>0.9171956362</v>
      </c>
      <c r="Z11" s="171">
        <v>23467.611000000001</v>
      </c>
      <c r="AA11" s="171">
        <v>15375.763999999999</v>
      </c>
      <c r="AB11" s="172">
        <v>0.52627284080000003</v>
      </c>
      <c r="AC11" s="171">
        <v>103123.97199999999</v>
      </c>
      <c r="AD11" s="171">
        <v>97664.37</v>
      </c>
      <c r="AE11" s="172">
        <v>5.5901676300000001E-2</v>
      </c>
      <c r="AF11" s="171">
        <v>266450.47600000002</v>
      </c>
      <c r="AG11" s="172">
        <v>0.16872502850000001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84880.948999999993</v>
      </c>
      <c r="AA12" s="171">
        <v>86849.653000000006</v>
      </c>
      <c r="AB12" s="172">
        <v>-2.26679547E-2</v>
      </c>
      <c r="AC12" s="171">
        <v>513807.58</v>
      </c>
      <c r="AD12" s="171">
        <v>524957.42799999996</v>
      </c>
      <c r="AE12" s="172">
        <v>-2.1239528000000001E-2</v>
      </c>
      <c r="AF12" s="171">
        <v>1196083.216</v>
      </c>
      <c r="AG12" s="172">
        <v>1.5400358100000001E-2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231475.462</v>
      </c>
      <c r="S13" s="171">
        <v>317555.95500000002</v>
      </c>
      <c r="T13" s="172">
        <v>-0.27107189030000001</v>
      </c>
      <c r="U13" s="171">
        <v>1159337.7169999999</v>
      </c>
      <c r="V13" s="171">
        <v>1604695.5179999999</v>
      </c>
      <c r="W13" s="172">
        <v>-0.27753414650000002</v>
      </c>
      <c r="X13" s="171">
        <v>3540322.5490000001</v>
      </c>
      <c r="Y13" s="172">
        <v>-0.1169917509</v>
      </c>
      <c r="Z13" s="171">
        <v>275340.984</v>
      </c>
      <c r="AA13" s="171">
        <v>303456.63500000001</v>
      </c>
      <c r="AB13" s="172">
        <v>-9.2651297600000002E-2</v>
      </c>
      <c r="AC13" s="171">
        <v>1408468.0390000001</v>
      </c>
      <c r="AD13" s="171">
        <v>1493027.6510000001</v>
      </c>
      <c r="AE13" s="172">
        <v>-5.6636333499999997E-2</v>
      </c>
      <c r="AF13" s="171">
        <v>3505450.915</v>
      </c>
      <c r="AG13" s="172">
        <v>-1.0089241400000001E-2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0</v>
      </c>
      <c r="T14" s="172">
        <v>0</v>
      </c>
      <c r="U14" s="171">
        <v>0</v>
      </c>
      <c r="V14" s="171">
        <v>0</v>
      </c>
      <c r="W14" s="172">
        <v>0</v>
      </c>
      <c r="X14" s="171">
        <v>12117.501</v>
      </c>
      <c r="Y14" s="172">
        <v>0.1169343268</v>
      </c>
      <c r="Z14" s="171">
        <v>-13.481</v>
      </c>
      <c r="AA14" s="171">
        <v>0</v>
      </c>
      <c r="AB14" s="172">
        <v>0</v>
      </c>
      <c r="AC14" s="171">
        <v>-63.978000000000002</v>
      </c>
      <c r="AD14" s="171">
        <v>0</v>
      </c>
      <c r="AE14" s="172">
        <v>0</v>
      </c>
      <c r="AF14" s="171">
        <v>-129.65</v>
      </c>
      <c r="AG14" s="172">
        <v>0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2067.1950000000002</v>
      </c>
      <c r="AA15" s="171">
        <v>1917.174</v>
      </c>
      <c r="AB15" s="172">
        <v>7.8251113400000002E-2</v>
      </c>
      <c r="AC15" s="171">
        <v>7691.8220000000001</v>
      </c>
      <c r="AD15" s="171">
        <v>8388.9860000000008</v>
      </c>
      <c r="AE15" s="172">
        <v>-8.3104680400000006E-2</v>
      </c>
      <c r="AF15" s="171">
        <v>22183.68</v>
      </c>
      <c r="AG15" s="172">
        <v>-4.7221457699999997E-2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249.65100000000001</v>
      </c>
      <c r="S16" s="171">
        <v>160.791</v>
      </c>
      <c r="T16" s="172">
        <v>0.55264287180000005</v>
      </c>
      <c r="U16" s="171">
        <v>976.31600000000003</v>
      </c>
      <c r="V16" s="171">
        <v>1182.9169999999999</v>
      </c>
      <c r="W16" s="172">
        <v>-0.174653843</v>
      </c>
      <c r="X16" s="171">
        <v>1242.769</v>
      </c>
      <c r="Y16" s="172">
        <v>-0.4576002884</v>
      </c>
      <c r="Z16" s="171">
        <v>130950.201</v>
      </c>
      <c r="AA16" s="171">
        <v>116965.55499999999</v>
      </c>
      <c r="AB16" s="172">
        <v>0.1195620882</v>
      </c>
      <c r="AC16" s="171">
        <v>541486.95799999998</v>
      </c>
      <c r="AD16" s="171">
        <v>496322.03499999997</v>
      </c>
      <c r="AE16" s="172">
        <v>9.099923E-2</v>
      </c>
      <c r="AF16" s="171">
        <v>1417599.9439999999</v>
      </c>
      <c r="AG16" s="172">
        <v>3.3447173500000003E-2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7.6180000000000003</v>
      </c>
      <c r="K17" s="171">
        <v>7.9569999999999999</v>
      </c>
      <c r="L17" s="172">
        <v>-4.2603996499999998E-2</v>
      </c>
      <c r="M17" s="171">
        <v>31.789000000000001</v>
      </c>
      <c r="N17" s="171">
        <v>29.829000000000001</v>
      </c>
      <c r="O17" s="172">
        <v>6.5707868200000005E-2</v>
      </c>
      <c r="P17" s="171">
        <v>74.177999999999997</v>
      </c>
      <c r="Q17" s="172">
        <v>0.20598946479999999</v>
      </c>
      <c r="R17" s="171">
        <v>33460.432000000001</v>
      </c>
      <c r="S17" s="171">
        <v>27351.010999999999</v>
      </c>
      <c r="T17" s="172">
        <v>0.22337093860000001</v>
      </c>
      <c r="U17" s="171">
        <v>144133.02900000001</v>
      </c>
      <c r="V17" s="171">
        <v>95818.065000000002</v>
      </c>
      <c r="W17" s="172">
        <v>0.50423648190000003</v>
      </c>
      <c r="X17" s="171">
        <v>317034.49</v>
      </c>
      <c r="Y17" s="172">
        <v>0.46889787290000001</v>
      </c>
      <c r="Z17" s="171">
        <v>30462.913</v>
      </c>
      <c r="AA17" s="171">
        <v>32971.663999999997</v>
      </c>
      <c r="AB17" s="172">
        <v>-7.6088091900000002E-2</v>
      </c>
      <c r="AC17" s="171">
        <v>134767.049</v>
      </c>
      <c r="AD17" s="171">
        <v>121361.694</v>
      </c>
      <c r="AE17" s="172">
        <v>0.1104578764</v>
      </c>
      <c r="AF17" s="171">
        <v>327686.11499999999</v>
      </c>
      <c r="AG17" s="172">
        <v>0.19165910990000001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90.162999999999997</v>
      </c>
      <c r="S18" s="171">
        <v>166.327</v>
      </c>
      <c r="T18" s="172">
        <v>-0.4579172353</v>
      </c>
      <c r="U18" s="171">
        <v>506.06799999999998</v>
      </c>
      <c r="V18" s="171">
        <v>1189.019</v>
      </c>
      <c r="W18" s="172">
        <v>-0.57438190639999998</v>
      </c>
      <c r="X18" s="171">
        <v>1099.6469999999999</v>
      </c>
      <c r="Y18" s="172">
        <v>-0.51450592179999999</v>
      </c>
      <c r="Z18" s="171">
        <v>650.55600000000004</v>
      </c>
      <c r="AA18" s="171">
        <v>721.46400000000006</v>
      </c>
      <c r="AB18" s="172">
        <v>-9.8283490200000004E-2</v>
      </c>
      <c r="AC18" s="171">
        <v>3515.1559999999999</v>
      </c>
      <c r="AD18" s="171">
        <v>3826.0610000000001</v>
      </c>
      <c r="AE18" s="172">
        <v>-8.1259812599999995E-2</v>
      </c>
      <c r="AF18" s="171">
        <v>8610.4549999999999</v>
      </c>
      <c r="AG18" s="172">
        <v>2.3973610000000002E-3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3517.6019999999999</v>
      </c>
      <c r="S19" s="171">
        <v>1946.125</v>
      </c>
      <c r="T19" s="172">
        <v>0.80749026909999999</v>
      </c>
      <c r="U19" s="171">
        <v>16830.683000000001</v>
      </c>
      <c r="V19" s="171">
        <v>14247.418</v>
      </c>
      <c r="W19" s="172">
        <v>0.18131460730000001</v>
      </c>
      <c r="X19" s="171">
        <v>28949.618999999999</v>
      </c>
      <c r="Y19" s="172">
        <v>-0.2517446404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456.79300000000001</v>
      </c>
      <c r="K20" s="171">
        <v>637.35649999999998</v>
      </c>
      <c r="L20" s="172">
        <v>-0.28330063319999998</v>
      </c>
      <c r="M20" s="171">
        <v>2333.4580000000001</v>
      </c>
      <c r="N20" s="171">
        <v>2437.9699999999998</v>
      </c>
      <c r="O20" s="172">
        <v>-4.2868452000000001E-2</v>
      </c>
      <c r="P20" s="171">
        <v>5742.8154999999997</v>
      </c>
      <c r="Q20" s="172">
        <v>-5.3999874000000003E-3</v>
      </c>
      <c r="R20" s="171">
        <v>12228.6005</v>
      </c>
      <c r="S20" s="171">
        <v>11846.1975</v>
      </c>
      <c r="T20" s="172">
        <v>3.2280653800000003E-2</v>
      </c>
      <c r="U20" s="171">
        <v>49715.523000000001</v>
      </c>
      <c r="V20" s="171">
        <v>44627.11</v>
      </c>
      <c r="W20" s="172">
        <v>0.1140206704</v>
      </c>
      <c r="X20" s="171">
        <v>138149.69500000001</v>
      </c>
      <c r="Y20" s="172">
        <v>0.1138981157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456.79300000000001</v>
      </c>
      <c r="K21" s="171">
        <v>637.35649999999998</v>
      </c>
      <c r="L21" s="172">
        <v>-0.28330063319999998</v>
      </c>
      <c r="M21" s="171">
        <v>2333.4580000000001</v>
      </c>
      <c r="N21" s="171">
        <v>2437.9699999999998</v>
      </c>
      <c r="O21" s="172">
        <v>-4.2868452000000001E-2</v>
      </c>
      <c r="P21" s="171">
        <v>5742.8154999999997</v>
      </c>
      <c r="Q21" s="172">
        <v>-5.3999874000000003E-3</v>
      </c>
      <c r="R21" s="171">
        <v>12228.6005</v>
      </c>
      <c r="S21" s="171">
        <v>11846.1975</v>
      </c>
      <c r="T21" s="172">
        <v>3.2280653800000003E-2</v>
      </c>
      <c r="U21" s="171">
        <v>49715.523000000001</v>
      </c>
      <c r="V21" s="171">
        <v>44627.11</v>
      </c>
      <c r="W21" s="172">
        <v>0.1140206704</v>
      </c>
      <c r="X21" s="171">
        <v>138149.69500000001</v>
      </c>
      <c r="Y21" s="172">
        <v>0.1138981157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14172.513000000001</v>
      </c>
      <c r="C22" s="173">
        <v>16203.751</v>
      </c>
      <c r="D22" s="174">
        <v>-0.12535603640000001</v>
      </c>
      <c r="E22" s="173">
        <v>75682.278000000006</v>
      </c>
      <c r="F22" s="173">
        <v>81262.703999999998</v>
      </c>
      <c r="G22" s="174">
        <v>-6.8671428899999998E-2</v>
      </c>
      <c r="H22" s="173">
        <v>189818.87</v>
      </c>
      <c r="I22" s="174">
        <v>-4.3303968200000001E-2</v>
      </c>
      <c r="J22" s="173">
        <v>15504.147999999999</v>
      </c>
      <c r="K22" s="173">
        <v>15612.353999999999</v>
      </c>
      <c r="L22" s="174">
        <v>-6.9307934000000003E-3</v>
      </c>
      <c r="M22" s="173">
        <v>76324.726999999999</v>
      </c>
      <c r="N22" s="173">
        <v>77948.918999999994</v>
      </c>
      <c r="O22" s="174">
        <v>-2.0836619899999999E-2</v>
      </c>
      <c r="P22" s="173">
        <v>194815.44</v>
      </c>
      <c r="Q22" s="174">
        <v>-3.5539235699999998E-2</v>
      </c>
      <c r="R22" s="173">
        <v>340342.62400000001</v>
      </c>
      <c r="S22" s="173">
        <v>439885.18599999999</v>
      </c>
      <c r="T22" s="174">
        <v>-0.2262921443</v>
      </c>
      <c r="U22" s="173">
        <v>1644814.7050000001</v>
      </c>
      <c r="V22" s="173">
        <v>2057163.2919999999</v>
      </c>
      <c r="W22" s="174">
        <v>-0.20044523859999999</v>
      </c>
      <c r="X22" s="173">
        <v>5025865.6629999997</v>
      </c>
      <c r="Y22" s="174">
        <v>-5.0915428200000001E-2</v>
      </c>
      <c r="Z22" s="173">
        <v>700777.68099999998</v>
      </c>
      <c r="AA22" s="173">
        <v>700756.74899999995</v>
      </c>
      <c r="AB22" s="174">
        <v>2.98705649713924E-5</v>
      </c>
      <c r="AC22" s="173">
        <v>3458919.608</v>
      </c>
      <c r="AD22" s="173">
        <v>3449316.94</v>
      </c>
      <c r="AE22" s="174">
        <v>2.7839331999999998E-3</v>
      </c>
      <c r="AF22" s="173">
        <v>8544960.9690000005</v>
      </c>
      <c r="AG22" s="174">
        <v>1.7270115499999999E-2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118762.416</v>
      </c>
      <c r="S23" s="171">
        <v>32047.056</v>
      </c>
      <c r="T23" s="172">
        <v>2.7058760092999998</v>
      </c>
      <c r="U23" s="171">
        <v>512674.53100000002</v>
      </c>
      <c r="V23" s="171">
        <v>155039.23699999999</v>
      </c>
      <c r="W23" s="172">
        <v>2.3067405446999998</v>
      </c>
      <c r="X23" s="171">
        <v>960368.99800000002</v>
      </c>
      <c r="Y23" s="172">
        <v>1.1678919911000001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14172.513000000001</v>
      </c>
      <c r="C24" s="173">
        <v>16203.751</v>
      </c>
      <c r="D24" s="174">
        <v>-0.12535603640000001</v>
      </c>
      <c r="E24" s="173">
        <v>75682.278000000006</v>
      </c>
      <c r="F24" s="173">
        <v>81262.703999999998</v>
      </c>
      <c r="G24" s="174">
        <v>-6.8671428899999998E-2</v>
      </c>
      <c r="H24" s="173">
        <v>189818.87</v>
      </c>
      <c r="I24" s="174">
        <v>-4.3303968200000001E-2</v>
      </c>
      <c r="J24" s="173">
        <v>15504.147999999999</v>
      </c>
      <c r="K24" s="173">
        <v>15612.353999999999</v>
      </c>
      <c r="L24" s="174">
        <v>-6.9307934000000003E-3</v>
      </c>
      <c r="M24" s="173">
        <v>76324.726999999999</v>
      </c>
      <c r="N24" s="173">
        <v>77948.918999999994</v>
      </c>
      <c r="O24" s="174">
        <v>-2.0836619899999999E-2</v>
      </c>
      <c r="P24" s="173">
        <v>194815.44</v>
      </c>
      <c r="Q24" s="174">
        <v>-3.5539235699999998E-2</v>
      </c>
      <c r="R24" s="173">
        <v>459105.04</v>
      </c>
      <c r="S24" s="173">
        <v>471932.24200000003</v>
      </c>
      <c r="T24" s="174">
        <v>-2.71801773E-2</v>
      </c>
      <c r="U24" s="173">
        <v>2157489.236</v>
      </c>
      <c r="V24" s="173">
        <v>2212202.5290000001</v>
      </c>
      <c r="W24" s="174">
        <v>-2.47324973E-2</v>
      </c>
      <c r="X24" s="173">
        <v>5986234.6610000003</v>
      </c>
      <c r="Y24" s="174">
        <v>4.3173468499999999E-2</v>
      </c>
      <c r="Z24" s="173">
        <v>700777.68099999998</v>
      </c>
      <c r="AA24" s="173">
        <v>700756.74899999995</v>
      </c>
      <c r="AB24" s="174">
        <v>2.98705649713924E-5</v>
      </c>
      <c r="AC24" s="173">
        <v>3458919.608</v>
      </c>
      <c r="AD24" s="173">
        <v>3449316.94</v>
      </c>
      <c r="AE24" s="174">
        <v>2.7839331999999998E-3</v>
      </c>
      <c r="AF24" s="173">
        <v>8544960.9690000005</v>
      </c>
      <c r="AG24" s="174">
        <v>1.7270115499999999E-2</v>
      </c>
    </row>
    <row r="26" spans="1:33">
      <c r="A26" s="102" t="s">
        <v>103</v>
      </c>
      <c r="B26" s="162">
        <f>SUM(B24,J24,R24,Z24)</f>
        <v>1189559.382</v>
      </c>
      <c r="C26" s="162">
        <f>SUM(C24,K24,S24,AA24)</f>
        <v>1204505.0959999999</v>
      </c>
      <c r="D26" s="163">
        <f>((B26/C26)-1)*100</f>
        <v>-1.2408178304627038</v>
      </c>
      <c r="R26" s="163"/>
      <c r="Z26" s="163"/>
    </row>
    <row r="29" spans="1:33" ht="15">
      <c r="A29" s="134" t="s">
        <v>67</v>
      </c>
      <c r="B29" s="198" t="str">
        <f>A2</f>
        <v>Mayo 2023</v>
      </c>
      <c r="C29" s="199"/>
    </row>
    <row r="30" spans="1:33" ht="15">
      <c r="A30" s="134" t="s">
        <v>69</v>
      </c>
      <c r="B30" s="209" t="s">
        <v>72</v>
      </c>
      <c r="C30" s="210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3.6074999999999999</v>
      </c>
      <c r="C41" s="178">
        <v>640.36500000000001</v>
      </c>
      <c r="D41" s="167"/>
    </row>
    <row r="42" spans="1:4">
      <c r="A42" s="133" t="s">
        <v>4</v>
      </c>
      <c r="B42" s="178">
        <v>234.947495</v>
      </c>
      <c r="C42" s="178">
        <v>212.16494499999999</v>
      </c>
      <c r="D42" s="167"/>
    </row>
    <row r="43" spans="1:4">
      <c r="A43" s="133" t="s">
        <v>22</v>
      </c>
      <c r="B43" s="178">
        <v>2.13</v>
      </c>
      <c r="C43" s="178">
        <v>3.6960000000000002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2133.6079950000003</v>
      </c>
      <c r="C47" s="179">
        <f>SUM(C33:C46)</f>
        <v>3263.6959449999999</v>
      </c>
    </row>
    <row r="48" spans="1:4" ht="15">
      <c r="A48"/>
      <c r="B48" s="170"/>
      <c r="C48" s="183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11.304794534199331</v>
      </c>
      <c r="D52" s="165"/>
      <c r="F52" s="105" t="s">
        <v>10</v>
      </c>
      <c r="G52" s="106">
        <f>C35</f>
        <v>487.64</v>
      </c>
      <c r="H52" s="107">
        <f>G52/$G$62*100</f>
        <v>14.941342827816639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6.5335338228332791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15.955836841902871</v>
      </c>
    </row>
    <row r="54" spans="1:8">
      <c r="A54" s="105" t="s">
        <v>9</v>
      </c>
      <c r="B54" s="106">
        <f t="shared" si="1"/>
        <v>603.1</v>
      </c>
      <c r="C54" s="107">
        <f t="shared" si="0"/>
        <v>28.266673232071383</v>
      </c>
      <c r="D54" s="165"/>
      <c r="F54" s="105" t="s">
        <v>8</v>
      </c>
      <c r="G54" s="106">
        <f>C37</f>
        <v>482.64</v>
      </c>
      <c r="H54" s="107">
        <f t="shared" si="2"/>
        <v>14.788142282047048</v>
      </c>
    </row>
    <row r="55" spans="1:8">
      <c r="A55" s="105" t="s">
        <v>25</v>
      </c>
      <c r="B55" s="106">
        <f>B38</f>
        <v>822.9</v>
      </c>
      <c r="C55" s="107">
        <f t="shared" si="0"/>
        <v>38.568471899637771</v>
      </c>
      <c r="D55" s="165"/>
      <c r="F55" s="105" t="s">
        <v>25</v>
      </c>
      <c r="G55" s="106">
        <f>C38</f>
        <v>865.4</v>
      </c>
      <c r="H55" s="107">
        <f t="shared" si="2"/>
        <v>26.515950461800752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1.1704521696796728</v>
      </c>
    </row>
    <row r="57" spans="1:8">
      <c r="A57" s="105" t="s">
        <v>23</v>
      </c>
      <c r="B57" s="106">
        <f>B44</f>
        <v>11.523</v>
      </c>
      <c r="C57" s="107">
        <f t="shared" si="0"/>
        <v>0.54007109211268201</v>
      </c>
      <c r="D57" s="165"/>
      <c r="F57" s="105" t="s">
        <v>12</v>
      </c>
      <c r="G57" s="107">
        <f>C33</f>
        <v>1.52</v>
      </c>
      <c r="H57" s="107">
        <f t="shared" si="2"/>
        <v>4.6572965913955565E-2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1.7528993183211237</v>
      </c>
      <c r="D58" s="165"/>
      <c r="F58" s="105" t="s">
        <v>6</v>
      </c>
      <c r="G58" s="106">
        <f>C40</f>
        <v>11.32</v>
      </c>
      <c r="H58" s="107">
        <f t="shared" si="2"/>
        <v>0.34684603562235328</v>
      </c>
    </row>
    <row r="59" spans="1:8">
      <c r="A59" s="105" t="s">
        <v>54</v>
      </c>
      <c r="B59" s="106">
        <f>B45</f>
        <v>37.4</v>
      </c>
      <c r="C59" s="107">
        <f t="shared" si="3"/>
        <v>1.7528993183211237</v>
      </c>
      <c r="D59" s="165"/>
      <c r="F59" s="105" t="s">
        <v>5</v>
      </c>
      <c r="G59" s="106">
        <f>C41</f>
        <v>640.36500000000001</v>
      </c>
      <c r="H59" s="107">
        <f t="shared" si="2"/>
        <v>19.620853498348787</v>
      </c>
    </row>
    <row r="60" spans="1:8">
      <c r="A60" s="105" t="s">
        <v>5</v>
      </c>
      <c r="B60" s="106">
        <f>B41</f>
        <v>3.6074999999999999</v>
      </c>
      <c r="C60" s="107">
        <f t="shared" si="3"/>
        <v>0.1690797938728196</v>
      </c>
      <c r="D60" s="165"/>
      <c r="F60" s="105" t="s">
        <v>4</v>
      </c>
      <c r="G60" s="106">
        <f>C42</f>
        <v>212.16494499999999</v>
      </c>
      <c r="H60" s="107">
        <f t="shared" si="2"/>
        <v>6.5007570734350377</v>
      </c>
    </row>
    <row r="61" spans="1:8">
      <c r="A61" s="105" t="s">
        <v>4</v>
      </c>
      <c r="B61" s="106">
        <f>B42</f>
        <v>234.947495</v>
      </c>
      <c r="C61" s="107">
        <f t="shared" si="3"/>
        <v>11.011746091624481</v>
      </c>
      <c r="D61" s="165"/>
      <c r="F61" s="105" t="s">
        <v>22</v>
      </c>
      <c r="G61" s="106">
        <f>C43</f>
        <v>3.6960000000000002</v>
      </c>
      <c r="H61" s="107">
        <f t="shared" si="2"/>
        <v>0.11324584343288142</v>
      </c>
    </row>
    <row r="62" spans="1:8">
      <c r="A62" s="105" t="s">
        <v>22</v>
      </c>
      <c r="B62" s="106">
        <f>B43</f>
        <v>2.13</v>
      </c>
      <c r="C62" s="107">
        <f t="shared" si="3"/>
        <v>9.9830897005989114E-2</v>
      </c>
      <c r="D62" s="165"/>
      <c r="F62" s="108" t="s">
        <v>20</v>
      </c>
      <c r="G62" s="109">
        <f>SUM(G52:G61)</f>
        <v>3263.6959449999999</v>
      </c>
      <c r="H62" s="110">
        <f>SUM(H52:H61)</f>
        <v>100</v>
      </c>
    </row>
    <row r="63" spans="1:8">
      <c r="A63" s="108" t="s">
        <v>20</v>
      </c>
      <c r="B63" s="109">
        <f>SUM(B52:B62)</f>
        <v>2133.6079950000003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8">
        <f>(C68/SUM($C$68:$C$78))*100</f>
        <v>0</v>
      </c>
      <c r="F68" s="105" t="s">
        <v>10</v>
      </c>
      <c r="G68" s="107">
        <f>SUM(Z10,Z14)/Z$24*100</f>
        <v>21.784278686238583</v>
      </c>
    </row>
    <row r="69" spans="1:7">
      <c r="A69" s="105" t="s">
        <v>10</v>
      </c>
      <c r="B69" s="107">
        <f t="shared" ref="B69:B78" si="4">C69/$C$80*100</f>
        <v>2.7627657969880888</v>
      </c>
      <c r="C69" s="106">
        <f>R10</f>
        <v>12707.01</v>
      </c>
      <c r="D69" s="168">
        <f t="shared" ref="D69:D78" si="5">(C69/SUM($C$68:$C$78))*100</f>
        <v>3.7244780285323631</v>
      </c>
      <c r="F69" s="105" t="s">
        <v>9</v>
      </c>
      <c r="G69" s="107">
        <f>Z11/Z$24*100</f>
        <v>3.3487954363089942</v>
      </c>
    </row>
    <row r="70" spans="1:7">
      <c r="A70" s="105" t="s">
        <v>9</v>
      </c>
      <c r="B70" s="107">
        <f t="shared" si="4"/>
        <v>7.6571345074461963</v>
      </c>
      <c r="C70" s="106">
        <f>R11</f>
        <v>35218.072</v>
      </c>
      <c r="D70" s="168">
        <f t="shared" si="5"/>
        <v>10.322564896956154</v>
      </c>
      <c r="F70" s="105" t="s">
        <v>8</v>
      </c>
      <c r="G70" s="107">
        <f>Z12/Z$24*100</f>
        <v>12.112393316932705</v>
      </c>
    </row>
    <row r="71" spans="1:7">
      <c r="A71" s="105" t="s">
        <v>25</v>
      </c>
      <c r="B71" s="107">
        <f t="shared" si="4"/>
        <v>50.327534900469587</v>
      </c>
      <c r="C71" s="106">
        <f>R13</f>
        <v>231475.462</v>
      </c>
      <c r="D71" s="168">
        <f>(C71/SUM($C$68:$C$78))*100</f>
        <v>67.846430620844544</v>
      </c>
      <c r="F71" s="105" t="s">
        <v>25</v>
      </c>
      <c r="G71" s="107">
        <f>Z13/Z$24*100</f>
        <v>39.290775300818979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0.76479915361811279</v>
      </c>
      <c r="C73" s="106">
        <f>R19</f>
        <v>3517.6019999999999</v>
      </c>
      <c r="D73" s="168">
        <f t="shared" si="5"/>
        <v>1.0310239279044791</v>
      </c>
      <c r="F73" s="105" t="s">
        <v>12</v>
      </c>
      <c r="G73" s="107">
        <f>Z8/Z$24*100</f>
        <v>4.2511199782345806E-2</v>
      </c>
    </row>
    <row r="74" spans="1:7">
      <c r="A74" s="105" t="s">
        <v>55</v>
      </c>
      <c r="B74" s="107">
        <f t="shared" si="4"/>
        <v>2.6587497142468166</v>
      </c>
      <c r="C74" s="106">
        <f>R21</f>
        <v>12228.6005</v>
      </c>
      <c r="D74" s="168">
        <f t="shared" si="5"/>
        <v>3.584254193704882</v>
      </c>
      <c r="F74" s="105" t="s">
        <v>6</v>
      </c>
      <c r="G74" s="107">
        <f>Z15/Z$24*100</f>
        <v>0.29498585015580714</v>
      </c>
    </row>
    <row r="75" spans="1:7">
      <c r="A75" s="105" t="s">
        <v>54</v>
      </c>
      <c r="B75" s="107">
        <f t="shared" si="4"/>
        <v>2.6587497142468166</v>
      </c>
      <c r="C75" s="106">
        <f>R20</f>
        <v>12228.6005</v>
      </c>
      <c r="D75" s="168">
        <f t="shared" si="5"/>
        <v>3.584254193704882</v>
      </c>
      <c r="F75" s="105" t="s">
        <v>5</v>
      </c>
      <c r="G75" s="107">
        <f>Z16/Z$24*100</f>
        <v>18.686411475481908</v>
      </c>
    </row>
    <row r="76" spans="1:7">
      <c r="A76" s="105" t="s">
        <v>5</v>
      </c>
      <c r="B76" s="107">
        <f t="shared" si="4"/>
        <v>5.4279271361545582E-2</v>
      </c>
      <c r="C76" s="106">
        <f>R16</f>
        <v>249.65100000000001</v>
      </c>
      <c r="D76" s="168">
        <f t="shared" si="5"/>
        <v>7.3173757186083335E-2</v>
      </c>
      <c r="F76" s="105" t="s">
        <v>4</v>
      </c>
      <c r="G76" s="107">
        <f>Z17/Z$24*100</f>
        <v>4.3470152982797412</v>
      </c>
    </row>
    <row r="77" spans="1:7">
      <c r="A77" s="105" t="s">
        <v>4</v>
      </c>
      <c r="B77" s="107">
        <f t="shared" si="4"/>
        <v>7.2749873559590936</v>
      </c>
      <c r="C77" s="106">
        <f>R17</f>
        <v>33460.432000000001</v>
      </c>
      <c r="D77" s="168">
        <f t="shared" si="5"/>
        <v>9.8073932269826809</v>
      </c>
      <c r="F77" s="105" t="s">
        <v>22</v>
      </c>
      <c r="G77" s="107">
        <f>Z18/Z$24*100</f>
        <v>9.2833436000939087E-2</v>
      </c>
    </row>
    <row r="78" spans="1:7">
      <c r="A78" s="105" t="s">
        <v>22</v>
      </c>
      <c r="B78" s="107">
        <f t="shared" si="4"/>
        <v>1.9603293973471103E-2</v>
      </c>
      <c r="C78" s="106">
        <f>R18</f>
        <v>90.162999999999997</v>
      </c>
      <c r="D78" s="168">
        <f t="shared" si="5"/>
        <v>2.6427154183916078E-2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25.821396291690252</v>
      </c>
      <c r="C79" s="106">
        <f>R23</f>
        <v>118762.416</v>
      </c>
      <c r="D79" s="165"/>
    </row>
    <row r="80" spans="1:7">
      <c r="A80" s="108" t="s">
        <v>20</v>
      </c>
      <c r="B80" s="110">
        <f>SUM(B68:B79)</f>
        <v>99.999999999999986</v>
      </c>
      <c r="C80" s="109">
        <f>SUM(C68:C79)</f>
        <v>459938.00900000008</v>
      </c>
      <c r="D80" s="165"/>
    </row>
    <row r="85" spans="1:26" ht="15">
      <c r="A85" s="134"/>
      <c r="B85" s="134" t="s">
        <v>69</v>
      </c>
      <c r="C85" s="212" t="s">
        <v>13</v>
      </c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119</v>
      </c>
      <c r="Q86" s="180" t="s">
        <v>120</v>
      </c>
      <c r="R86" s="180" t="s">
        <v>121</v>
      </c>
      <c r="S86" s="180" t="s">
        <v>122</v>
      </c>
      <c r="T86" s="180" t="s">
        <v>126</v>
      </c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/>
      <c r="V87"/>
      <c r="W87"/>
      <c r="X87"/>
      <c r="Y87"/>
      <c r="Z87"/>
    </row>
    <row r="88" spans="1:26" ht="15">
      <c r="A88" s="206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-0.83296899999999996</v>
      </c>
      <c r="T88" s="175">
        <v>0</v>
      </c>
      <c r="U88"/>
      <c r="V88"/>
      <c r="W88"/>
      <c r="X88"/>
      <c r="Y88"/>
      <c r="Z88"/>
    </row>
    <row r="89" spans="1:26" ht="15">
      <c r="A89" s="207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12.70701</v>
      </c>
      <c r="T89" s="175">
        <v>5.2407250000000003</v>
      </c>
      <c r="U89"/>
      <c r="V89"/>
      <c r="W89"/>
      <c r="X89"/>
      <c r="Y89"/>
      <c r="Z89"/>
    </row>
    <row r="90" spans="1:26" ht="15">
      <c r="A90" s="207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35.218071999999999</v>
      </c>
      <c r="T90" s="175">
        <v>10.127160999999999</v>
      </c>
      <c r="U90"/>
      <c r="V90"/>
      <c r="W90"/>
      <c r="X90"/>
      <c r="Y90"/>
      <c r="Z90"/>
    </row>
    <row r="91" spans="1:26" ht="15">
      <c r="A91" s="207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231.47546199999999</v>
      </c>
      <c r="T91" s="175">
        <v>74.662330999999995</v>
      </c>
      <c r="U91"/>
      <c r="V91"/>
      <c r="W91"/>
      <c r="X91"/>
      <c r="Y91"/>
      <c r="Z91"/>
    </row>
    <row r="92" spans="1:26" ht="15">
      <c r="A92" s="207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/>
      <c r="V92"/>
      <c r="W92"/>
      <c r="X92"/>
      <c r="Y92"/>
      <c r="Z92"/>
    </row>
    <row r="93" spans="1:26" ht="15">
      <c r="A93" s="207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0.24965100000000001</v>
      </c>
      <c r="T93" s="175">
        <v>6.5599999999999999E-3</v>
      </c>
      <c r="U93"/>
      <c r="V93"/>
      <c r="W93"/>
      <c r="X93"/>
      <c r="Y93"/>
      <c r="Z93"/>
    </row>
    <row r="94" spans="1:26" ht="15">
      <c r="A94" s="207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29.670628000000001</v>
      </c>
      <c r="K94" s="175">
        <v>25.077711000000001</v>
      </c>
      <c r="L94" s="175">
        <v>23.563777000000002</v>
      </c>
      <c r="M94" s="175">
        <v>17.217534000000001</v>
      </c>
      <c r="N94" s="175">
        <v>15.034399000000001</v>
      </c>
      <c r="O94" s="175">
        <v>18.176791999999999</v>
      </c>
      <c r="P94" s="175">
        <v>21.958507000000001</v>
      </c>
      <c r="Q94" s="175">
        <v>34.017825999999999</v>
      </c>
      <c r="R94" s="175">
        <v>36.519472</v>
      </c>
      <c r="S94" s="175">
        <v>33.460431999999997</v>
      </c>
      <c r="T94" s="175">
        <v>9.4816280000000006</v>
      </c>
      <c r="U94"/>
      <c r="V94"/>
      <c r="W94"/>
      <c r="X94"/>
      <c r="Y94"/>
      <c r="Z94"/>
    </row>
    <row r="95" spans="1:26" ht="15">
      <c r="A95" s="207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9.0162999999999993E-2</v>
      </c>
      <c r="T95" s="175">
        <v>3.2320000000000002E-2</v>
      </c>
      <c r="U95"/>
      <c r="V95"/>
      <c r="W95"/>
      <c r="X95"/>
      <c r="Y95"/>
      <c r="Z95"/>
    </row>
    <row r="96" spans="1:26" ht="15">
      <c r="A96" s="207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2.5541079999999998</v>
      </c>
      <c r="N96" s="175">
        <v>2.9410020000000001</v>
      </c>
      <c r="O96" s="175">
        <v>3.055609</v>
      </c>
      <c r="P96" s="175">
        <v>3.0516040000000002</v>
      </c>
      <c r="Q96" s="175">
        <v>3.5856219999999999</v>
      </c>
      <c r="R96" s="175">
        <v>3.6202459999999999</v>
      </c>
      <c r="S96" s="175">
        <v>3.5176020000000001</v>
      </c>
      <c r="T96" s="175">
        <v>1.1011599999999999</v>
      </c>
      <c r="U96"/>
      <c r="V96"/>
      <c r="W96"/>
      <c r="X96"/>
      <c r="Y96"/>
      <c r="Z96"/>
    </row>
    <row r="97" spans="1:26" ht="15">
      <c r="A97" s="207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12.228600500000001</v>
      </c>
      <c r="T97" s="175">
        <v>4.8555999999999999</v>
      </c>
      <c r="U97"/>
      <c r="V97"/>
      <c r="W97"/>
      <c r="X97"/>
      <c r="Y97"/>
      <c r="Z97"/>
    </row>
    <row r="98" spans="1:26" ht="15">
      <c r="A98" s="207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12.228600500000001</v>
      </c>
      <c r="T98" s="175">
        <v>4.8555999999999999</v>
      </c>
      <c r="U98"/>
      <c r="V98"/>
      <c r="W98"/>
      <c r="X98"/>
      <c r="Y98"/>
      <c r="Z98"/>
    </row>
    <row r="99" spans="1:26" ht="15">
      <c r="A99" s="207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651.26713199999995</v>
      </c>
      <c r="K99" s="176">
        <v>524.07938200000001</v>
      </c>
      <c r="L99" s="176">
        <v>405.32882699999999</v>
      </c>
      <c r="M99" s="176">
        <v>306.54494699999998</v>
      </c>
      <c r="N99" s="176">
        <v>318.519248</v>
      </c>
      <c r="O99" s="176">
        <v>326.27484099999998</v>
      </c>
      <c r="P99" s="176">
        <v>342.12679300000002</v>
      </c>
      <c r="Q99" s="176">
        <v>330.70816200000002</v>
      </c>
      <c r="R99" s="176">
        <v>305.36228499999999</v>
      </c>
      <c r="S99" s="176">
        <v>340.342624</v>
      </c>
      <c r="T99" s="176">
        <v>110.363085</v>
      </c>
      <c r="U99"/>
      <c r="V99"/>
      <c r="W99"/>
      <c r="X99"/>
      <c r="Y99"/>
      <c r="Z99"/>
    </row>
    <row r="100" spans="1:26" ht="15">
      <c r="A100" s="207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118.762416</v>
      </c>
      <c r="T100" s="175">
        <v>33.528700000000001</v>
      </c>
      <c r="U100"/>
      <c r="V100"/>
      <c r="W100"/>
      <c r="X100"/>
      <c r="Y100"/>
      <c r="Z100"/>
    </row>
    <row r="101" spans="1:26" ht="15">
      <c r="A101" s="208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728.92016799999999</v>
      </c>
      <c r="K101" s="176">
        <v>594.72671800000001</v>
      </c>
      <c r="L101" s="176">
        <v>466.69421199999999</v>
      </c>
      <c r="M101" s="176">
        <v>362.53663299999999</v>
      </c>
      <c r="N101" s="176">
        <v>398.29807</v>
      </c>
      <c r="O101" s="176">
        <v>450.22497199999998</v>
      </c>
      <c r="P101" s="176">
        <v>431.86105500000002</v>
      </c>
      <c r="Q101" s="176">
        <v>412.90246999999999</v>
      </c>
      <c r="R101" s="176">
        <v>403.39569899999998</v>
      </c>
      <c r="S101" s="176">
        <v>459.10503999999997</v>
      </c>
      <c r="T101" s="176">
        <v>143.891785</v>
      </c>
      <c r="U101"/>
      <c r="V101"/>
      <c r="W101"/>
      <c r="X101"/>
      <c r="Y101"/>
      <c r="Z101"/>
    </row>
    <row r="102" spans="1:26" ht="15">
      <c r="A102" s="211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0.29023300000000002</v>
      </c>
      <c r="R102" s="175">
        <v>0.27610800000000002</v>
      </c>
      <c r="S102" s="175">
        <v>0.29790899999999998</v>
      </c>
      <c r="T102" s="175">
        <v>0</v>
      </c>
      <c r="U102"/>
      <c r="V102"/>
      <c r="W102"/>
      <c r="X102"/>
      <c r="Y102"/>
      <c r="Z102"/>
    </row>
    <row r="103" spans="1:26" ht="15">
      <c r="A103" s="207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152.672844</v>
      </c>
      <c r="T103" s="175">
        <v>50.958267999999997</v>
      </c>
      <c r="U103"/>
      <c r="V103"/>
      <c r="W103"/>
      <c r="X103"/>
      <c r="Y103"/>
      <c r="Z103"/>
    </row>
    <row r="104" spans="1:26" ht="15">
      <c r="A104" s="207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23.467611000000002</v>
      </c>
      <c r="T104" s="175">
        <v>5.627885</v>
      </c>
      <c r="U104"/>
      <c r="V104"/>
      <c r="W104"/>
      <c r="X104"/>
      <c r="Y104"/>
      <c r="Z104"/>
    </row>
    <row r="105" spans="1:26" ht="15">
      <c r="A105" s="207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84.880949000000001</v>
      </c>
      <c r="T105" s="175">
        <v>25.597104999999999</v>
      </c>
      <c r="U105"/>
      <c r="V105"/>
      <c r="W105"/>
      <c r="X105"/>
      <c r="Y105"/>
      <c r="Z105"/>
    </row>
    <row r="106" spans="1:26" ht="15">
      <c r="A106" s="207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275.34098399999999</v>
      </c>
      <c r="T106" s="175">
        <v>111.355687</v>
      </c>
      <c r="U106"/>
      <c r="V106"/>
      <c r="W106"/>
      <c r="X106"/>
      <c r="Y106"/>
      <c r="Z106"/>
    </row>
    <row r="107" spans="1:26" ht="15">
      <c r="A107" s="207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-1.3481E-2</v>
      </c>
      <c r="T107" s="175">
        <v>0</v>
      </c>
      <c r="U107"/>
      <c r="V107"/>
      <c r="W107"/>
      <c r="X107"/>
      <c r="Y107"/>
      <c r="Z107"/>
    </row>
    <row r="108" spans="1:26" ht="15">
      <c r="A108" s="207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2.0671949999999999</v>
      </c>
      <c r="T108" s="175">
        <v>6.9904999999999995E-2</v>
      </c>
      <c r="U108"/>
      <c r="V108"/>
      <c r="W108"/>
      <c r="X108"/>
      <c r="Y108"/>
      <c r="Z108"/>
    </row>
    <row r="109" spans="1:26" ht="15">
      <c r="A109" s="207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85.078937999999994</v>
      </c>
      <c r="M109" s="175">
        <v>102.221262</v>
      </c>
      <c r="N109" s="175">
        <v>37.913117999999997</v>
      </c>
      <c r="O109" s="175">
        <v>132.72816599999999</v>
      </c>
      <c r="P109" s="175">
        <v>42.685206000000001</v>
      </c>
      <c r="Q109" s="175">
        <v>131.43829199999999</v>
      </c>
      <c r="R109" s="175">
        <v>103.68509299999999</v>
      </c>
      <c r="S109" s="175">
        <v>130.95020099999999</v>
      </c>
      <c r="T109" s="175">
        <v>14.461156000000001</v>
      </c>
      <c r="U109"/>
      <c r="V109"/>
      <c r="W109"/>
      <c r="X109"/>
      <c r="Y109"/>
      <c r="Z109"/>
    </row>
    <row r="110" spans="1:26" ht="15">
      <c r="A110" s="207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34.434815</v>
      </c>
      <c r="J110" s="175">
        <v>32.263370000000002</v>
      </c>
      <c r="K110" s="175">
        <v>26.538736</v>
      </c>
      <c r="L110" s="175">
        <v>26.753266</v>
      </c>
      <c r="M110" s="175">
        <v>23.169461999999999</v>
      </c>
      <c r="N110" s="175">
        <v>19.006923</v>
      </c>
      <c r="O110" s="175">
        <v>22.065138000000001</v>
      </c>
      <c r="P110" s="175">
        <v>20.222797</v>
      </c>
      <c r="Q110" s="175">
        <v>32.125762000000002</v>
      </c>
      <c r="R110" s="175">
        <v>29.890439000000001</v>
      </c>
      <c r="S110" s="175">
        <v>30.462913</v>
      </c>
      <c r="T110" s="175">
        <v>6.6188890000000002</v>
      </c>
      <c r="U110"/>
      <c r="V110"/>
      <c r="W110"/>
      <c r="X110"/>
      <c r="Y110"/>
      <c r="Z110"/>
    </row>
    <row r="111" spans="1:26" ht="15">
      <c r="A111" s="207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0.65055600000000002</v>
      </c>
      <c r="T111" s="175">
        <v>0</v>
      </c>
      <c r="U111"/>
      <c r="V111"/>
      <c r="W111"/>
      <c r="X111"/>
      <c r="Y111"/>
      <c r="Z111"/>
    </row>
    <row r="112" spans="1:26" ht="15">
      <c r="A112" s="207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 s="175">
        <v>0</v>
      </c>
      <c r="U112"/>
      <c r="V112"/>
      <c r="W112"/>
      <c r="X112"/>
      <c r="Y112"/>
      <c r="Z112"/>
    </row>
    <row r="113" spans="1:26" ht="15">
      <c r="A113" s="207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754.31223199999999</v>
      </c>
      <c r="J113" s="176">
        <v>757.16552300000001</v>
      </c>
      <c r="K113" s="176">
        <v>724.22376499999996</v>
      </c>
      <c r="L113" s="176">
        <v>728.54527199999995</v>
      </c>
      <c r="M113" s="176">
        <v>709.22855300000003</v>
      </c>
      <c r="N113" s="176">
        <v>718.89893700000005</v>
      </c>
      <c r="O113" s="176">
        <v>719.36431300000004</v>
      </c>
      <c r="P113" s="176">
        <v>650.24016300000005</v>
      </c>
      <c r="Q113" s="176">
        <v>712.83775600000001</v>
      </c>
      <c r="R113" s="176">
        <v>675.69969500000002</v>
      </c>
      <c r="S113" s="176">
        <v>700.77768100000003</v>
      </c>
      <c r="T113" s="176">
        <v>214.688895</v>
      </c>
      <c r="U113"/>
      <c r="V113"/>
      <c r="W113"/>
      <c r="X113"/>
      <c r="Y113"/>
      <c r="Z113"/>
    </row>
    <row r="114" spans="1:26" ht="15">
      <c r="A114" s="208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754.31223199999999</v>
      </c>
      <c r="J114" s="176">
        <v>757.16552300000001</v>
      </c>
      <c r="K114" s="176">
        <v>724.22376499999996</v>
      </c>
      <c r="L114" s="176">
        <v>728.54527199999995</v>
      </c>
      <c r="M114" s="176">
        <v>709.22855300000003</v>
      </c>
      <c r="N114" s="176">
        <v>718.89893700000005</v>
      </c>
      <c r="O114" s="176">
        <v>719.36431300000004</v>
      </c>
      <c r="P114" s="176">
        <v>650.24016300000005</v>
      </c>
      <c r="Q114" s="176">
        <v>712.83775600000001</v>
      </c>
      <c r="R114" s="176">
        <v>675.69969500000002</v>
      </c>
      <c r="S114" s="176">
        <v>700.77768100000003</v>
      </c>
      <c r="T114" s="176">
        <v>214.688895</v>
      </c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4" t="s">
        <v>73</v>
      </c>
      <c r="C117" s="111" t="str">
        <f>TEXT(EDATE(D117,-1),"mmmm aaaa")</f>
        <v>mayo 2022</v>
      </c>
      <c r="D117" s="111" t="str">
        <f t="shared" ref="D117:M117" si="6">TEXT(EDATE(E117,-1),"mmmm aaaa")</f>
        <v>junio 2022</v>
      </c>
      <c r="E117" s="111" t="str">
        <f t="shared" si="6"/>
        <v>julio 2022</v>
      </c>
      <c r="F117" s="111" t="str">
        <f t="shared" si="6"/>
        <v>agosto 2022</v>
      </c>
      <c r="G117" s="111" t="str">
        <f t="shared" si="6"/>
        <v>septiembre 2022</v>
      </c>
      <c r="H117" s="111" t="str">
        <f t="shared" si="6"/>
        <v>octubre 2022</v>
      </c>
      <c r="I117" s="111" t="str">
        <f t="shared" si="6"/>
        <v>noviembre 2022</v>
      </c>
      <c r="J117" s="111" t="str">
        <f t="shared" si="6"/>
        <v>diciembre 2022</v>
      </c>
      <c r="K117" s="111" t="str">
        <f t="shared" si="6"/>
        <v>enero 2023</v>
      </c>
      <c r="L117" s="111" t="str">
        <f t="shared" si="6"/>
        <v>febrero 2023</v>
      </c>
      <c r="M117" s="111" t="str">
        <f t="shared" si="6"/>
        <v>marzo 2023</v>
      </c>
      <c r="N117" s="111" t="str">
        <f>TEXT(EDATE(O117,-1),"mmmm aaaa")</f>
        <v>abril 2023</v>
      </c>
      <c r="O117" s="112" t="str">
        <f>A2</f>
        <v>Mayo 2023</v>
      </c>
    </row>
    <row r="118" spans="1:26">
      <c r="B118" s="205"/>
      <c r="C118" s="121" t="str">
        <f>TEXT(EDATE($A$2,-12),"mmm")&amp;".-"&amp;TEXT(EDATE($A$2,-12),"aa")</f>
        <v>may.-22</v>
      </c>
      <c r="D118" s="121" t="str">
        <f>TEXT(EDATE($A$2,-11),"mmm")&amp;".-"&amp;TEXT(EDATE($A$2,-11),"aa")</f>
        <v>jun.-22</v>
      </c>
      <c r="E118" s="121" t="str">
        <f>TEXT(EDATE($A$2,-10),"mmm")&amp;".-"&amp;TEXT(EDATE($A$2,-10),"aa")</f>
        <v>jul.-22</v>
      </c>
      <c r="F118" s="121" t="str">
        <f>TEXT(EDATE($A$2,-9),"mmm")&amp;".-"&amp;TEXT(EDATE($A$2,-9),"aa")</f>
        <v>ago.-22</v>
      </c>
      <c r="G118" s="121" t="str">
        <f>TEXT(EDATE($A$2,-8),"mmm")&amp;".-"&amp;TEXT(EDATE($A$2,-8),"aa")</f>
        <v>sep.-22</v>
      </c>
      <c r="H118" s="121" t="str">
        <f>TEXT(EDATE($A$2,-7),"mmm")&amp;".-"&amp;TEXT(EDATE($A$2,-7),"aa")</f>
        <v>oct.-22</v>
      </c>
      <c r="I118" s="121" t="str">
        <f>TEXT(EDATE($A$2,-6),"mmm")&amp;".-"&amp;TEXT(EDATE($A$2,-6),"aa")</f>
        <v>nov.-22</v>
      </c>
      <c r="J118" s="121" t="str">
        <f>TEXT(EDATE($A$2,-5),"mmm")&amp;".-"&amp;TEXT(EDATE($A$2,-5),"aa")</f>
        <v>dic.-22</v>
      </c>
      <c r="K118" s="121" t="str">
        <f>TEXT(EDATE($A$2,-4),"mmm")&amp;".-"&amp;TEXT(EDATE($A$2,-4),"aa")</f>
        <v>ene.-23</v>
      </c>
      <c r="L118" s="121" t="str">
        <f>TEXT(EDATE($A$2,-3),"mmm")&amp;".-"&amp;TEXT(EDATE($A$2,-3),"aa")</f>
        <v>feb.-23</v>
      </c>
      <c r="M118" s="121" t="str">
        <f>TEXT(EDATE($A$2,-2),"mmm")&amp;".-"&amp;TEXT(EDATE($A$2,-2),"aa")</f>
        <v>mar.-23</v>
      </c>
      <c r="N118" s="121" t="str">
        <f>TEXT(EDATE($A$2,-1),"mmm")&amp;".-"&amp;TEXT(EDATE($A$2,-1),"aa")</f>
        <v>abr.-23</v>
      </c>
      <c r="O118" s="143" t="str">
        <f>TEXT($A$2,"mmm")&amp;".-"&amp;TEXT($A$2,"aa")</f>
        <v>may.-23</v>
      </c>
    </row>
    <row r="119" spans="1:26">
      <c r="A119" s="201" t="s">
        <v>76</v>
      </c>
      <c r="B119" s="122" t="s">
        <v>11</v>
      </c>
      <c r="C119" s="123">
        <f>HLOOKUP(C$117,$86:$101,3,FALSE)</f>
        <v>-1.0302370000000001</v>
      </c>
      <c r="D119" s="123">
        <f t="shared" ref="D119:N119" si="7">HLOOKUP(D$117,$86:$101,3,FALSE)</f>
        <v>29.141857000000002</v>
      </c>
      <c r="E119" s="123">
        <f t="shared" si="7"/>
        <v>50.189168000000002</v>
      </c>
      <c r="F119" s="123">
        <f t="shared" si="7"/>
        <v>5.2653150000000002</v>
      </c>
      <c r="G119" s="123">
        <f t="shared" si="7"/>
        <v>-0.60380599999999995</v>
      </c>
      <c r="H119" s="123">
        <f t="shared" si="7"/>
        <v>-0.613232</v>
      </c>
      <c r="I119" s="123">
        <f t="shared" si="7"/>
        <v>-0.58811800000000003</v>
      </c>
      <c r="J119" s="123">
        <f t="shared" si="7"/>
        <v>-0.62679200000000002</v>
      </c>
      <c r="K119" s="123">
        <f t="shared" si="7"/>
        <v>-0.72771799999999998</v>
      </c>
      <c r="L119" s="123">
        <f t="shared" si="7"/>
        <v>-0.70697299999999996</v>
      </c>
      <c r="M119" s="123">
        <f t="shared" si="7"/>
        <v>-0.51834000000000002</v>
      </c>
      <c r="N119" s="123">
        <f t="shared" si="7"/>
        <v>-0.60865999999999998</v>
      </c>
      <c r="O119" s="124">
        <f>HLOOKUP(O$117,$86:$101,3,FALSE)</f>
        <v>-0.83296899999999996</v>
      </c>
    </row>
    <row r="120" spans="1:26">
      <c r="A120" s="202"/>
      <c r="B120" s="105" t="s">
        <v>10</v>
      </c>
      <c r="C120" s="107">
        <f>HLOOKUP(C$117,$86:$101,4,FALSE)</f>
        <v>43.134307</v>
      </c>
      <c r="D120" s="107">
        <f t="shared" ref="D120:O120" si="8">HLOOKUP(D$117,$86:$101,4,FALSE)</f>
        <v>52.984195999999997</v>
      </c>
      <c r="E120" s="107">
        <f t="shared" si="8"/>
        <v>59.042844000000002</v>
      </c>
      <c r="F120" s="107">
        <f t="shared" si="8"/>
        <v>60.455578000000003</v>
      </c>
      <c r="G120" s="107">
        <f t="shared" si="8"/>
        <v>32.713324999999998</v>
      </c>
      <c r="H120" s="107">
        <f t="shared" si="8"/>
        <v>17.166284999999998</v>
      </c>
      <c r="I120" s="107">
        <f t="shared" si="8"/>
        <v>9.2819520000000004</v>
      </c>
      <c r="J120" s="107">
        <f t="shared" si="8"/>
        <v>2.2104400000000002</v>
      </c>
      <c r="K120" s="107">
        <f t="shared" si="8"/>
        <v>5.0179289999999996</v>
      </c>
      <c r="L120" s="107">
        <f t="shared" si="8"/>
        <v>15.008727</v>
      </c>
      <c r="M120" s="107">
        <f t="shared" si="8"/>
        <v>6.2192920000000003</v>
      </c>
      <c r="N120" s="107">
        <f t="shared" si="8"/>
        <v>7.134449</v>
      </c>
      <c r="O120" s="124">
        <f t="shared" si="8"/>
        <v>12.70701</v>
      </c>
    </row>
    <row r="121" spans="1:26">
      <c r="A121" s="202"/>
      <c r="B121" s="105" t="s">
        <v>9</v>
      </c>
      <c r="C121" s="107">
        <f>HLOOKUP(C$117,$86:$101,5,FALSE)</f>
        <v>26.908512000000002</v>
      </c>
      <c r="D121" s="107">
        <f t="shared" ref="D121:O121" si="9">HLOOKUP(D$117,$86:$101,5,FALSE)</f>
        <v>32.914068</v>
      </c>
      <c r="E121" s="107">
        <f t="shared" si="9"/>
        <v>59.770274999999998</v>
      </c>
      <c r="F121" s="107">
        <f t="shared" si="9"/>
        <v>67.572283999999996</v>
      </c>
      <c r="G121" s="107">
        <f t="shared" si="9"/>
        <v>56.444971000000002</v>
      </c>
      <c r="H121" s="107">
        <f t="shared" si="9"/>
        <v>42.597769999999997</v>
      </c>
      <c r="I121" s="107">
        <f t="shared" si="9"/>
        <v>23.111573</v>
      </c>
      <c r="J121" s="107">
        <f t="shared" si="9"/>
        <v>26.769898999999999</v>
      </c>
      <c r="K121" s="107">
        <f t="shared" si="9"/>
        <v>49.385100000000001</v>
      </c>
      <c r="L121" s="107">
        <f t="shared" si="9"/>
        <v>32.328426999999998</v>
      </c>
      <c r="M121" s="107">
        <f t="shared" si="9"/>
        <v>34.532919999999997</v>
      </c>
      <c r="N121" s="107">
        <f t="shared" si="9"/>
        <v>29.44258</v>
      </c>
      <c r="O121" s="124">
        <f t="shared" si="9"/>
        <v>35.218071999999999</v>
      </c>
    </row>
    <row r="122" spans="1:26" ht="14.25">
      <c r="A122" s="202"/>
      <c r="B122" s="105" t="s">
        <v>74</v>
      </c>
      <c r="C122" s="107">
        <f>HLOOKUP(C$117,$86:$101,6,FALSE)</f>
        <v>317.55595499999998</v>
      </c>
      <c r="D122" s="107">
        <f t="shared" ref="D122:O122" si="10">HLOOKUP(D$117,$86:$101,6,FALSE)</f>
        <v>367.58788099999998</v>
      </c>
      <c r="E122" s="107">
        <f t="shared" si="10"/>
        <v>396.959791</v>
      </c>
      <c r="F122" s="107">
        <f t="shared" si="10"/>
        <v>456.377207</v>
      </c>
      <c r="G122" s="107">
        <f t="shared" si="10"/>
        <v>377.07382699999999</v>
      </c>
      <c r="H122" s="107">
        <f t="shared" si="10"/>
        <v>297.32130999999998</v>
      </c>
      <c r="I122" s="107">
        <f t="shared" si="10"/>
        <v>234.47985499999999</v>
      </c>
      <c r="J122" s="107">
        <f t="shared" si="10"/>
        <v>251.18496099999999</v>
      </c>
      <c r="K122" s="107">
        <f t="shared" si="10"/>
        <v>236.33414099999999</v>
      </c>
      <c r="L122" s="107">
        <f t="shared" si="10"/>
        <v>250.50749099999999</v>
      </c>
      <c r="M122" s="107">
        <f t="shared" si="10"/>
        <v>233.28242</v>
      </c>
      <c r="N122" s="107">
        <f t="shared" si="10"/>
        <v>207.738203</v>
      </c>
      <c r="O122" s="124">
        <f t="shared" si="10"/>
        <v>231.47546199999999</v>
      </c>
    </row>
    <row r="123" spans="1:26">
      <c r="A123" s="202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2.6835830000000001</v>
      </c>
      <c r="F123" s="107">
        <f t="shared" si="11"/>
        <v>4.441192</v>
      </c>
      <c r="G123" s="107">
        <f t="shared" si="11"/>
        <v>4.0880280000000004</v>
      </c>
      <c r="H123" s="107">
        <f t="shared" si="11"/>
        <v>0.904698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2"/>
      <c r="B124" s="105" t="s">
        <v>5</v>
      </c>
      <c r="C124" s="107">
        <f>HLOOKUP(C$117,$86:$102,8,FALSE)</f>
        <v>0.16079099999999999</v>
      </c>
      <c r="D124" s="107">
        <f t="shared" ref="D124:O124" si="12">HLOOKUP(D$117,$86:$102,8,FALSE)</f>
        <v>6.1459E-2</v>
      </c>
      <c r="E124" s="107">
        <f t="shared" si="12"/>
        <v>3.0289E-2</v>
      </c>
      <c r="F124" s="107">
        <f t="shared" si="12"/>
        <v>3.2219999999999999E-2</v>
      </c>
      <c r="G124" s="107">
        <f t="shared" si="12"/>
        <v>1.2760000000000001E-2</v>
      </c>
      <c r="H124" s="107">
        <f t="shared" si="12"/>
        <v>2.8530000000000001E-3</v>
      </c>
      <c r="I124" s="107">
        <f t="shared" si="12"/>
        <v>2.5883E-2</v>
      </c>
      <c r="J124" s="107">
        <f t="shared" si="12"/>
        <v>0.100989</v>
      </c>
      <c r="K124" s="107">
        <f t="shared" si="12"/>
        <v>0.21573000000000001</v>
      </c>
      <c r="L124" s="107">
        <f t="shared" si="12"/>
        <v>0.18323999999999999</v>
      </c>
      <c r="M124" s="107">
        <f t="shared" si="12"/>
        <v>0.20035</v>
      </c>
      <c r="N124" s="107">
        <f t="shared" si="12"/>
        <v>0.12734500000000001</v>
      </c>
      <c r="O124" s="124">
        <f t="shared" si="12"/>
        <v>0.24965100000000001</v>
      </c>
    </row>
    <row r="125" spans="1:26">
      <c r="A125" s="202"/>
      <c r="B125" s="105" t="s">
        <v>4</v>
      </c>
      <c r="C125" s="107">
        <f>HLOOKUP(C$117,$86:$102,9,FALSE)</f>
        <v>27.351011</v>
      </c>
      <c r="D125" s="107">
        <f t="shared" ref="D125:O125" si="13">HLOOKUP(D$117,$86:$102,9,FALSE)</f>
        <v>29.26784</v>
      </c>
      <c r="E125" s="107">
        <f t="shared" si="13"/>
        <v>33.069572000000001</v>
      </c>
      <c r="F125" s="107">
        <f t="shared" si="13"/>
        <v>29.670628000000001</v>
      </c>
      <c r="G125" s="107">
        <f t="shared" si="13"/>
        <v>25.077711000000001</v>
      </c>
      <c r="H125" s="107">
        <f t="shared" si="13"/>
        <v>23.563777000000002</v>
      </c>
      <c r="I125" s="107">
        <f t="shared" si="13"/>
        <v>17.217534000000001</v>
      </c>
      <c r="J125" s="107">
        <f t="shared" si="13"/>
        <v>15.034399000000001</v>
      </c>
      <c r="K125" s="107">
        <f t="shared" si="13"/>
        <v>18.176791999999999</v>
      </c>
      <c r="L125" s="107">
        <f t="shared" si="13"/>
        <v>21.958507000000001</v>
      </c>
      <c r="M125" s="107">
        <f t="shared" si="13"/>
        <v>34.017825999999999</v>
      </c>
      <c r="N125" s="107">
        <f t="shared" si="13"/>
        <v>36.519472</v>
      </c>
      <c r="O125" s="124">
        <f t="shared" si="13"/>
        <v>33.460431999999997</v>
      </c>
    </row>
    <row r="126" spans="1:26">
      <c r="A126" s="202"/>
      <c r="B126" s="113" t="s">
        <v>22</v>
      </c>
      <c r="C126" s="107">
        <f>HLOOKUP(C$117,$86:$102,10,FALSE)</f>
        <v>0.166327</v>
      </c>
      <c r="D126" s="107">
        <f t="shared" ref="D126:O126" si="14">HLOOKUP(D$117,$86:$102,10,FALSE)</f>
        <v>0.111179</v>
      </c>
      <c r="E126" s="107">
        <f t="shared" si="14"/>
        <v>9.5128000000000004E-2</v>
      </c>
      <c r="F126" s="107">
        <f t="shared" si="14"/>
        <v>5.6752999999999998E-2</v>
      </c>
      <c r="G126" s="107">
        <f t="shared" si="14"/>
        <v>7.1924000000000002E-2</v>
      </c>
      <c r="H126" s="107">
        <f t="shared" si="14"/>
        <v>9.6991999999999995E-2</v>
      </c>
      <c r="I126" s="107">
        <f t="shared" si="14"/>
        <v>8.4503999999999996E-2</v>
      </c>
      <c r="J126" s="107">
        <f t="shared" si="14"/>
        <v>7.7099000000000001E-2</v>
      </c>
      <c r="K126" s="107">
        <f t="shared" si="14"/>
        <v>9.3608999999999998E-2</v>
      </c>
      <c r="L126" s="107">
        <f t="shared" si="14"/>
        <v>0.13599800000000001</v>
      </c>
      <c r="M126" s="107">
        <f t="shared" si="14"/>
        <v>0.11230800000000001</v>
      </c>
      <c r="N126" s="107">
        <f t="shared" si="14"/>
        <v>7.399E-2</v>
      </c>
      <c r="O126" s="124">
        <f t="shared" si="14"/>
        <v>9.0162999999999993E-2</v>
      </c>
    </row>
    <row r="127" spans="1:26">
      <c r="A127" s="202"/>
      <c r="B127" s="113" t="s">
        <v>23</v>
      </c>
      <c r="C127" s="107">
        <f>HLOOKUP(C$117,$86:$102,11,FALSE)</f>
        <v>1.9461250000000001</v>
      </c>
      <c r="D127" s="107">
        <f t="shared" ref="D127:O127" si="15">HLOOKUP(D$117,$86:$102,11,FALSE)</f>
        <v>1.5363420000000001</v>
      </c>
      <c r="E127" s="107">
        <f t="shared" si="15"/>
        <v>1.1719729999999999</v>
      </c>
      <c r="F127" s="107">
        <f t="shared" si="15"/>
        <v>5.1333999999999998E-2</v>
      </c>
      <c r="G127" s="107">
        <f t="shared" si="15"/>
        <v>2.0373130000000002</v>
      </c>
      <c r="H127" s="107">
        <f t="shared" si="15"/>
        <v>1.826864</v>
      </c>
      <c r="I127" s="107">
        <f t="shared" si="15"/>
        <v>2.5541079999999998</v>
      </c>
      <c r="J127" s="107">
        <f t="shared" si="15"/>
        <v>2.9410020000000001</v>
      </c>
      <c r="K127" s="107">
        <f t="shared" si="15"/>
        <v>3.055609</v>
      </c>
      <c r="L127" s="107">
        <f t="shared" si="15"/>
        <v>3.0516040000000002</v>
      </c>
      <c r="M127" s="107">
        <f t="shared" si="15"/>
        <v>3.5856219999999999</v>
      </c>
      <c r="N127" s="107">
        <f t="shared" si="15"/>
        <v>3.6202459999999999</v>
      </c>
      <c r="O127" s="124">
        <f t="shared" si="15"/>
        <v>3.5176020000000001</v>
      </c>
    </row>
    <row r="128" spans="1:26">
      <c r="A128" s="202"/>
      <c r="B128" s="105" t="s">
        <v>55</v>
      </c>
      <c r="C128" s="107">
        <f t="shared" ref="C128:O128" si="16">HLOOKUP(C$117,$86:$102,13,FALSE)</f>
        <v>11.846197500000001</v>
      </c>
      <c r="D128" s="107">
        <f t="shared" si="16"/>
        <v>13.186323</v>
      </c>
      <c r="E128" s="107">
        <f t="shared" si="16"/>
        <v>16.1606655</v>
      </c>
      <c r="F128" s="107">
        <f t="shared" si="16"/>
        <v>13.6723105</v>
      </c>
      <c r="G128" s="107">
        <f t="shared" si="16"/>
        <v>13.5816645</v>
      </c>
      <c r="H128" s="107">
        <f t="shared" si="16"/>
        <v>11.230755</v>
      </c>
      <c r="I128" s="107">
        <f t="shared" si="16"/>
        <v>10.188828000000001</v>
      </c>
      <c r="J128" s="107">
        <f t="shared" si="16"/>
        <v>10.4136255</v>
      </c>
      <c r="K128" s="107">
        <f t="shared" si="16"/>
        <v>7.3618245</v>
      </c>
      <c r="L128" s="107">
        <f t="shared" si="16"/>
        <v>9.8298860000000001</v>
      </c>
      <c r="M128" s="107">
        <f t="shared" si="16"/>
        <v>9.6378819999999994</v>
      </c>
      <c r="N128" s="107">
        <f t="shared" si="16"/>
        <v>10.65733</v>
      </c>
      <c r="O128" s="124">
        <f t="shared" si="16"/>
        <v>12.228600500000001</v>
      </c>
    </row>
    <row r="129" spans="1:15">
      <c r="A129" s="202"/>
      <c r="B129" s="105" t="s">
        <v>54</v>
      </c>
      <c r="C129" s="107">
        <f>HLOOKUP(C$117,$86:$102,12,FALSE)</f>
        <v>11.846197500000001</v>
      </c>
      <c r="D129" s="107">
        <f t="shared" ref="D129:O129" si="17">HLOOKUP(D$117,$86:$102,12,FALSE)</f>
        <v>13.186323</v>
      </c>
      <c r="E129" s="107">
        <f t="shared" si="17"/>
        <v>16.1606655</v>
      </c>
      <c r="F129" s="107">
        <f t="shared" si="17"/>
        <v>13.6723105</v>
      </c>
      <c r="G129" s="107">
        <f t="shared" si="17"/>
        <v>13.5816645</v>
      </c>
      <c r="H129" s="107">
        <f t="shared" si="17"/>
        <v>11.230755</v>
      </c>
      <c r="I129" s="107">
        <f t="shared" si="17"/>
        <v>10.188828000000001</v>
      </c>
      <c r="J129" s="107">
        <f t="shared" si="17"/>
        <v>10.4136255</v>
      </c>
      <c r="K129" s="107">
        <f t="shared" si="17"/>
        <v>7.3618245</v>
      </c>
      <c r="L129" s="107">
        <f t="shared" si="17"/>
        <v>9.8298860000000001</v>
      </c>
      <c r="M129" s="107">
        <f t="shared" si="17"/>
        <v>9.6378819999999994</v>
      </c>
      <c r="N129" s="107">
        <f t="shared" si="17"/>
        <v>10.65733</v>
      </c>
      <c r="O129" s="124">
        <f t="shared" si="17"/>
        <v>12.228600500000001</v>
      </c>
    </row>
    <row r="130" spans="1:15">
      <c r="A130" s="202"/>
      <c r="B130" s="114" t="s">
        <v>2</v>
      </c>
      <c r="C130" s="115">
        <f>HLOOKUP(C$117,$86:$102,14,FALSE)</f>
        <v>439.88518599999998</v>
      </c>
      <c r="D130" s="115">
        <f t="shared" ref="D130:O130" si="18">HLOOKUP(D$117,$86:$102,14,FALSE)</f>
        <v>539.97746800000004</v>
      </c>
      <c r="E130" s="115">
        <f t="shared" si="18"/>
        <v>635.33395399999995</v>
      </c>
      <c r="F130" s="115">
        <f t="shared" si="18"/>
        <v>651.26713199999995</v>
      </c>
      <c r="G130" s="115">
        <f t="shared" si="18"/>
        <v>524.07938200000001</v>
      </c>
      <c r="H130" s="115">
        <f t="shared" si="18"/>
        <v>405.32882699999999</v>
      </c>
      <c r="I130" s="115">
        <f t="shared" si="18"/>
        <v>306.54494699999998</v>
      </c>
      <c r="J130" s="115">
        <f t="shared" si="18"/>
        <v>318.519248</v>
      </c>
      <c r="K130" s="115">
        <f t="shared" si="18"/>
        <v>326.27484099999998</v>
      </c>
      <c r="L130" s="115">
        <f t="shared" si="18"/>
        <v>342.12679300000002</v>
      </c>
      <c r="M130" s="115">
        <f t="shared" si="18"/>
        <v>330.70816200000002</v>
      </c>
      <c r="N130" s="115">
        <f t="shared" si="18"/>
        <v>305.36228499999999</v>
      </c>
      <c r="O130" s="125">
        <f t="shared" si="18"/>
        <v>340.342624</v>
      </c>
    </row>
    <row r="131" spans="1:15">
      <c r="A131" s="202"/>
      <c r="B131" s="105" t="s">
        <v>21</v>
      </c>
      <c r="C131" s="116">
        <f>HLOOKUP(C$117,$86:$102,15,FALSE)</f>
        <v>32.047055999999998</v>
      </c>
      <c r="D131" s="116">
        <f t="shared" ref="D131:O131" si="19">HLOOKUP(D$117,$86:$102,15,FALSE)</f>
        <v>35.225064000000003</v>
      </c>
      <c r="E131" s="116">
        <f t="shared" si="19"/>
        <v>67.033137999999994</v>
      </c>
      <c r="F131" s="116">
        <f t="shared" si="19"/>
        <v>77.653036</v>
      </c>
      <c r="G131" s="116">
        <f t="shared" si="19"/>
        <v>70.647335999999996</v>
      </c>
      <c r="H131" s="116">
        <f t="shared" si="19"/>
        <v>61.365385000000003</v>
      </c>
      <c r="I131" s="116">
        <f t="shared" si="19"/>
        <v>55.991686000000001</v>
      </c>
      <c r="J131" s="116">
        <f t="shared" si="19"/>
        <v>79.778822000000005</v>
      </c>
      <c r="K131" s="116">
        <f t="shared" si="19"/>
        <v>123.950131</v>
      </c>
      <c r="L131" s="116">
        <f t="shared" si="19"/>
        <v>89.734262000000001</v>
      </c>
      <c r="M131" s="116">
        <f t="shared" si="19"/>
        <v>82.194308000000007</v>
      </c>
      <c r="N131" s="116">
        <f t="shared" si="19"/>
        <v>98.033413999999993</v>
      </c>
      <c r="O131" s="116">
        <f t="shared" si="19"/>
        <v>118.762416</v>
      </c>
    </row>
    <row r="132" spans="1:15">
      <c r="A132" s="202"/>
      <c r="B132" s="117" t="s">
        <v>1</v>
      </c>
      <c r="C132" s="118">
        <f>HLOOKUP(C$117,$86:$102,16,FALSE)</f>
        <v>471.93224199999997</v>
      </c>
      <c r="D132" s="118">
        <f t="shared" ref="D132:O132" si="20">HLOOKUP(D$117,$86:$102,16,FALSE)</f>
        <v>575.20253200000002</v>
      </c>
      <c r="E132" s="118">
        <f t="shared" si="20"/>
        <v>702.36709199999996</v>
      </c>
      <c r="F132" s="118">
        <f t="shared" si="20"/>
        <v>728.92016799999999</v>
      </c>
      <c r="G132" s="118">
        <f t="shared" si="20"/>
        <v>594.72671800000001</v>
      </c>
      <c r="H132" s="118">
        <f t="shared" si="20"/>
        <v>466.69421199999999</v>
      </c>
      <c r="I132" s="118">
        <f t="shared" si="20"/>
        <v>362.53663299999999</v>
      </c>
      <c r="J132" s="118">
        <f t="shared" si="20"/>
        <v>398.29807</v>
      </c>
      <c r="K132" s="118">
        <f t="shared" si="20"/>
        <v>450.22497199999998</v>
      </c>
      <c r="L132" s="118">
        <f t="shared" si="20"/>
        <v>431.86105500000002</v>
      </c>
      <c r="M132" s="118">
        <f t="shared" si="20"/>
        <v>412.90246999999999</v>
      </c>
      <c r="N132" s="118">
        <f t="shared" si="20"/>
        <v>403.39569899999998</v>
      </c>
      <c r="O132" s="118">
        <f t="shared" si="20"/>
        <v>459.10503999999997</v>
      </c>
    </row>
    <row r="133" spans="1:15" ht="14.25">
      <c r="A133" s="203"/>
      <c r="B133" s="126" t="s">
        <v>75</v>
      </c>
      <c r="C133" s="127">
        <f>C120+C121+C123</f>
        <v>70.042819000000009</v>
      </c>
      <c r="D133" s="127">
        <f>D120+D121+D123</f>
        <v>85.898263999999998</v>
      </c>
      <c r="E133" s="127">
        <f t="shared" ref="E133:O133" si="21">E120+E121+E123</f>
        <v>121.496702</v>
      </c>
      <c r="F133" s="127">
        <f t="shared" si="21"/>
        <v>132.469054</v>
      </c>
      <c r="G133" s="127">
        <f t="shared" si="21"/>
        <v>93.246324000000001</v>
      </c>
      <c r="H133" s="127">
        <f t="shared" si="21"/>
        <v>60.668753000000002</v>
      </c>
      <c r="I133" s="127">
        <f t="shared" si="21"/>
        <v>32.393524999999997</v>
      </c>
      <c r="J133" s="127">
        <f t="shared" si="21"/>
        <v>28.980339000000001</v>
      </c>
      <c r="K133" s="127">
        <f t="shared" si="21"/>
        <v>54.403029000000004</v>
      </c>
      <c r="L133" s="127">
        <f t="shared" si="21"/>
        <v>47.337153999999998</v>
      </c>
      <c r="M133" s="127">
        <f t="shared" si="21"/>
        <v>40.752212</v>
      </c>
      <c r="N133" s="127">
        <f t="shared" si="21"/>
        <v>36.577028999999996</v>
      </c>
      <c r="O133" s="127">
        <f t="shared" si="21"/>
        <v>47.925082000000003</v>
      </c>
    </row>
    <row r="134" spans="1:15">
      <c r="A134" s="201" t="s">
        <v>77</v>
      </c>
      <c r="B134" s="128" t="s">
        <v>73</v>
      </c>
      <c r="C134" s="111" t="str">
        <f>TEXT(EDATE($A$2,-12),"mmm")&amp;".-"&amp;TEXT(EDATE($A$2,-12),"aa")</f>
        <v>may.-22</v>
      </c>
      <c r="D134" s="111" t="str">
        <f>TEXT(EDATE($A$2,-11),"mmm")&amp;".-"&amp;TEXT(EDATE($A$2,-11),"aa")</f>
        <v>jun.-22</v>
      </c>
      <c r="E134" s="111" t="str">
        <f>TEXT(EDATE($A$2,-10),"mmm")&amp;".-"&amp;TEXT(EDATE($A$2,-10),"aa")</f>
        <v>jul.-22</v>
      </c>
      <c r="F134" s="111" t="str">
        <f>TEXT(EDATE($A$2,-9),"mmm")&amp;".-"&amp;TEXT(EDATE($A$2,-9),"aa")</f>
        <v>ago.-22</v>
      </c>
      <c r="G134" s="111" t="str">
        <f>TEXT(EDATE($A$2,-8),"mmm")&amp;".-"&amp;TEXT(EDATE($A$2,-8),"aa")</f>
        <v>sep.-22</v>
      </c>
      <c r="H134" s="111" t="str">
        <f>TEXT(EDATE($A$2,-7),"mmm")&amp;".-"&amp;TEXT(EDATE($A$2,-7),"aa")</f>
        <v>oct.-22</v>
      </c>
      <c r="I134" s="111" t="str">
        <f>TEXT(EDATE($A$2,-6),"mmm")&amp;".-"&amp;TEXT(EDATE($A$2,-6),"aa")</f>
        <v>nov.-22</v>
      </c>
      <c r="J134" s="111" t="str">
        <f>TEXT(EDATE($A$2,-5),"mmm")&amp;".-"&amp;TEXT(EDATE($A$2,-5),"aa")</f>
        <v>dic.-22</v>
      </c>
      <c r="K134" s="111" t="str">
        <f>TEXT(EDATE($A$2,-4),"mmm")&amp;".-"&amp;TEXT(EDATE($A$2,-4),"aa")</f>
        <v>ene.-23</v>
      </c>
      <c r="L134" s="111" t="str">
        <f>TEXT(EDATE($A$2,-3),"mmm")&amp;".-"&amp;TEXT(EDATE($A$2,-3),"aa")</f>
        <v>feb.-23</v>
      </c>
      <c r="M134" s="111" t="str">
        <f>TEXT(EDATE($A$2,-2),"mmm")&amp;".-"&amp;TEXT(EDATE($A$2,-2),"aa")</f>
        <v>mar.-23</v>
      </c>
      <c r="N134" s="111" t="str">
        <f>TEXT(EDATE($A$2,-1),"mmm")&amp;".-"&amp;TEXT(EDATE($A$2,-1),"aa")</f>
        <v>abr.-23</v>
      </c>
      <c r="O134" s="112" t="str">
        <f>TEXT($A$2,"mmm")&amp;".-"&amp;TEXT($A$2,"aa")</f>
        <v>may.-23</v>
      </c>
    </row>
    <row r="135" spans="1:15" ht="15" customHeight="1">
      <c r="A135" s="202"/>
      <c r="B135" s="105" t="s">
        <v>12</v>
      </c>
      <c r="C135" s="107">
        <f>HLOOKUP(C$117,$86:$115,17,FALSE)</f>
        <v>0.29870099999999999</v>
      </c>
      <c r="D135" s="107">
        <f t="shared" ref="D135:N135" si="22">HLOOKUP(D$117,$86:$115,17,FALSE)</f>
        <v>0.28138299999999999</v>
      </c>
      <c r="E135" s="107">
        <f t="shared" si="22"/>
        <v>0.29436099999999998</v>
      </c>
      <c r="F135" s="107">
        <f t="shared" si="22"/>
        <v>0.29274699999999998</v>
      </c>
      <c r="G135" s="107">
        <f t="shared" si="22"/>
        <v>0.28892499999999999</v>
      </c>
      <c r="H135" s="107">
        <f t="shared" si="22"/>
        <v>0.29400900000000002</v>
      </c>
      <c r="I135" s="107">
        <f t="shared" si="22"/>
        <v>0.27748800000000001</v>
      </c>
      <c r="J135" s="107">
        <f t="shared" si="22"/>
        <v>0.28856799999999999</v>
      </c>
      <c r="K135" s="107">
        <f t="shared" si="22"/>
        <v>0.27497500000000002</v>
      </c>
      <c r="L135" s="107">
        <f t="shared" si="22"/>
        <v>0.25442500000000001</v>
      </c>
      <c r="M135" s="107">
        <f t="shared" si="22"/>
        <v>0.29023300000000002</v>
      </c>
      <c r="N135" s="107">
        <f t="shared" si="22"/>
        <v>0.27610800000000002</v>
      </c>
      <c r="O135" s="144">
        <f>HLOOKUP(O$117,$86:$115,17,FALSE)</f>
        <v>0.29790899999999998</v>
      </c>
    </row>
    <row r="136" spans="1:15">
      <c r="A136" s="202"/>
      <c r="B136" s="105" t="s">
        <v>10</v>
      </c>
      <c r="C136" s="107">
        <f>HLOOKUP(C$117,$86:$115,18,FALSE)+HLOOKUP(C$117,$86:$115,22,FALSE)</f>
        <v>142.20013900000001</v>
      </c>
      <c r="D136" s="107">
        <f>HLOOKUP(D$117,$86:$115,18,FALSE)+HLOOKUP(D$117,$86:$115,22,FALSE)</f>
        <v>140.176005</v>
      </c>
      <c r="E136" s="107">
        <f t="shared" ref="E136:N136" si="23">HLOOKUP(E$117,$86:$115,18,FALSE)+HLOOKUP(E$117,$86:$115,22,FALSE)</f>
        <v>145.15529100000001</v>
      </c>
      <c r="F136" s="107">
        <f t="shared" si="23"/>
        <v>144.43334199999998</v>
      </c>
      <c r="G136" s="107">
        <f t="shared" si="23"/>
        <v>147.13243900000001</v>
      </c>
      <c r="H136" s="107">
        <f t="shared" si="23"/>
        <v>153.67971399999999</v>
      </c>
      <c r="I136" s="107">
        <f t="shared" si="23"/>
        <v>154.14347199999997</v>
      </c>
      <c r="J136" s="107">
        <f t="shared" si="23"/>
        <v>168.09939200000002</v>
      </c>
      <c r="K136" s="107">
        <f t="shared" si="23"/>
        <v>149.65270200000001</v>
      </c>
      <c r="L136" s="107">
        <f t="shared" si="23"/>
        <v>151.161632</v>
      </c>
      <c r="M136" s="107">
        <f t="shared" si="23"/>
        <v>141.34883499999998</v>
      </c>
      <c r="N136" s="107">
        <f t="shared" si="23"/>
        <v>149.84285</v>
      </c>
      <c r="O136" s="124">
        <f>HLOOKUP(O$117,$86:$115,18,FALSE)+HLOOKUP(O$117,$86:$115,22,FALSE)</f>
        <v>152.65936299999998</v>
      </c>
    </row>
    <row r="137" spans="1:15">
      <c r="A137" s="202"/>
      <c r="B137" s="105" t="s">
        <v>9</v>
      </c>
      <c r="C137" s="107">
        <f>HLOOKUP(C$117,$86:$115,19,FALSE)</f>
        <v>15.375764</v>
      </c>
      <c r="D137" s="107">
        <f t="shared" ref="D137:O137" si="24">HLOOKUP(D$117,$86:$115,19,FALSE)</f>
        <v>14.745179</v>
      </c>
      <c r="E137" s="107">
        <f t="shared" si="24"/>
        <v>19.947948</v>
      </c>
      <c r="F137" s="107">
        <f t="shared" si="24"/>
        <v>17.951955999999999</v>
      </c>
      <c r="G137" s="107">
        <f t="shared" si="24"/>
        <v>27.959973000000002</v>
      </c>
      <c r="H137" s="107">
        <f t="shared" si="24"/>
        <v>36.672798</v>
      </c>
      <c r="I137" s="107">
        <f t="shared" si="24"/>
        <v>23.967887999999999</v>
      </c>
      <c r="J137" s="107">
        <f t="shared" si="24"/>
        <v>22.080762</v>
      </c>
      <c r="K137" s="107">
        <f t="shared" si="24"/>
        <v>14.760491</v>
      </c>
      <c r="L137" s="107">
        <f t="shared" si="24"/>
        <v>26.990496</v>
      </c>
      <c r="M137" s="107">
        <f t="shared" si="24"/>
        <v>16.813075000000001</v>
      </c>
      <c r="N137" s="107">
        <f t="shared" si="24"/>
        <v>21.092299000000001</v>
      </c>
      <c r="O137" s="124">
        <f t="shared" si="24"/>
        <v>23.467611000000002</v>
      </c>
    </row>
    <row r="138" spans="1:15">
      <c r="A138" s="202"/>
      <c r="B138" s="105" t="s">
        <v>8</v>
      </c>
      <c r="C138" s="107">
        <f>HLOOKUP(C$117,$86:$115,20,FALSE)</f>
        <v>86.849653000000004</v>
      </c>
      <c r="D138" s="107">
        <f t="shared" ref="D138:O138" si="25">HLOOKUP(D$117,$86:$115,20,FALSE)</f>
        <v>60.625900999999999</v>
      </c>
      <c r="E138" s="107">
        <f t="shared" si="25"/>
        <v>73.212086999999997</v>
      </c>
      <c r="F138" s="107">
        <f t="shared" si="25"/>
        <v>102.417013</v>
      </c>
      <c r="G138" s="107">
        <f t="shared" si="25"/>
        <v>110.953991</v>
      </c>
      <c r="H138" s="107">
        <f t="shared" si="25"/>
        <v>118.59882</v>
      </c>
      <c r="I138" s="107">
        <f t="shared" si="25"/>
        <v>93.771169</v>
      </c>
      <c r="J138" s="107">
        <f t="shared" si="25"/>
        <v>122.69665500000001</v>
      </c>
      <c r="K138" s="107">
        <f t="shared" si="25"/>
        <v>118.030389</v>
      </c>
      <c r="L138" s="107">
        <f t="shared" si="25"/>
        <v>118.052049</v>
      </c>
      <c r="M138" s="107">
        <f t="shared" si="25"/>
        <v>103.679242</v>
      </c>
      <c r="N138" s="107">
        <f t="shared" si="25"/>
        <v>89.164951000000002</v>
      </c>
      <c r="O138" s="124">
        <f t="shared" si="25"/>
        <v>84.880949000000001</v>
      </c>
    </row>
    <row r="139" spans="1:15" ht="14.25">
      <c r="A139" s="202"/>
      <c r="B139" s="105" t="s">
        <v>74</v>
      </c>
      <c r="C139" s="107">
        <f>HLOOKUP(C$117,$86:$115,21,FALSE)</f>
        <v>303.45663500000001</v>
      </c>
      <c r="D139" s="107">
        <f t="shared" ref="D139:O139" si="26">HLOOKUP(D$117,$86:$115,21,FALSE)</f>
        <v>283.58392400000002</v>
      </c>
      <c r="E139" s="107">
        <f t="shared" si="26"/>
        <v>295.51749599999999</v>
      </c>
      <c r="F139" s="107">
        <f t="shared" si="26"/>
        <v>269.79137200000002</v>
      </c>
      <c r="G139" s="107">
        <f t="shared" si="26"/>
        <v>285.29845599999999</v>
      </c>
      <c r="H139" s="107">
        <f t="shared" si="26"/>
        <v>305.38632699999999</v>
      </c>
      <c r="I139" s="107">
        <f t="shared" si="26"/>
        <v>309.74341800000002</v>
      </c>
      <c r="J139" s="107">
        <f t="shared" si="26"/>
        <v>347.66188299999999</v>
      </c>
      <c r="K139" s="107">
        <f t="shared" si="26"/>
        <v>279.418815</v>
      </c>
      <c r="L139" s="107">
        <f t="shared" si="26"/>
        <v>289.33312999999998</v>
      </c>
      <c r="M139" s="107">
        <f t="shared" si="26"/>
        <v>284.83144399999998</v>
      </c>
      <c r="N139" s="107">
        <f t="shared" si="26"/>
        <v>279.54366599999997</v>
      </c>
      <c r="O139" s="124">
        <f t="shared" si="26"/>
        <v>275.34098399999999</v>
      </c>
    </row>
    <row r="140" spans="1:15">
      <c r="A140" s="202"/>
      <c r="B140" s="105" t="s">
        <v>6</v>
      </c>
      <c r="C140" s="107">
        <f>HLOOKUP(C$117,$86:$115,23,FALSE)</f>
        <v>1.9171739999999999</v>
      </c>
      <c r="D140" s="107">
        <f t="shared" ref="D140:O140" si="27">HLOOKUP(D$117,$86:$115,23,FALSE)</f>
        <v>2.44956</v>
      </c>
      <c r="E140" s="107">
        <f t="shared" si="27"/>
        <v>3.5629430000000002</v>
      </c>
      <c r="F140" s="107">
        <f t="shared" si="27"/>
        <v>3.5176750000000001</v>
      </c>
      <c r="G140" s="107">
        <f t="shared" si="27"/>
        <v>2.0750950000000001</v>
      </c>
      <c r="H140" s="107">
        <f t="shared" si="27"/>
        <v>1.3500719999999999</v>
      </c>
      <c r="I140" s="107">
        <f t="shared" si="27"/>
        <v>1.1694089999999999</v>
      </c>
      <c r="J140" s="107">
        <f t="shared" si="27"/>
        <v>0.36710399999999999</v>
      </c>
      <c r="K140" s="107">
        <f t="shared" si="27"/>
        <v>1.6495040000000001</v>
      </c>
      <c r="L140" s="107">
        <f t="shared" si="27"/>
        <v>0.82934099999999999</v>
      </c>
      <c r="M140" s="107">
        <f t="shared" si="27"/>
        <v>1.5724450000000001</v>
      </c>
      <c r="N140" s="107">
        <f t="shared" si="27"/>
        <v>1.573337</v>
      </c>
      <c r="O140" s="124">
        <f t="shared" si="27"/>
        <v>2.0671949999999999</v>
      </c>
    </row>
    <row r="141" spans="1:15">
      <c r="A141" s="202"/>
      <c r="B141" s="105" t="s">
        <v>5</v>
      </c>
      <c r="C141" s="107">
        <f>HLOOKUP(C$117,$86:$115,24,FALSE)</f>
        <v>116.96555499999999</v>
      </c>
      <c r="D141" s="107">
        <f t="shared" ref="D141:O141" si="28">HLOOKUP(D$117,$86:$115,24,FALSE)</f>
        <v>160.356527</v>
      </c>
      <c r="E141" s="107">
        <f t="shared" si="28"/>
        <v>181.49906899999999</v>
      </c>
      <c r="F141" s="107">
        <f t="shared" si="28"/>
        <v>185.782734</v>
      </c>
      <c r="G141" s="107">
        <f t="shared" si="28"/>
        <v>123.26133799999999</v>
      </c>
      <c r="H141" s="107">
        <f t="shared" si="28"/>
        <v>85.078937999999994</v>
      </c>
      <c r="I141" s="107">
        <f t="shared" si="28"/>
        <v>102.221262</v>
      </c>
      <c r="J141" s="107">
        <f t="shared" si="28"/>
        <v>37.913117999999997</v>
      </c>
      <c r="K141" s="107">
        <f t="shared" si="28"/>
        <v>132.72816599999999</v>
      </c>
      <c r="L141" s="107">
        <f t="shared" si="28"/>
        <v>42.685206000000001</v>
      </c>
      <c r="M141" s="107">
        <f t="shared" si="28"/>
        <v>131.43829199999999</v>
      </c>
      <c r="N141" s="107">
        <f t="shared" si="28"/>
        <v>103.68509299999999</v>
      </c>
      <c r="O141" s="124">
        <f t="shared" si="28"/>
        <v>130.95020099999999</v>
      </c>
    </row>
    <row r="142" spans="1:15">
      <c r="A142" s="202"/>
      <c r="B142" s="105" t="s">
        <v>4</v>
      </c>
      <c r="C142" s="107">
        <f>HLOOKUP(C$117,$86:$115,25,FALSE)</f>
        <v>32.971663999999997</v>
      </c>
      <c r="D142" s="107">
        <f t="shared" ref="D142:O142" si="29">HLOOKUP(D$117,$86:$115,25,FALSE)</f>
        <v>30.752493999999999</v>
      </c>
      <c r="E142" s="107">
        <f t="shared" si="29"/>
        <v>34.434815</v>
      </c>
      <c r="F142" s="107">
        <f t="shared" si="29"/>
        <v>32.263370000000002</v>
      </c>
      <c r="G142" s="107">
        <f t="shared" si="29"/>
        <v>26.538736</v>
      </c>
      <c r="H142" s="107">
        <f t="shared" si="29"/>
        <v>26.753266</v>
      </c>
      <c r="I142" s="107">
        <f t="shared" si="29"/>
        <v>23.169461999999999</v>
      </c>
      <c r="J142" s="107">
        <f t="shared" si="29"/>
        <v>19.006923</v>
      </c>
      <c r="K142" s="107">
        <f t="shared" si="29"/>
        <v>22.065138000000001</v>
      </c>
      <c r="L142" s="107">
        <f t="shared" si="29"/>
        <v>20.222797</v>
      </c>
      <c r="M142" s="107">
        <f t="shared" si="29"/>
        <v>32.125762000000002</v>
      </c>
      <c r="N142" s="107">
        <f t="shared" si="29"/>
        <v>29.890439000000001</v>
      </c>
      <c r="O142" s="124">
        <f t="shared" si="29"/>
        <v>30.462913</v>
      </c>
    </row>
    <row r="143" spans="1:15">
      <c r="A143" s="202"/>
      <c r="B143" s="105" t="s">
        <v>22</v>
      </c>
      <c r="C143" s="107">
        <f>HLOOKUP(C$117,$86:$115,26,FALSE)</f>
        <v>0.72146399999999999</v>
      </c>
      <c r="D143" s="107">
        <f t="shared" ref="D143:O143" si="30">HLOOKUP(D$117,$86:$115,26,FALSE)</f>
        <v>0.696106</v>
      </c>
      <c r="E143" s="107">
        <f t="shared" si="30"/>
        <v>0.688222</v>
      </c>
      <c r="F143" s="107">
        <f t="shared" si="30"/>
        <v>0.71531400000000001</v>
      </c>
      <c r="G143" s="107">
        <f t="shared" si="30"/>
        <v>0.714812</v>
      </c>
      <c r="H143" s="107">
        <f t="shared" si="30"/>
        <v>0.73132799999999998</v>
      </c>
      <c r="I143" s="107">
        <f t="shared" si="30"/>
        <v>0.76498500000000003</v>
      </c>
      <c r="J143" s="107">
        <f t="shared" si="30"/>
        <v>0.78453200000000001</v>
      </c>
      <c r="K143" s="107">
        <f t="shared" si="30"/>
        <v>0.78413299999999997</v>
      </c>
      <c r="L143" s="107">
        <f t="shared" si="30"/>
        <v>0.71108700000000002</v>
      </c>
      <c r="M143" s="107">
        <f t="shared" si="30"/>
        <v>0.73842799999999997</v>
      </c>
      <c r="N143" s="107">
        <f t="shared" si="30"/>
        <v>0.63095199999999996</v>
      </c>
      <c r="O143" s="124">
        <f t="shared" si="30"/>
        <v>0.65055600000000002</v>
      </c>
    </row>
    <row r="144" spans="1:15">
      <c r="A144" s="202"/>
      <c r="B144" s="117" t="s">
        <v>1</v>
      </c>
      <c r="C144" s="118">
        <f>HLOOKUP(C$117,$86:$115,28,FALSE)</f>
        <v>700.75674900000001</v>
      </c>
      <c r="D144" s="118">
        <f t="shared" ref="D144:O144" si="31">HLOOKUP(D$117,$86:$115,28,FALSE)</f>
        <v>693.66707899999994</v>
      </c>
      <c r="E144" s="118">
        <f t="shared" si="31"/>
        <v>754.31223199999999</v>
      </c>
      <c r="F144" s="118">
        <f t="shared" si="31"/>
        <v>757.16552300000001</v>
      </c>
      <c r="G144" s="118">
        <f t="shared" si="31"/>
        <v>724.22376499999996</v>
      </c>
      <c r="H144" s="118">
        <f t="shared" si="31"/>
        <v>728.54527199999995</v>
      </c>
      <c r="I144" s="118">
        <f t="shared" si="31"/>
        <v>709.22855300000003</v>
      </c>
      <c r="J144" s="118">
        <f t="shared" si="31"/>
        <v>718.89893700000005</v>
      </c>
      <c r="K144" s="118">
        <f t="shared" si="31"/>
        <v>719.36431300000004</v>
      </c>
      <c r="L144" s="118">
        <f t="shared" si="31"/>
        <v>650.24016300000005</v>
      </c>
      <c r="M144" s="118">
        <f t="shared" si="31"/>
        <v>712.83775600000001</v>
      </c>
      <c r="N144" s="118">
        <f t="shared" si="31"/>
        <v>675.69969500000002</v>
      </c>
      <c r="O144" s="118">
        <f t="shared" si="31"/>
        <v>700.77768100000003</v>
      </c>
    </row>
    <row r="145" spans="1:26">
      <c r="A145" s="202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3"/>
      <c r="B146" s="126" t="s">
        <v>75</v>
      </c>
      <c r="C146" s="130">
        <f>SUM(C136:C138)</f>
        <v>244.42555600000003</v>
      </c>
      <c r="D146" s="130">
        <f t="shared" ref="D146:N146" si="32">SUM(D136:D138)</f>
        <v>215.54708500000001</v>
      </c>
      <c r="E146" s="130">
        <f t="shared" si="32"/>
        <v>238.315326</v>
      </c>
      <c r="F146" s="130">
        <f t="shared" si="32"/>
        <v>264.80231099999997</v>
      </c>
      <c r="G146" s="130">
        <f t="shared" si="32"/>
        <v>286.046403</v>
      </c>
      <c r="H146" s="130">
        <f t="shared" si="32"/>
        <v>308.95133199999998</v>
      </c>
      <c r="I146" s="130">
        <f t="shared" si="32"/>
        <v>271.88252899999998</v>
      </c>
      <c r="J146" s="130">
        <f t="shared" si="32"/>
        <v>312.87680900000004</v>
      </c>
      <c r="K146" s="130">
        <f t="shared" si="32"/>
        <v>282.44358199999999</v>
      </c>
      <c r="L146" s="130">
        <f t="shared" si="32"/>
        <v>296.20417700000002</v>
      </c>
      <c r="M146" s="130">
        <f t="shared" si="32"/>
        <v>261.84115199999997</v>
      </c>
      <c r="N146" s="130">
        <f t="shared" si="32"/>
        <v>260.1001</v>
      </c>
      <c r="O146" s="131">
        <f>SUM(O136:O138)</f>
        <v>261.00792300000001</v>
      </c>
    </row>
    <row r="149" spans="1:26" ht="15">
      <c r="A149" s="157"/>
      <c r="B149" s="157" t="s">
        <v>68</v>
      </c>
      <c r="C149" s="200" t="s">
        <v>57</v>
      </c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122</v>
      </c>
      <c r="B152" s="159" t="s">
        <v>123</v>
      </c>
      <c r="C152" s="177">
        <v>-2.7179999999999999E-2</v>
      </c>
      <c r="D152" s="177">
        <v>-2.63E-3</v>
      </c>
      <c r="E152" s="177">
        <v>-1.0840000000000001E-2</v>
      </c>
      <c r="F152" s="177">
        <v>-1.371E-2</v>
      </c>
      <c r="G152" s="177">
        <v>-2.4729999999999999E-2</v>
      </c>
      <c r="H152" s="177">
        <v>2.2399999999999998E-3</v>
      </c>
      <c r="I152" s="177">
        <v>-6.96E-3</v>
      </c>
      <c r="J152" s="177">
        <v>-2.001E-2</v>
      </c>
      <c r="K152" s="177">
        <v>4.317E-2</v>
      </c>
      <c r="L152" s="177">
        <v>2E-3</v>
      </c>
      <c r="M152" s="177">
        <v>-9.7800000000000005E-3</v>
      </c>
      <c r="N152" s="177">
        <v>5.0950000000000002E-2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0" t="s">
        <v>58</v>
      </c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122</v>
      </c>
      <c r="B158" s="159" t="s">
        <v>123</v>
      </c>
      <c r="C158" s="177">
        <v>3.0000000000000001E-5</v>
      </c>
      <c r="D158" s="177">
        <v>5.0200000000000002E-3</v>
      </c>
      <c r="E158" s="177">
        <v>-9.6000000000000002E-4</v>
      </c>
      <c r="F158" s="177">
        <v>-4.0299999999999997E-3</v>
      </c>
      <c r="G158" s="177">
        <v>2.7799999999999999E-3</v>
      </c>
      <c r="H158" s="177">
        <v>1.89E-3</v>
      </c>
      <c r="I158" s="177">
        <v>1.6000000000000001E-4</v>
      </c>
      <c r="J158" s="177">
        <v>7.2999999999999996E-4</v>
      </c>
      <c r="K158" s="177">
        <v>1.7270000000000001E-2</v>
      </c>
      <c r="L158" s="177">
        <v>1.7899999999999999E-3</v>
      </c>
      <c r="M158" s="177">
        <v>8.9999999999999998E-4</v>
      </c>
      <c r="N158" s="177">
        <v>1.4579999999999999E-2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T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F9" sqref="F9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Mayo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5" t="s">
        <v>47</v>
      </c>
      <c r="E7" s="69"/>
      <c r="F7" s="186" t="str">
        <f>K3</f>
        <v>Mayo 2023</v>
      </c>
      <c r="G7" s="187"/>
      <c r="H7" s="187" t="s">
        <v>37</v>
      </c>
      <c r="I7" s="187"/>
      <c r="J7" s="187" t="s">
        <v>38</v>
      </c>
      <c r="K7" s="187"/>
    </row>
    <row r="8" spans="3:12">
      <c r="C8" s="185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459.10503999999997</v>
      </c>
      <c r="G9" s="147">
        <f>Dat_01!T24*100</f>
        <v>-2.7180177300000001</v>
      </c>
      <c r="H9" s="75">
        <f>Dat_01!U24/1000</f>
        <v>2157.4892359999999</v>
      </c>
      <c r="I9" s="147">
        <f>Dat_01!W24*100</f>
        <v>-2.47324973</v>
      </c>
      <c r="J9" s="75">
        <f>Dat_01!X24/1000</f>
        <v>5986.2346610000004</v>
      </c>
      <c r="K9" s="147">
        <f>Dat_01!Y24*100</f>
        <v>4.3173468499999998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-0.26300000000000001</v>
      </c>
      <c r="H12" s="94"/>
      <c r="I12" s="94">
        <f>Dat_01!H152*100</f>
        <v>0.22399999999999998</v>
      </c>
      <c r="J12" s="94"/>
      <c r="K12" s="94">
        <f>Dat_01!L152*100</f>
        <v>0.2</v>
      </c>
    </row>
    <row r="13" spans="3:12">
      <c r="E13" s="77" t="s">
        <v>42</v>
      </c>
      <c r="F13" s="76"/>
      <c r="G13" s="94">
        <f>Dat_01!E152*100</f>
        <v>-1.0840000000000001</v>
      </c>
      <c r="H13" s="94"/>
      <c r="I13" s="94">
        <f>Dat_01!I152*100</f>
        <v>-0.69599999999999995</v>
      </c>
      <c r="J13" s="94"/>
      <c r="K13" s="94">
        <f>Dat_01!M152*100</f>
        <v>-0.97800000000000009</v>
      </c>
    </row>
    <row r="14" spans="3:12">
      <c r="E14" s="78" t="s">
        <v>43</v>
      </c>
      <c r="F14" s="79"/>
      <c r="G14" s="95">
        <f>Dat_01!F152*100</f>
        <v>-1.371</v>
      </c>
      <c r="H14" s="95"/>
      <c r="I14" s="95">
        <f>Dat_01!J152*100</f>
        <v>-2.0009999999999999</v>
      </c>
      <c r="J14" s="95"/>
      <c r="K14" s="95">
        <f>Dat_01!N152*100</f>
        <v>5.0950000000000006</v>
      </c>
    </row>
    <row r="15" spans="3:12">
      <c r="E15" s="188" t="s">
        <v>44</v>
      </c>
      <c r="F15" s="188"/>
      <c r="G15" s="188"/>
      <c r="H15" s="188"/>
      <c r="I15" s="188"/>
      <c r="J15" s="188"/>
      <c r="K15" s="188"/>
    </row>
    <row r="16" spans="3:12" ht="21.75" customHeight="1">
      <c r="E16" s="184" t="s">
        <v>45</v>
      </c>
      <c r="F16" s="184"/>
      <c r="G16" s="184"/>
      <c r="H16" s="184"/>
      <c r="I16" s="184"/>
      <c r="J16" s="184"/>
      <c r="K16" s="184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Mayo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5" t="s">
        <v>48</v>
      </c>
      <c r="E7" s="69"/>
      <c r="F7" s="186" t="str">
        <f>K3</f>
        <v>Mayo 2023</v>
      </c>
      <c r="G7" s="187"/>
      <c r="H7" s="187" t="s">
        <v>37</v>
      </c>
      <c r="I7" s="187"/>
      <c r="J7" s="187" t="s">
        <v>38</v>
      </c>
      <c r="K7" s="187"/>
    </row>
    <row r="8" spans="3:12">
      <c r="C8" s="185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700.77768100000003</v>
      </c>
      <c r="G9" s="147">
        <f>Dat_01!AB24*100</f>
        <v>2.98705649713924E-3</v>
      </c>
      <c r="H9" s="75">
        <f>Dat_01!AC24/1000</f>
        <v>3458.9196080000002</v>
      </c>
      <c r="I9" s="147">
        <f>Dat_01!AE24*100</f>
        <v>0.27839332</v>
      </c>
      <c r="J9" s="75">
        <f>Dat_01!AF24/1000</f>
        <v>8544.9609689999997</v>
      </c>
      <c r="K9" s="147">
        <f>Dat_01!AG24*100</f>
        <v>1.7270115499999998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0.502</v>
      </c>
      <c r="H12" s="94"/>
      <c r="I12" s="94">
        <f>Dat_01!H158*100</f>
        <v>0.189</v>
      </c>
      <c r="J12" s="94"/>
      <c r="K12" s="94">
        <f>Dat_01!L158*100</f>
        <v>0.17899999999999999</v>
      </c>
    </row>
    <row r="13" spans="3:12">
      <c r="E13" s="77" t="s">
        <v>42</v>
      </c>
      <c r="F13" s="76"/>
      <c r="G13" s="94">
        <f>Dat_01!E158*100</f>
        <v>-9.6000000000000002E-2</v>
      </c>
      <c r="H13" s="94"/>
      <c r="I13" s="94">
        <f>Dat_01!I158*100</f>
        <v>1.6E-2</v>
      </c>
      <c r="J13" s="94"/>
      <c r="K13" s="94">
        <f>Dat_01!M158*100</f>
        <v>0.09</v>
      </c>
    </row>
    <row r="14" spans="3:12">
      <c r="E14" s="78" t="s">
        <v>43</v>
      </c>
      <c r="F14" s="79"/>
      <c r="G14" s="95">
        <f>Dat_01!F158*100</f>
        <v>-0.40299999999999997</v>
      </c>
      <c r="H14" s="95"/>
      <c r="I14" s="95">
        <f>Dat_01!J158*100</f>
        <v>7.2999999999999995E-2</v>
      </c>
      <c r="J14" s="95"/>
      <c r="K14" s="95">
        <f>Dat_01!N158*100</f>
        <v>1.458</v>
      </c>
    </row>
    <row r="15" spans="3:12">
      <c r="E15" s="188" t="s">
        <v>44</v>
      </c>
      <c r="F15" s="188"/>
      <c r="G15" s="188"/>
      <c r="H15" s="188"/>
      <c r="I15" s="188"/>
      <c r="J15" s="188"/>
      <c r="K15" s="188"/>
    </row>
    <row r="16" spans="3:12" ht="21.75" customHeight="1">
      <c r="E16" s="184" t="s">
        <v>45</v>
      </c>
      <c r="F16" s="184"/>
      <c r="G16" s="184"/>
      <c r="H16" s="184"/>
      <c r="I16" s="184"/>
      <c r="J16" s="184"/>
      <c r="K16" s="184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129</v>
      </c>
    </row>
    <row r="2" spans="1:2">
      <c r="A2" t="s">
        <v>124</v>
      </c>
    </row>
    <row r="3" spans="1:2">
      <c r="A3" t="s">
        <v>125</v>
      </c>
    </row>
    <row r="4" spans="1:2">
      <c r="A4" t="s">
        <v>127</v>
      </c>
    </row>
    <row r="5" spans="1:2">
      <c r="A5" t="s">
        <v>128</v>
      </c>
    </row>
    <row r="6" spans="1:2">
      <c r="A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Mayo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9" t="s">
        <v>18</v>
      </c>
      <c r="E7" s="26"/>
      <c r="F7" s="190" t="s">
        <v>17</v>
      </c>
      <c r="G7" s="191"/>
      <c r="H7" s="190" t="s">
        <v>16</v>
      </c>
      <c r="I7" s="191"/>
      <c r="J7" s="190" t="s">
        <v>15</v>
      </c>
      <c r="K7" s="191"/>
      <c r="L7" s="190" t="s">
        <v>14</v>
      </c>
      <c r="M7" s="191"/>
    </row>
    <row r="8" spans="3:23" s="23" customFormat="1" ht="12.75" customHeight="1">
      <c r="C8" s="189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0.29790899999999998</v>
      </c>
      <c r="I9" s="14">
        <f>IF(Dat_01!AB8*100=-100,"-",Dat_01!AB8*100)</f>
        <v>-0.26514809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2.0671950000000003</v>
      </c>
      <c r="I10" s="14">
        <f>Dat_01!AB15*100</f>
        <v>7.8251113400000003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0.24965100000000001</v>
      </c>
      <c r="G11" s="14">
        <f>Dat_01!T16*100</f>
        <v>55.264287180000004</v>
      </c>
      <c r="H11" s="138">
        <f>Dat_01!Z16/1000</f>
        <v>130.95020099999999</v>
      </c>
      <c r="I11" s="14">
        <f>Dat_01!AB16*100</f>
        <v>11.956208820000001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33.460431999999997</v>
      </c>
      <c r="G12" s="14">
        <f>Dat_01!T17*100</f>
        <v>22.337093860000003</v>
      </c>
      <c r="H12" s="138">
        <f>Dat_01!Z17/1000</f>
        <v>30.462913</v>
      </c>
      <c r="I12" s="14">
        <f>Dat_01!AB17*100</f>
        <v>-7.6088091900000006</v>
      </c>
      <c r="J12" s="138" t="s">
        <v>3</v>
      </c>
      <c r="K12" s="14" t="s">
        <v>3</v>
      </c>
      <c r="L12" s="138">
        <f>Dat_01!J17/1000</f>
        <v>7.6180000000000006E-3</v>
      </c>
      <c r="M12" s="14">
        <f>IF(Dat_01!L17*100=-100,"-",Dat_01!L17*100)</f>
        <v>-4.2603996500000001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9.0162999999999993E-2</v>
      </c>
      <c r="G13" s="14">
        <f>Dat_01!T18*100</f>
        <v>-45.791723529999999</v>
      </c>
      <c r="H13" s="138">
        <f>Dat_01!Z18/1000</f>
        <v>0.65055600000000002</v>
      </c>
      <c r="I13" s="14">
        <f>IF(Dat_01!AB18*100=-100,"-",Dat_01!AB18*100)</f>
        <v>-9.828349020000001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12.228600500000001</v>
      </c>
      <c r="G14" s="14">
        <f>Dat_01!T21*100</f>
        <v>3.2280653800000003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0.456793</v>
      </c>
      <c r="M14" s="14">
        <f>Dat_01!L21*100</f>
        <v>-28.330063319999997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46.028846499999993</v>
      </c>
      <c r="G15" s="156">
        <f>((SUM(Dat_01!R8,Dat_01!R15:R18,Dat_01!R20)/SUM(Dat_01!S8,Dat_01!S15:S18,Dat_01!S20))-1)*100</f>
        <v>16.45700401751311</v>
      </c>
      <c r="H15" s="155">
        <f>SUM(H9:H14)</f>
        <v>164.42877399999998</v>
      </c>
      <c r="I15" s="156">
        <f>((SUM(Dat_01!Z8,Dat_01!Z15:Z18,Dat_01!Z20)/SUM(Dat_01!AA8,Dat_01!AA15:AA18,Dat_01!AA20))-1)*100</f>
        <v>7.5579718111106642</v>
      </c>
      <c r="J15" s="155" t="s">
        <v>3</v>
      </c>
      <c r="K15" s="156" t="s">
        <v>3</v>
      </c>
      <c r="L15" s="156">
        <f>SUM(L9:L14)</f>
        <v>0.46441100000000002</v>
      </c>
      <c r="M15" s="156">
        <f>((SUM(Dat_01!J8,Dat_01!J15:J18,Dat_01!J21)/SUM(Dat_01!K8,Dat_01!K15:K18,Dat_01!K20))-1)*100</f>
        <v>-28.033273749890554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-0.83296900000000007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12.70701</v>
      </c>
      <c r="G17" s="20">
        <f>((SUM(Dat_01!R10,Dat_01!R14)/SUM(Dat_01!S10,Dat_01!S14))-1)*100</f>
        <v>-70.540827281634549</v>
      </c>
      <c r="H17" s="139">
        <f>SUM(Dat_01!Z10,Dat_01!Z14)/1000</f>
        <v>152.65936300000001</v>
      </c>
      <c r="I17" s="20">
        <f>((SUM(Dat_01!Z10,Dat_01!Z14)/SUM(Dat_01!AA10,Dat_01!AA14))-1)*100</f>
        <v>7.35528394947631</v>
      </c>
      <c r="J17" s="139">
        <f>Dat_01!B10/1000</f>
        <v>14.167683</v>
      </c>
      <c r="K17" s="20">
        <f>Dat_01!D10*100</f>
        <v>-12.542375580000002</v>
      </c>
      <c r="L17" s="139">
        <f>Dat_01!J10/1000</f>
        <v>14.581068999999999</v>
      </c>
      <c r="M17" s="20">
        <f>Dat_01!L10*100</f>
        <v>1.89105151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35.218071999999999</v>
      </c>
      <c r="G18" s="20">
        <f>Dat_01!T11*100</f>
        <v>30.880785979999999</v>
      </c>
      <c r="H18" s="139">
        <f>Dat_01!Z11/1000</f>
        <v>23.467611000000002</v>
      </c>
      <c r="I18" s="20">
        <f>Dat_01!AB11*100</f>
        <v>52.627284080000003</v>
      </c>
      <c r="J18" s="139">
        <f>Dat_01!B11/1000</f>
        <v>4.8300000000000001E-3</v>
      </c>
      <c r="K18" s="20">
        <f>IF(Dat_01!D11=-100%,"-",Dat_01!D11*100)</f>
        <v>13.16776007</v>
      </c>
      <c r="L18" s="139">
        <f>Dat_01!J11/1000</f>
        <v>1.8749999999999999E-3</v>
      </c>
      <c r="M18" s="20">
        <f>IF(Dat_01!L11*100=-100,"-",Dat_01!L11*100)</f>
        <v>-90.251130869999997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84.880948999999987</v>
      </c>
      <c r="I19" s="20">
        <f>Dat_01!AB12*100</f>
        <v>-2.2667954699999999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47.925082000000003</v>
      </c>
      <c r="G20" s="14">
        <f>((SUM(Dat_01!R10:R12,Dat_01!R14)/SUM(Dat_01!S10:S12,Dat_01!S14))-1)*100</f>
        <v>-31.577451215948351</v>
      </c>
      <c r="H20" s="138">
        <f>SUM(H17:H19)</f>
        <v>261.00792300000001</v>
      </c>
      <c r="I20" s="14">
        <f>(H20/(H17/(I17/100+1)+H18/(I18/100+1)+H19/(I19/100+1))-1)*100</f>
        <v>6.7842198137082255</v>
      </c>
      <c r="J20" s="138">
        <f>SUM(J17:J19)</f>
        <v>14.172513</v>
      </c>
      <c r="K20" s="14">
        <f>((SUM(Dat_01!B10:B12)/SUM(Dat_01!C10:C12))-1)*100</f>
        <v>-12.5356036389352</v>
      </c>
      <c r="L20" s="138">
        <f>SUM(L17:L19)</f>
        <v>14.582943999999999</v>
      </c>
      <c r="M20" s="14">
        <f>((SUM(Dat_01!J10:J12)/SUM(Dat_01!K10:K12))-1)*100</f>
        <v>1.7673802157814444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231.47546199999999</v>
      </c>
      <c r="G21" s="14">
        <f>Dat_01!T13*100</f>
        <v>-27.107189030000001</v>
      </c>
      <c r="H21" s="138">
        <f>Dat_01!Z13/1000</f>
        <v>275.34098399999999</v>
      </c>
      <c r="I21" s="14">
        <f>Dat_01!AB13*100</f>
        <v>-9.2651297600000007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3.5176019999999997</v>
      </c>
      <c r="G22" s="14">
        <f>Dat_01!T19*100</f>
        <v>80.749026909999998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12.228600500000001</v>
      </c>
      <c r="G23" s="14">
        <f>Dat_01!T20*100</f>
        <v>3.2280653800000003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0.456793</v>
      </c>
      <c r="M23" s="14">
        <f>Dat_01!L20*100</f>
        <v>-28.330063319999997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294.31377750000001</v>
      </c>
      <c r="G24" s="156">
        <f>((SUM(Dat_01!R9:R14,Dat_01!R19,Dat_01!R21)/SUM(Dat_01!S9:S14,Dat_01!S19,Dat_01!S21))-1)*100</f>
        <v>-26.487874497132257</v>
      </c>
      <c r="H24" s="140">
        <f>SUM(H16,H20:H23)</f>
        <v>536.34890700000005</v>
      </c>
      <c r="I24" s="156">
        <f>((SUM(Dat_01!Z9:Z14,Dat_01!Z19,Dat_01!Z21)/SUM(Dat_01!AA9:AA14,Dat_01!AA19,Dat_01!AA21))-1)*100</f>
        <v>-2.1050664156375132</v>
      </c>
      <c r="J24" s="140">
        <f>SUM(J16,J20:J23)</f>
        <v>14.172513</v>
      </c>
      <c r="K24" s="156">
        <f>((SUM(Dat_01!B9:B14,Dat_01!B19,Dat_01!B21)/SUM(Dat_01!C9:C14,Dat_01!C19,Dat_01!C21))-1)*100</f>
        <v>-12.5356036389352</v>
      </c>
      <c r="L24" s="140">
        <f>SUM(L16,L20:L23)</f>
        <v>15.039736999999999</v>
      </c>
      <c r="M24" s="156">
        <f>((SUM(Dat_01!J9:J14,Dat_01!J19,Dat_01!J21)/SUM(Dat_01!K9:K14,Dat_01!K19,Dat_01!K21))-1)*100</f>
        <v>0.48571058520219257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118.762416</v>
      </c>
      <c r="G25" s="11">
        <f>Dat_01!T23*100</f>
        <v>270.58760093000001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459.10503999999997</v>
      </c>
      <c r="G26" s="8">
        <f>Dat_01!T24*100</f>
        <v>-2.7180177300000001</v>
      </c>
      <c r="H26" s="142">
        <f>Dat_01!Z24/1000</f>
        <v>700.77768100000003</v>
      </c>
      <c r="I26" s="8">
        <f>Dat_01!AB24*100</f>
        <v>2.98705649713924E-3</v>
      </c>
      <c r="J26" s="142">
        <f>Dat_01!B24/1000</f>
        <v>14.172513</v>
      </c>
      <c r="K26" s="8">
        <f>Dat_01!D24*100</f>
        <v>-12.535603640000001</v>
      </c>
      <c r="L26" s="142">
        <f>Dat_01!J24/1000</f>
        <v>15.504147999999999</v>
      </c>
      <c r="M26" s="8">
        <f>Dat_01!L24*100</f>
        <v>-0.69307934000000004</v>
      </c>
      <c r="N26" s="7"/>
      <c r="O26" s="7"/>
    </row>
    <row r="27" spans="3:23" ht="16.350000000000001" customHeight="1">
      <c r="C27" s="10"/>
      <c r="E27" s="194" t="s">
        <v>56</v>
      </c>
      <c r="F27" s="194"/>
      <c r="G27" s="194"/>
      <c r="H27" s="194"/>
      <c r="I27" s="194"/>
      <c r="J27" s="194"/>
      <c r="K27" s="194"/>
      <c r="L27" s="153"/>
      <c r="M27" s="154"/>
      <c r="N27" s="7"/>
      <c r="O27" s="7"/>
    </row>
    <row r="28" spans="3:23" ht="34.5" customHeight="1">
      <c r="C28" s="10"/>
      <c r="E28" s="195" t="s">
        <v>105</v>
      </c>
      <c r="F28" s="195"/>
      <c r="G28" s="195"/>
      <c r="H28" s="195"/>
      <c r="I28" s="195"/>
      <c r="J28" s="195"/>
      <c r="K28" s="195"/>
      <c r="L28" s="195"/>
      <c r="M28" s="195"/>
      <c r="N28" s="7"/>
      <c r="O28" s="7"/>
    </row>
    <row r="29" spans="3:23" ht="12.75" customHeight="1">
      <c r="C29" s="3"/>
      <c r="D29" s="3"/>
      <c r="E29" s="193" t="s">
        <v>0</v>
      </c>
      <c r="F29" s="193"/>
      <c r="G29" s="193"/>
      <c r="H29" s="193"/>
      <c r="I29" s="193"/>
      <c r="J29" s="193"/>
      <c r="K29" s="193"/>
      <c r="L29" s="193"/>
      <c r="M29" s="193"/>
      <c r="O29" s="6"/>
    </row>
    <row r="30" spans="3:23" ht="12.75" customHeight="1">
      <c r="E30" s="192" t="s">
        <v>82</v>
      </c>
      <c r="F30" s="192"/>
      <c r="G30" s="192"/>
      <c r="H30" s="192"/>
      <c r="I30" s="192"/>
      <c r="J30" s="192"/>
      <c r="K30" s="192"/>
      <c r="L30" s="192"/>
      <c r="M30" s="192"/>
    </row>
    <row r="31" spans="3:23" ht="12.75" customHeight="1">
      <c r="C31" s="3"/>
      <c r="D31" s="3"/>
      <c r="E31" s="192" t="s">
        <v>85</v>
      </c>
      <c r="F31" s="192"/>
      <c r="G31" s="192"/>
      <c r="H31" s="192"/>
      <c r="I31" s="192"/>
      <c r="J31" s="192"/>
      <c r="K31" s="192"/>
      <c r="L31" s="192"/>
      <c r="M31" s="192"/>
    </row>
    <row r="32" spans="3:23" ht="12.75" customHeight="1">
      <c r="E32" s="192" t="s">
        <v>86</v>
      </c>
      <c r="F32" s="192"/>
      <c r="G32" s="192"/>
      <c r="H32" s="192"/>
      <c r="I32" s="192"/>
      <c r="J32" s="192"/>
      <c r="K32" s="192"/>
      <c r="L32" s="192"/>
      <c r="M32" s="192"/>
    </row>
    <row r="33" spans="3:13" ht="12.75" customHeight="1">
      <c r="E33" s="192"/>
      <c r="F33" s="192"/>
      <c r="G33" s="192"/>
      <c r="H33" s="192"/>
      <c r="I33" s="192"/>
      <c r="J33" s="192"/>
      <c r="K33" s="192"/>
      <c r="L33" s="192"/>
      <c r="M33" s="192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K35" sqref="K35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Mayo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6" t="s">
        <v>31</v>
      </c>
      <c r="D7" s="39"/>
      <c r="E7" s="43"/>
    </row>
    <row r="8" spans="2:12" s="33" customFormat="1" ht="12.75" customHeight="1">
      <c r="B8" s="41"/>
      <c r="C8" s="196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6" t="s">
        <v>28</v>
      </c>
      <c r="E24" s="37"/>
      <c r="J24" s="33"/>
      <c r="K24" s="33"/>
    </row>
    <row r="25" spans="2:12">
      <c r="C25" s="196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Mayo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7" t="s">
        <v>32</v>
      </c>
      <c r="D7" s="58"/>
      <c r="E7" s="62"/>
    </row>
    <row r="8" spans="1:20" ht="12.75" customHeight="1">
      <c r="A8" s="61"/>
      <c r="B8" s="60"/>
      <c r="C8" s="197"/>
      <c r="D8" s="58"/>
      <c r="E8" s="62"/>
      <c r="F8" s="57"/>
    </row>
    <row r="9" spans="1:20" ht="12.75" customHeight="1">
      <c r="A9" s="61"/>
      <c r="B9" s="60"/>
      <c r="C9" s="197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39" sqref="I39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Mayo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6" t="s">
        <v>35</v>
      </c>
      <c r="D7" s="39"/>
      <c r="E7" s="43"/>
    </row>
    <row r="8" spans="2:12" s="33" customFormat="1" ht="12.75" customHeight="1">
      <c r="B8" s="41"/>
      <c r="C8" s="196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6" t="s">
        <v>49</v>
      </c>
      <c r="E24" s="37"/>
      <c r="J24" s="33"/>
      <c r="K24" s="33"/>
    </row>
    <row r="25" spans="2:12">
      <c r="C25" s="196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Mayo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7" t="s">
        <v>36</v>
      </c>
      <c r="D7" s="58"/>
      <c r="E7" s="62"/>
    </row>
    <row r="8" spans="1:20" ht="12.75" customHeight="1">
      <c r="A8" s="61"/>
      <c r="B8" s="60"/>
      <c r="C8" s="197"/>
      <c r="D8" s="58"/>
      <c r="E8" s="62"/>
      <c r="F8" s="57"/>
    </row>
    <row r="9" spans="1:20" ht="12.75" customHeight="1">
      <c r="A9" s="61"/>
      <c r="B9" s="60"/>
      <c r="C9" s="197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2023-06-13T12:01:01Z</dcterms:modified>
</cp:coreProperties>
</file>