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MAY\INF_ELABORADA\"/>
    </mc:Choice>
  </mc:AlternateContent>
  <xr:revisionPtr revIDLastSave="0" documentId="13_ncr:1_{2BBBE0B6-4014-4264-BC1E-741EF3FD0B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Dat_01!$A$85:$T$112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22" l="1"/>
  <c r="M20" i="22"/>
  <c r="K20" i="22"/>
  <c r="M18" i="22"/>
  <c r="M12" i="22"/>
  <c r="I9" i="22"/>
  <c r="C47" i="18" l="1"/>
  <c r="C68" i="18" l="1"/>
  <c r="K18" i="22" l="1"/>
  <c r="B56" i="18" l="1"/>
  <c r="C72" i="18" l="1"/>
  <c r="G68" i="18" l="1"/>
  <c r="G52" i="18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19" i="18" s="1"/>
  <c r="B47" i="18" l="1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L20" i="22" l="1"/>
  <c r="L24" i="22" s="1"/>
  <c r="L15" i="22"/>
  <c r="H15" i="22"/>
  <c r="F15" i="22"/>
  <c r="F24" i="22"/>
  <c r="H20" i="22"/>
  <c r="I20" i="22" s="1"/>
  <c r="J24" i="22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<sst xmlns="http://schemas.openxmlformats.org/spreadsheetml/2006/main" count="425" uniqueCount="131">
  <si>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</si>
  <si>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</si>
  <si>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</si>
  <si>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</si>
  <si>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</si>
  <si>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</si>
  <si>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</si>
  <si>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</si>
  <si>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</si>
  <si>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</si>
  <si>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</si>
  <si>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</si>
  <si>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</si>
  <si>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</si>
  <si>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</si>
  <si>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</si>
  <si>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</si>
  <si>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</si>
  <si>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</si>
  <si>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</si>
  <si>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</si>
  <si>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</si>
  <si>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</si>
  <si>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</si>
  <si>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</si>
  <si>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</si>
  <si>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</si>
  <si>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</si>
  <si>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</si>
  <si>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</si>
  <si>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</si>
  <si>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</si>
  <si>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</si>
  <si>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</si>
  <si>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</si>
  <si>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</si>
  <si>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</si>
  <si>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</si>
  <si>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</si>
  <si>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</si>
  <si>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</si>
  <si>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</si>
  <si>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</si>
  <si>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</si>
  <si>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</si>
  <si>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</si>
  <si>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</si>
  <si>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</si>
  <si>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</si>
  <si>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</si>
  <si>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</si>
  <si>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</si>
  <si>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</si>
  <si>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</si>
  <si>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</si>
  <si>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</si>
  <si>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</si>
  <si>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</si>
  <si>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</si>
  <si>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</si>
  <si>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</si>
  <si>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</si>
  <si>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</si>
  <si>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</si>
  <si>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</si>
  <si>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</si>
  <si>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</si>
  <si>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</si>
  <si>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</si>
  <si>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</si>
  <si>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</si>
  <si>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</si>
  <si>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</si>
  <si>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</si>
  <si>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</si>
  <si>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</si>
  <si>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</si>
  <si>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</si>
  <si>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</si>
  <si>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</si>
  <si>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</si>
  <si>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</si>
  <si>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</si>
  <si>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</si>
  <si>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</si>
  <si>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</si>
  <si>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</si>
  <si>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</si>
  <si>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</si>
  <si>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</si>
  <si>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</si>
  <si>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</si>
  <si>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</si>
  <si>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</si>
  <si>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</si>
  <si>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</si>
  <si>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</si>
  <si>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</si>
  <si>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</si>
  <si>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</si>
  <si>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</si>
  <si>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</si>
  <si>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</si>
  <si>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</si>
  <si>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</si>
  <si>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</si>
  <si>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</si>
  <si>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</si>
  <si>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</si>
  <si>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</si>
  <si>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</si>
  <si>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</si>
  <si>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</si>
  <si>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</si>
  <si>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</si>
  <si>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</si>
  <si>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</si>
  <si>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</si>
  <si>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</si>
  <si>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</si>
  <si>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</si>
  <si>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</si>
  <si>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</si>
  <si>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31/05/2022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</si>
  <si>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ut="06/10/2022 06:54:48" si="2.00000001845bb0070357f6b1bc9920b67e771233e19e1e7b3c01cd4875e11340cb39dc3a4bd6d1a0b90a3eec9bfbbdb8743700fdd3105617128085582d3e22144963158baacf392cd6902f337f38f181f5142058e040357dae76f673f38cbed1341dc36cb5815ff91f51d11707dc545447a60c14e2674527a3362af60532936d81ce40555e84449f68a35f6248ed196f913cef537bb9fa398efc352282d6fceb8d24.p.3082.0.1.Europe/Madrid.upriv*_1*_pidn2*_17*_session*-lat*_1.0000000117f28ae1098253d6abfca60478c082edbc6025e00c46e786a9cffadc1e98aede261da14795f29f6787f2c35df5fbd407f0c24666.00000001c364a76d8eba9e708f8ba2322b2a54dcbc6025e0a740d9ed18795f31eea7e6d584e117d1f0356dbf2e94f93c03d9c6f23055bd1e.0.1.1.BDEbi.D066E1C611E6257C10D00080EF253B44.0-3082.1.1_-0.1.0_-3082.1.1_5.5.0.*0.00000001b4a35b8c1cf576103cbb5fdd8fffe764c911585ac67bd19dae3d5d3bb29067df9fd474a3.0.23.11*.2*.0400*.31152J.e.000000014a9aa9a0656ddc6d5e9b442f2d2d7238c911585a67d4d87fc5f3e3556497b2fb32234461.0.10*.131*.122*.122.0.0" msgID="32DCF85A11ECE88AB5F20080EF45A059"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</si>
  <si>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ut="06/10/2022 07:04:27" si="2.00000001845bb0070357f6b1bc9920b67e771233e19e1e7b3c01cd4875e11340cb39dc3a4bd6d1a0b90a3eec9bfbbdb8743700fdd3105617128085582d3e22144963158baacf392cd6902f337f38f181f5142058e040357dae76f673f38cbed1341dc36cb5815ff91f51d11707dc545447a60c14e2674527a3362af60532936d81ce40555e84449f68a35f6248ed196f913cef537bb9fa398efc352282d6fceb8d24.p.3082.0.1.Europe/Madrid.upriv*_1*_pidn2*_17*_session*-lat*_1.0000000117f28ae1098253d6abfca60478c082edbc6025e00c46e786a9cffadc1e98aede261da14795f29f6787f2c35df5fbd407f0c24666.00000001c364a76d8eba9e708f8ba2322b2a54dcbc6025e0a740d9ed18795f31eea7e6d584e117d1f0356dbf2e94f93c03d9c6f23055bd1e.0.1.1.BDEbi.D066E1C611E6257C10D00080EF253B44.0-3082.1.1_-0.1.0_-3082.1.1_5.5.0.*0.00000001b4a35b8c1cf576103cbb5fdd8fffe764c911585ac67bd19dae3d5d3bb29067df9fd474a3.0.23.11*.2*.0400*.31152J.e.000000014a9aa9a0656ddc6d5e9b442f2d2d7238c911585a67d4d87fc5f3e3556497b2fb32234461.0.10*.131*.122*.122.0.0" msgID="4053461011ECE88AB5F20080EFC5A058"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nrr="1054" nrc="1984"&gt;&lt;pg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</si>
  <si>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Junio 2022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</si>
  <si>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ut="06/10/2022 07:21:41" si="2.00000001845bb0070357f6b1bc9920b67e771233e19e1e7b3c01cd4875e11340cb39dc3a4bd6d1a0b90a3eec9bfbbdb8743700fdd3105617128085582d3e22144963158baacf392cd6902f337f38f181f5142058e040357dae76f673f38cbed1341dc36cb5815ff91f51d11707dc545447a60c14e2674527a3362af60532936d81ce40555e84449f68a35f6248ed196f913cef537bb9fa398efc352282d6fceb8d24.p.3082.0.1.Europe/Madrid.upriv*_1*_pidn2*_17*_session*-lat*_1.0000000117f28ae1098253d6abfca60478c082edbc6025e00c46e786a9cffadc1e98aede261da14795f29f6787f2c35df5fbd407f0c24666.00000001c364a76d8eba9e708f8ba2322b2a54dcbc6025e0a740d9ed18795f31eea7e6d584e117d1f0356dbf2e94f93c03d9c6f23055bd1e.0.1.1.BDEbi.D066E1C611E6257C10D00080EF253B44.0-3082.1.1_-0.1.0_-3082.1.1_5.5.0.*0.00000001b4a35b8c1cf576103cbb5fdd8fffe764c911585ac67bd19dae3d5d3bb29067df9fd474a3.0.23.11*.2*.0400*.31152J.e.000000014a9aa9a0656ddc6d5e9b442f2d2d7238c911585a67d4d87fc5f3e3556497b2fb32234461.0.10*.131*.122*.122.0.0" msgID="8550848211ECE88DB5F20080EF255F56"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cols="20" /&gt;&lt;esdo ews="" ece="" ptn="" /&gt;&lt;/excel&gt;&lt;pgs&gt;&lt;pg rows="25" cols="18" nrr="1502" nrc="1169"&gt;&lt;pg /&gt;&lt;bls&gt;&lt;bl sr="1" sc="1" rfetch="25" cfetch="18" posid="1" darows="0" dacols="1"&gt;&lt;excel&gt;&lt;epo ews="Dat_01" ece="A85" enr="MSTR.Serie_Balance_B.C._Mensual_Baleares_y_Canarias" ptn="" qtn="" rows="28" cols="20" /&gt;&lt;esdo ews="" ece="" ptn="" /&gt;&lt;/excel&gt;&lt;gridRng&gt;&lt;sect id="TITLE_AREA" rngprop="1:1:3:2" /&gt;&lt;sect id="ROWHEADERS_AREA" rngprop="4:1:25:2" /&gt;&lt;sect id="COLUMNHEADERS_AREA" rngprop="1:3:3:18" /&gt;&lt;sect id="DATA_AREA" rngprop="4:3:25:18"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</si>
  <si>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ut="06/10/2022 07:23:07" si="2.00000001e5245d22485a23e587743de6c51e7351df697e7d3d12d2bde8055804af3084b5b5442290ffae7b8a2c77a7fbf15b84a9ebb79ed4943f7dfbeba1d42cde6b6f656e0868a3e277a581f23dc7ea370ee8cb1338e9f7ae93a4af7e105c203b84241bb43d97077dd31ad0368b3668a308307330070da8878508aff0567829d278803bfab0d816572c4d2edb78df6390f8e14c8c3546a68f80a1547fbbcce08fb5.p.3082.0.1.Europe/Madrid.upriv*_1*_pidn2*_16*_session*-lat*_1.000000018928aca0a888ad7d75308ed614089b07bc6025e09c4713d4e3bf6ee792744fdde1ca5a731b81e4b7511c8838b1477cbf7c31781f.00000001c04308dcebe206e9d6505c271bd950fabc6025e0fcf65c2b88e087ad8e59c3a50e3ff2a34b140898e213ff986830e0e2abbaaebe.0.1.1.BDEbi.D066E1C611E6257C10D00080EF253B44.0-3082.1.1_-0.1.0_-3082.1.1_5.5.0.*0.000000014a0ff4004cfc5ecdf973b1b247eed347c911585a2f9e3a7ba0179eea5a750758dff26dcc.0.23.11*.2*.0400*.31152J.e.0000000109d7c5a2219ac28bd6aec5bc4e468372c911585a1a6ead60f04ba4bf52bfd56e605e48ca.0.10*.131*.122*.122.0.0" msgID="2566FB6811ECE88EB5F20080EF357F57"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nrr="89" nrc="504"&gt;&lt;pg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</si>
  <si>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1e60a76e29294fe5b8ba1f6f7eb00f73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</si>
  <si>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ut="06/10/2022 07:23:30" si="2.00000001e5245d22485a23e587743de6c51e7351df697e7d3d12d2bde8055804af3084b5b5442290ffae7b8a2c77a7fbf15b84a9ebb79ed4943f7dfbeba1d42cde6b6f656e0868a3e277a581f23dc7ea370ee8cb1338e9f7ae93a4af7e105c203b84241bb43d97077dd31ad0368b3668a308307330070da8878508aff0567829d278803bfab0d816572c4d2edb78df6390f8e14c8c3546a68f80a1547fbbcce08fb5.p.3082.0.1.Europe/Madrid.upriv*_1*_pidn2*_16*_session*-lat*_1.000000018928aca0a888ad7d75308ed614089b07bc6025e09c4713d4e3bf6ee792744fdde1ca5a731b81e4b7511c8838b1477cbf7c31781f.00000001c04308dcebe206e9d6505c271bd950fabc6025e0fcf65c2b88e087ad8e59c3a50e3ff2a34b140898e213ff986830e0e2abbaaebe.0.1.1.BDEbi.D066E1C611E6257C10D00080EF253B44.0-3082.1.1_-0.1.0_-3082.1.1_5.5.0.*0.000000014a0ff4004cfc5ecdf973b1b247eed347c911585a2f9e3a7ba0179eea5a750758dff26dcc.0.23.11*.2*.0400*.31152J.e.0000000109d7c5a2219ac28bd6aec5bc4e468372c911585a1a6ead60f04ba4bf52bfd56e605e48ca.0.10*.131*.122*.122.0.0" msgID="347E921411ECE88EB5F20080EF953E55"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nrr="43" nrc="528"&gt;&lt;pg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</si>
</sst>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25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0" fontId="49" fillId="0" borderId="0" xfId="0" applyFont="1"/>
    <xf numFmtId="10" fontId="19" fillId="5" borderId="10" xfId="33" applyAlignment="1">
      <alignment horizontal="right" vertical="center"/>
    </xf>
    <xf numFmtId="172" fontId="0" fillId="0" borderId="0" xfId="0" applyNumberFormat="1"/>
    <xf numFmtId="171" fontId="45" fillId="0" borderId="0" xfId="0" applyNumberFormat="1" applyFont="1"/>
    <xf numFmtId="168" fontId="50" fillId="0" borderId="0" xfId="0" applyNumberFormat="1" applyFont="1"/>
    <xf numFmtId="0" fontId="50" fillId="0" borderId="0" xfId="0" applyFont="1"/>
    <xf numFmtId="164" fontId="32" fillId="6" borderId="10" xfId="13" applyNumberFormat="1" applyAlignment="1">
      <alignment horizontal="right" vertical="center"/>
    </xf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9186991869918699"/>
                  <c:y val="-5.41230507951212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951219512195122"/>
                  <c:y val="-6.536591014358499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762902503040777"/>
                  <c:y val="0.193382372240234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31396671147813843"/>
                  <c:y val="8.92157480314960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27967479674796747"/>
                  <c:y val="-2.99498224486645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6473196338262591"/>
                  <c:y val="-0.127968581133240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6.1788617886178801E-2"/>
                  <c:y val="-0.150495599814729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15934959349593483"/>
                  <c:y val="-0.117642427049559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9.1286697513471573</c:v>
                </c:pt>
                <c:pt idx="2">
                  <c:v>5.6947310997515999</c:v>
                </c:pt>
                <c:pt idx="3">
                  <c:v>67.20549763549441</c:v>
                </c:pt>
                <c:pt idx="4">
                  <c:v>0</c:v>
                </c:pt>
                <c:pt idx="5">
                  <c:v>0.41186536428163212</c:v>
                </c:pt>
                <c:pt idx="6">
                  <c:v>2.5070369852166001</c:v>
                </c:pt>
                <c:pt idx="7">
                  <c:v>2.5070369852166001</c:v>
                </c:pt>
                <c:pt idx="8">
                  <c:v>3.4028771938188915E-2</c:v>
                </c:pt>
                <c:pt idx="9">
                  <c:v>5.6937004443085781</c:v>
                </c:pt>
                <c:pt idx="10">
                  <c:v>3.5200375332967312E-2</c:v>
                </c:pt>
                <c:pt idx="11">
                  <c:v>6.7822325871122677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4634146341463414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-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4390243902439024"/>
                  <c:y val="0.25480393700787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5691056910569104"/>
                  <c:y val="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8373996543115037"/>
                  <c:y val="-0.113264242704956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2520325203252028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11.641113645978622</c:v>
                </c:pt>
                <c:pt idx="1">
                  <c:v>6.7279073061750418</c:v>
                </c:pt>
                <c:pt idx="2">
                  <c:v>29.107610447303927</c:v>
                </c:pt>
                <c:pt idx="3">
                  <c:v>39.715888968805174</c:v>
                </c:pt>
                <c:pt idx="4">
                  <c:v>0</c:v>
                </c:pt>
                <c:pt idx="5">
                  <c:v>0.55613827753984935</c:v>
                </c:pt>
                <c:pt idx="6">
                  <c:v>1.8050483016567185</c:v>
                </c:pt>
                <c:pt idx="7">
                  <c:v>1.8050483016567185</c:v>
                </c:pt>
                <c:pt idx="8">
                  <c:v>0.17410993979215539</c:v>
                </c:pt>
                <c:pt idx="9">
                  <c:v>8.3643339318797896</c:v>
                </c:pt>
                <c:pt idx="10">
                  <c:v>0.10280087921200028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may.-21</c:v>
                </c:pt>
                <c:pt idx="1">
                  <c:v>jun.-21</c:v>
                </c:pt>
                <c:pt idx="2">
                  <c:v>jul.-21</c:v>
                </c:pt>
                <c:pt idx="3">
                  <c:v>ago.-21</c:v>
                </c:pt>
                <c:pt idx="4">
                  <c:v>sep.-21</c:v>
                </c:pt>
                <c:pt idx="5">
                  <c:v>oct.-21</c:v>
                </c:pt>
                <c:pt idx="6">
                  <c:v>nov.-21</c:v>
                </c:pt>
                <c:pt idx="7">
                  <c:v>dic.-21</c:v>
                </c:pt>
                <c:pt idx="8">
                  <c:v>ene.-22</c:v>
                </c:pt>
                <c:pt idx="9">
                  <c:v>feb.-22</c:v>
                </c:pt>
                <c:pt idx="10">
                  <c:v>mar.-22</c:v>
                </c:pt>
                <c:pt idx="11">
                  <c:v>abr.-22</c:v>
                </c:pt>
                <c:pt idx="12">
                  <c:v>may.-22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-1.103416</c:v>
                </c:pt>
                <c:pt idx="1">
                  <c:v>41.953423999999998</c:v>
                </c:pt>
                <c:pt idx="2">
                  <c:v>9.292719</c:v>
                </c:pt>
                <c:pt idx="3">
                  <c:v>-0.72875599999999996</c:v>
                </c:pt>
                <c:pt idx="4">
                  <c:v>-0.54997399999999996</c:v>
                </c:pt>
                <c:pt idx="5">
                  <c:v>-0.58327700000000005</c:v>
                </c:pt>
                <c:pt idx="6">
                  <c:v>-0.582067</c:v>
                </c:pt>
                <c:pt idx="7">
                  <c:v>-0.61424800000000002</c:v>
                </c:pt>
                <c:pt idx="8">
                  <c:v>-0.627467</c:v>
                </c:pt>
                <c:pt idx="9">
                  <c:v>-0.58012699999999995</c:v>
                </c:pt>
                <c:pt idx="10">
                  <c:v>-0.66887300000000005</c:v>
                </c:pt>
                <c:pt idx="11">
                  <c:v>-0.60498099999999999</c:v>
                </c:pt>
                <c:pt idx="12">
                  <c:v>-1.0302370000000001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may.-21</c:v>
                </c:pt>
                <c:pt idx="1">
                  <c:v>jun.-21</c:v>
                </c:pt>
                <c:pt idx="2">
                  <c:v>jul.-21</c:v>
                </c:pt>
                <c:pt idx="3">
                  <c:v>ago.-21</c:v>
                </c:pt>
                <c:pt idx="4">
                  <c:v>sep.-21</c:v>
                </c:pt>
                <c:pt idx="5">
                  <c:v>oct.-21</c:v>
                </c:pt>
                <c:pt idx="6">
                  <c:v>nov.-21</c:v>
                </c:pt>
                <c:pt idx="7">
                  <c:v>dic.-21</c:v>
                </c:pt>
                <c:pt idx="8">
                  <c:v>ene.-22</c:v>
                </c:pt>
                <c:pt idx="9">
                  <c:v>feb.-22</c:v>
                </c:pt>
                <c:pt idx="10">
                  <c:v>mar.-22</c:v>
                </c:pt>
                <c:pt idx="11">
                  <c:v>abr.-22</c:v>
                </c:pt>
                <c:pt idx="12">
                  <c:v>may.-22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28.996893</c:v>
                </c:pt>
                <c:pt idx="1">
                  <c:v>60.343260999999998</c:v>
                </c:pt>
                <c:pt idx="2">
                  <c:v>87.100239000000002</c:v>
                </c:pt>
                <c:pt idx="3">
                  <c:v>103.041223</c:v>
                </c:pt>
                <c:pt idx="4">
                  <c:v>93.585977999999997</c:v>
                </c:pt>
                <c:pt idx="5">
                  <c:v>60.567518999999997</c:v>
                </c:pt>
                <c:pt idx="6">
                  <c:v>37.046178999999995</c:v>
                </c:pt>
                <c:pt idx="7">
                  <c:v>38.331002999999995</c:v>
                </c:pt>
                <c:pt idx="8">
                  <c:v>46.216700000000003</c:v>
                </c:pt>
                <c:pt idx="9">
                  <c:v>39.301479</c:v>
                </c:pt>
                <c:pt idx="10">
                  <c:v>43.216614</c:v>
                </c:pt>
                <c:pt idx="11">
                  <c:v>55.506872999999999</c:v>
                </c:pt>
                <c:pt idx="12">
                  <c:v>70.042770000000004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may.-21</c:v>
                </c:pt>
                <c:pt idx="1">
                  <c:v>jun.-21</c:v>
                </c:pt>
                <c:pt idx="2">
                  <c:v>jul.-21</c:v>
                </c:pt>
                <c:pt idx="3">
                  <c:v>ago.-21</c:v>
                </c:pt>
                <c:pt idx="4">
                  <c:v>sep.-21</c:v>
                </c:pt>
                <c:pt idx="5">
                  <c:v>oct.-21</c:v>
                </c:pt>
                <c:pt idx="6">
                  <c:v>nov.-21</c:v>
                </c:pt>
                <c:pt idx="7">
                  <c:v>dic.-21</c:v>
                </c:pt>
                <c:pt idx="8">
                  <c:v>ene.-22</c:v>
                </c:pt>
                <c:pt idx="9">
                  <c:v>feb.-22</c:v>
                </c:pt>
                <c:pt idx="10">
                  <c:v>mar.-22</c:v>
                </c:pt>
                <c:pt idx="11">
                  <c:v>abr.-22</c:v>
                </c:pt>
                <c:pt idx="12">
                  <c:v>may.-22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203.81251599999999</c:v>
                </c:pt>
                <c:pt idx="1">
                  <c:v>240.58060900000001</c:v>
                </c:pt>
                <c:pt idx="2">
                  <c:v>408.79444899999999</c:v>
                </c:pt>
                <c:pt idx="3">
                  <c:v>437.91378300000002</c:v>
                </c:pt>
                <c:pt idx="4">
                  <c:v>367.24080800000002</c:v>
                </c:pt>
                <c:pt idx="5">
                  <c:v>312.10340600000001</c:v>
                </c:pt>
                <c:pt idx="6">
                  <c:v>305.43751500000002</c:v>
                </c:pt>
                <c:pt idx="7">
                  <c:v>332.59120100000001</c:v>
                </c:pt>
                <c:pt idx="8">
                  <c:v>350.08292499999999</c:v>
                </c:pt>
                <c:pt idx="9">
                  <c:v>298.62258500000002</c:v>
                </c:pt>
                <c:pt idx="10">
                  <c:v>330.99539600000003</c:v>
                </c:pt>
                <c:pt idx="11">
                  <c:v>307.42903200000001</c:v>
                </c:pt>
                <c:pt idx="12">
                  <c:v>317.55595499999998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may.-21</c:v>
                </c:pt>
                <c:pt idx="1">
                  <c:v>jun.-21</c:v>
                </c:pt>
                <c:pt idx="2">
                  <c:v>jul.-21</c:v>
                </c:pt>
                <c:pt idx="3">
                  <c:v>ago.-21</c:v>
                </c:pt>
                <c:pt idx="4">
                  <c:v>sep.-21</c:v>
                </c:pt>
                <c:pt idx="5">
                  <c:v>oct.-21</c:v>
                </c:pt>
                <c:pt idx="6">
                  <c:v>nov.-21</c:v>
                </c:pt>
                <c:pt idx="7">
                  <c:v>dic.-21</c:v>
                </c:pt>
                <c:pt idx="8">
                  <c:v>ene.-22</c:v>
                </c:pt>
                <c:pt idx="9">
                  <c:v>feb.-22</c:v>
                </c:pt>
                <c:pt idx="10">
                  <c:v>mar.-22</c:v>
                </c:pt>
                <c:pt idx="11">
                  <c:v>abr.-22</c:v>
                </c:pt>
                <c:pt idx="12">
                  <c:v>may.-22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0.189554</c:v>
                </c:pt>
                <c:pt idx="1">
                  <c:v>9.4216999999999995E-2</c:v>
                </c:pt>
                <c:pt idx="2">
                  <c:v>0.106017</c:v>
                </c:pt>
                <c:pt idx="3">
                  <c:v>0.20128099999999999</c:v>
                </c:pt>
                <c:pt idx="4">
                  <c:v>0.27444800000000003</c:v>
                </c:pt>
                <c:pt idx="5">
                  <c:v>0.26974799999999999</c:v>
                </c:pt>
                <c:pt idx="6">
                  <c:v>6.1364000000000002E-2</c:v>
                </c:pt>
                <c:pt idx="7">
                  <c:v>0.10125000000000001</c:v>
                </c:pt>
                <c:pt idx="8">
                  <c:v>0.215638</c:v>
                </c:pt>
                <c:pt idx="9">
                  <c:v>0.22824</c:v>
                </c:pt>
                <c:pt idx="10">
                  <c:v>0.33845999999999998</c:v>
                </c:pt>
                <c:pt idx="11">
                  <c:v>0.239788</c:v>
                </c:pt>
                <c:pt idx="12">
                  <c:v>0.16079099999999999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may.-21</c:v>
                </c:pt>
                <c:pt idx="1">
                  <c:v>jun.-21</c:v>
                </c:pt>
                <c:pt idx="2">
                  <c:v>jul.-21</c:v>
                </c:pt>
                <c:pt idx="3">
                  <c:v>ago.-21</c:v>
                </c:pt>
                <c:pt idx="4">
                  <c:v>sep.-21</c:v>
                </c:pt>
                <c:pt idx="5">
                  <c:v>oct.-21</c:v>
                </c:pt>
                <c:pt idx="6">
                  <c:v>nov.-21</c:v>
                </c:pt>
                <c:pt idx="7">
                  <c:v>dic.-21</c:v>
                </c:pt>
                <c:pt idx="8">
                  <c:v>ene.-22</c:v>
                </c:pt>
                <c:pt idx="9">
                  <c:v>feb.-22</c:v>
                </c:pt>
                <c:pt idx="10">
                  <c:v>mar.-22</c:v>
                </c:pt>
                <c:pt idx="11">
                  <c:v>abr.-22</c:v>
                </c:pt>
                <c:pt idx="12">
                  <c:v>may.-22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22.208131999999999</c:v>
                </c:pt>
                <c:pt idx="1">
                  <c:v>21.169694</c:v>
                </c:pt>
                <c:pt idx="2">
                  <c:v>22.966384000000001</c:v>
                </c:pt>
                <c:pt idx="3">
                  <c:v>21.414781000000001</c:v>
                </c:pt>
                <c:pt idx="4">
                  <c:v>17.622215000000001</c:v>
                </c:pt>
                <c:pt idx="5">
                  <c:v>16.792960999999998</c:v>
                </c:pt>
                <c:pt idx="6">
                  <c:v>8.8102359999999997</c:v>
                </c:pt>
                <c:pt idx="7">
                  <c:v>11.149039999999999</c:v>
                </c:pt>
                <c:pt idx="8">
                  <c:v>14.422969999999999</c:v>
                </c:pt>
                <c:pt idx="9">
                  <c:v>17.843508</c:v>
                </c:pt>
                <c:pt idx="10">
                  <c:v>13.605662000000001</c:v>
                </c:pt>
                <c:pt idx="11">
                  <c:v>21.880269999999999</c:v>
                </c:pt>
                <c:pt idx="12">
                  <c:v>26.903580000000002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may.-21</c:v>
                </c:pt>
                <c:pt idx="1">
                  <c:v>jun.-21</c:v>
                </c:pt>
                <c:pt idx="2">
                  <c:v>jul.-21</c:v>
                </c:pt>
                <c:pt idx="3">
                  <c:v>ago.-21</c:v>
                </c:pt>
                <c:pt idx="4">
                  <c:v>sep.-21</c:v>
                </c:pt>
                <c:pt idx="5">
                  <c:v>oct.-21</c:v>
                </c:pt>
                <c:pt idx="6">
                  <c:v>nov.-21</c:v>
                </c:pt>
                <c:pt idx="7">
                  <c:v>dic.-21</c:v>
                </c:pt>
                <c:pt idx="8">
                  <c:v>ene.-22</c:v>
                </c:pt>
                <c:pt idx="9">
                  <c:v>feb.-22</c:v>
                </c:pt>
                <c:pt idx="10">
                  <c:v>mar.-22</c:v>
                </c:pt>
                <c:pt idx="11">
                  <c:v>abr.-22</c:v>
                </c:pt>
                <c:pt idx="12">
                  <c:v>may.-22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0.118546</c:v>
                </c:pt>
                <c:pt idx="1">
                  <c:v>0.10044400000000001</c:v>
                </c:pt>
                <c:pt idx="2">
                  <c:v>9.6151E-2</c:v>
                </c:pt>
                <c:pt idx="3">
                  <c:v>8.4413000000000002E-2</c:v>
                </c:pt>
                <c:pt idx="4">
                  <c:v>8.1381999999999996E-2</c:v>
                </c:pt>
                <c:pt idx="5">
                  <c:v>0.243059</c:v>
                </c:pt>
                <c:pt idx="6">
                  <c:v>0.24007600000000001</c:v>
                </c:pt>
                <c:pt idx="7">
                  <c:v>0.230462</c:v>
                </c:pt>
                <c:pt idx="8">
                  <c:v>0.285244</c:v>
                </c:pt>
                <c:pt idx="9">
                  <c:v>0.28095199999999998</c:v>
                </c:pt>
                <c:pt idx="10">
                  <c:v>0.29118100000000002</c:v>
                </c:pt>
                <c:pt idx="11">
                  <c:v>0.16531499999999999</c:v>
                </c:pt>
                <c:pt idx="12">
                  <c:v>0.166327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may.-21</c:v>
                </c:pt>
                <c:pt idx="1">
                  <c:v>jun.-21</c:v>
                </c:pt>
                <c:pt idx="2">
                  <c:v>jul.-21</c:v>
                </c:pt>
                <c:pt idx="3">
                  <c:v>ago.-21</c:v>
                </c:pt>
                <c:pt idx="4">
                  <c:v>sep.-21</c:v>
                </c:pt>
                <c:pt idx="5">
                  <c:v>oct.-21</c:v>
                </c:pt>
                <c:pt idx="6">
                  <c:v>nov.-21</c:v>
                </c:pt>
                <c:pt idx="7">
                  <c:v>dic.-21</c:v>
                </c:pt>
                <c:pt idx="8">
                  <c:v>ene.-22</c:v>
                </c:pt>
                <c:pt idx="9">
                  <c:v>feb.-22</c:v>
                </c:pt>
                <c:pt idx="10">
                  <c:v>mar.-22</c:v>
                </c:pt>
                <c:pt idx="11">
                  <c:v>abr.-22</c:v>
                </c:pt>
                <c:pt idx="12">
                  <c:v>may.-22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2.5715810000000001</c:v>
                </c:pt>
                <c:pt idx="1">
                  <c:v>3.062163</c:v>
                </c:pt>
                <c:pt idx="2">
                  <c:v>4.0856940000000002</c:v>
                </c:pt>
                <c:pt idx="3">
                  <c:v>3.9309270000000001</c:v>
                </c:pt>
                <c:pt idx="4">
                  <c:v>3.8190279999999999</c:v>
                </c:pt>
                <c:pt idx="5">
                  <c:v>4.0205719999999996</c:v>
                </c:pt>
                <c:pt idx="6">
                  <c:v>1.4121680000000001</c:v>
                </c:pt>
                <c:pt idx="7">
                  <c:v>3.5189080000000001</c:v>
                </c:pt>
                <c:pt idx="8">
                  <c:v>3.4010050000000001</c:v>
                </c:pt>
                <c:pt idx="9">
                  <c:v>3.0684070000000001</c:v>
                </c:pt>
                <c:pt idx="10">
                  <c:v>3.993204</c:v>
                </c:pt>
                <c:pt idx="11">
                  <c:v>1.8386769999999999</c:v>
                </c:pt>
                <c:pt idx="12">
                  <c:v>1.9461250000000001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may.-21</c:v>
                </c:pt>
                <c:pt idx="1">
                  <c:v>jun.-21</c:v>
                </c:pt>
                <c:pt idx="2">
                  <c:v>jul.-21</c:v>
                </c:pt>
                <c:pt idx="3">
                  <c:v>ago.-21</c:v>
                </c:pt>
                <c:pt idx="4">
                  <c:v>sep.-21</c:v>
                </c:pt>
                <c:pt idx="5">
                  <c:v>oct.-21</c:v>
                </c:pt>
                <c:pt idx="6">
                  <c:v>nov.-21</c:v>
                </c:pt>
                <c:pt idx="7">
                  <c:v>dic.-21</c:v>
                </c:pt>
                <c:pt idx="8">
                  <c:v>ene.-22</c:v>
                </c:pt>
                <c:pt idx="9">
                  <c:v>feb.-22</c:v>
                </c:pt>
                <c:pt idx="10">
                  <c:v>mar.-22</c:v>
                </c:pt>
                <c:pt idx="11">
                  <c:v>abr.-22</c:v>
                </c:pt>
                <c:pt idx="12">
                  <c:v>may.-22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6.0236640000000001</c:v>
                </c:pt>
                <c:pt idx="1">
                  <c:v>13.481942</c:v>
                </c:pt>
                <c:pt idx="2">
                  <c:v>11.473026000000001</c:v>
                </c:pt>
                <c:pt idx="3">
                  <c:v>13.3199895</c:v>
                </c:pt>
                <c:pt idx="4">
                  <c:v>11.972504499999999</c:v>
                </c:pt>
                <c:pt idx="5">
                  <c:v>6.4146000000000001</c:v>
                </c:pt>
                <c:pt idx="6">
                  <c:v>13.8683715</c:v>
                </c:pt>
                <c:pt idx="7">
                  <c:v>8.8660929999999993</c:v>
                </c:pt>
                <c:pt idx="8">
                  <c:v>9.8711500000000001</c:v>
                </c:pt>
                <c:pt idx="9">
                  <c:v>5.4414375000000001</c:v>
                </c:pt>
                <c:pt idx="10">
                  <c:v>9.6633200000000006</c:v>
                </c:pt>
                <c:pt idx="11">
                  <c:v>7.8050050000000004</c:v>
                </c:pt>
                <c:pt idx="12">
                  <c:v>11.846121999999999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6.0236640000000001</c:v>
                </c:pt>
                <c:pt idx="1">
                  <c:v>13.481942</c:v>
                </c:pt>
                <c:pt idx="2">
                  <c:v>11.473026000000001</c:v>
                </c:pt>
                <c:pt idx="3">
                  <c:v>13.3199895</c:v>
                </c:pt>
                <c:pt idx="4">
                  <c:v>11.972504499999999</c:v>
                </c:pt>
                <c:pt idx="5">
                  <c:v>6.4146000000000001</c:v>
                </c:pt>
                <c:pt idx="6">
                  <c:v>13.8683715</c:v>
                </c:pt>
                <c:pt idx="7">
                  <c:v>8.8660929999999993</c:v>
                </c:pt>
                <c:pt idx="8">
                  <c:v>9.8711500000000001</c:v>
                </c:pt>
                <c:pt idx="9">
                  <c:v>5.4414375000000001</c:v>
                </c:pt>
                <c:pt idx="10">
                  <c:v>9.6633200000000006</c:v>
                </c:pt>
                <c:pt idx="11">
                  <c:v>7.8050050000000004</c:v>
                </c:pt>
                <c:pt idx="12">
                  <c:v>11.846121999999999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may.-21</c:v>
                </c:pt>
                <c:pt idx="1">
                  <c:v>jun.-21</c:v>
                </c:pt>
                <c:pt idx="2">
                  <c:v>jul.-21</c:v>
                </c:pt>
                <c:pt idx="3">
                  <c:v>ago.-21</c:v>
                </c:pt>
                <c:pt idx="4">
                  <c:v>sep.-21</c:v>
                </c:pt>
                <c:pt idx="5">
                  <c:v>oct.-21</c:v>
                </c:pt>
                <c:pt idx="6">
                  <c:v>nov.-21</c:v>
                </c:pt>
                <c:pt idx="7">
                  <c:v>dic.-21</c:v>
                </c:pt>
                <c:pt idx="8">
                  <c:v>ene.-22</c:v>
                </c:pt>
                <c:pt idx="9">
                  <c:v>feb.-22</c:v>
                </c:pt>
                <c:pt idx="10">
                  <c:v>mar.-22</c:v>
                </c:pt>
                <c:pt idx="11">
                  <c:v>abr.-22</c:v>
                </c:pt>
                <c:pt idx="12">
                  <c:v>may.-22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111.601713</c:v>
                </c:pt>
                <c:pt idx="1">
                  <c:v>65.429468</c:v>
                </c:pt>
                <c:pt idx="2">
                  <c:v>45.879221000000001</c:v>
                </c:pt>
                <c:pt idx="3">
                  <c:v>40.107311000000003</c:v>
                </c:pt>
                <c:pt idx="4">
                  <c:v>37.549396999999999</c:v>
                </c:pt>
                <c:pt idx="5">
                  <c:v>38.285525</c:v>
                </c:pt>
                <c:pt idx="6">
                  <c:v>28.435708999999999</c:v>
                </c:pt>
                <c:pt idx="7">
                  <c:v>32.270831999999999</c:v>
                </c:pt>
                <c:pt idx="8">
                  <c:v>31.159338999999999</c:v>
                </c:pt>
                <c:pt idx="9">
                  <c:v>27.502502</c:v>
                </c:pt>
                <c:pt idx="10">
                  <c:v>30.689281000000001</c:v>
                </c:pt>
                <c:pt idx="11">
                  <c:v>33.641058999999998</c:v>
                </c:pt>
                <c:pt idx="12">
                  <c:v>32.047055999999998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7.333346456692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4.9019607843137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7235772357723578"/>
                  <c:y val="-3.921568627450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0.13983739837398373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15.357439273541601</c:v>
                </c:pt>
                <c:pt idx="1">
                  <c:v>16.400185591208245</c:v>
                </c:pt>
                <c:pt idx="2">
                  <c:v>15.199972297149777</c:v>
                </c:pt>
                <c:pt idx="3">
                  <c:v>27.25438427389652</c:v>
                </c:pt>
                <c:pt idx="4">
                  <c:v>1.2030476996335189</c:v>
                </c:pt>
                <c:pt idx="5">
                  <c:v>4.7869960823113837E-2</c:v>
                </c:pt>
                <c:pt idx="6">
                  <c:v>0.35650523455108463</c:v>
                </c:pt>
                <c:pt idx="7">
                  <c:v>17.715507245009132</c:v>
                </c:pt>
                <c:pt idx="8">
                  <c:v>6.3486888352381756</c:v>
                </c:pt>
                <c:pt idx="9">
                  <c:v>0.1163995889488347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6910569105691056"/>
                  <c:y val="-2.45098039215686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4308943089430898"/>
                  <c:y val="-0.117647058823529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7.3170859740093463E-2"/>
                  <c:y val="-0.134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75809055118110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5934946546315845"/>
                  <c:y val="-0.142843330245484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20.315144268132389</c:v>
                </c:pt>
                <c:pt idx="1">
                  <c:v>2.1966288022060594</c:v>
                </c:pt>
                <c:pt idx="2">
                  <c:v>12.407607793759185</c:v>
                </c:pt>
                <c:pt idx="3">
                  <c:v>43.352232550363198</c:v>
                </c:pt>
                <c:pt idx="4">
                  <c:v>0</c:v>
                </c:pt>
                <c:pt idx="5">
                  <c:v>4.2688198729063584E-2</c:v>
                </c:pt>
                <c:pt idx="6">
                  <c:v>0.27389335757498617</c:v>
                </c:pt>
                <c:pt idx="7">
                  <c:v>16.685282176693921</c:v>
                </c:pt>
                <c:pt idx="8">
                  <c:v>4.6234522927852897</c:v>
                </c:pt>
                <c:pt idx="9">
                  <c:v>0.10307055975591148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may.-21</c:v>
                </c:pt>
                <c:pt idx="1">
                  <c:v>jun.-21</c:v>
                </c:pt>
                <c:pt idx="2">
                  <c:v>jul.-21</c:v>
                </c:pt>
                <c:pt idx="3">
                  <c:v>ago.-21</c:v>
                </c:pt>
                <c:pt idx="4">
                  <c:v>sep.-21</c:v>
                </c:pt>
                <c:pt idx="5">
                  <c:v>oct.-21</c:v>
                </c:pt>
                <c:pt idx="6">
                  <c:v>nov.-21</c:v>
                </c:pt>
                <c:pt idx="7">
                  <c:v>dic.-21</c:v>
                </c:pt>
                <c:pt idx="8">
                  <c:v>ene.-22</c:v>
                </c:pt>
                <c:pt idx="9">
                  <c:v>feb.-22</c:v>
                </c:pt>
                <c:pt idx="10">
                  <c:v>mar.-22</c:v>
                </c:pt>
                <c:pt idx="11">
                  <c:v>abr.-22</c:v>
                </c:pt>
                <c:pt idx="12">
                  <c:v>may.-22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0.26783600000000002</c:v>
                </c:pt>
                <c:pt idx="1">
                  <c:v>0.28217700000000001</c:v>
                </c:pt>
                <c:pt idx="2">
                  <c:v>0.28972599999999998</c:v>
                </c:pt>
                <c:pt idx="3">
                  <c:v>0.28065899999999999</c:v>
                </c:pt>
                <c:pt idx="4">
                  <c:v>0.27753299999999997</c:v>
                </c:pt>
                <c:pt idx="5">
                  <c:v>0.28213100000000002</c:v>
                </c:pt>
                <c:pt idx="6">
                  <c:v>0.23125799999999999</c:v>
                </c:pt>
                <c:pt idx="7">
                  <c:v>0.15536</c:v>
                </c:pt>
                <c:pt idx="8">
                  <c:v>0.294213</c:v>
                </c:pt>
                <c:pt idx="9">
                  <c:v>0.25058200000000003</c:v>
                </c:pt>
                <c:pt idx="10">
                  <c:v>0.29644599999999999</c:v>
                </c:pt>
                <c:pt idx="11">
                  <c:v>0.27407199999999998</c:v>
                </c:pt>
                <c:pt idx="12">
                  <c:v>0.29880499999999999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may.-21</c:v>
                </c:pt>
                <c:pt idx="1">
                  <c:v>jun.-21</c:v>
                </c:pt>
                <c:pt idx="2">
                  <c:v>jul.-21</c:v>
                </c:pt>
                <c:pt idx="3">
                  <c:v>ago.-21</c:v>
                </c:pt>
                <c:pt idx="4">
                  <c:v>sep.-21</c:v>
                </c:pt>
                <c:pt idx="5">
                  <c:v>oct.-21</c:v>
                </c:pt>
                <c:pt idx="6">
                  <c:v>nov.-21</c:v>
                </c:pt>
                <c:pt idx="7">
                  <c:v>dic.-21</c:v>
                </c:pt>
                <c:pt idx="8">
                  <c:v>ene.-22</c:v>
                </c:pt>
                <c:pt idx="9">
                  <c:v>feb.-22</c:v>
                </c:pt>
                <c:pt idx="10">
                  <c:v>mar.-22</c:v>
                </c:pt>
                <c:pt idx="11">
                  <c:v>abr.-22</c:v>
                </c:pt>
                <c:pt idx="12">
                  <c:v>may.-22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205.95798300000001</c:v>
                </c:pt>
                <c:pt idx="1">
                  <c:v>182.213075</c:v>
                </c:pt>
                <c:pt idx="2">
                  <c:v>222.63896800000001</c:v>
                </c:pt>
                <c:pt idx="3">
                  <c:v>266.148821</c:v>
                </c:pt>
                <c:pt idx="4">
                  <c:v>313.81515200000001</c:v>
                </c:pt>
                <c:pt idx="5">
                  <c:v>299.91658699999999</c:v>
                </c:pt>
                <c:pt idx="6">
                  <c:v>280.34116800000004</c:v>
                </c:pt>
                <c:pt idx="7">
                  <c:v>286.85584700000004</c:v>
                </c:pt>
                <c:pt idx="8">
                  <c:v>282.52258499999999</c:v>
                </c:pt>
                <c:pt idx="9">
                  <c:v>254.215059</c:v>
                </c:pt>
                <c:pt idx="10">
                  <c:v>285.48886599999997</c:v>
                </c:pt>
                <c:pt idx="11">
                  <c:v>258.29193100000003</c:v>
                </c:pt>
                <c:pt idx="12">
                  <c:v>244.42552999999998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may.-21</c:v>
                </c:pt>
                <c:pt idx="1">
                  <c:v>jun.-21</c:v>
                </c:pt>
                <c:pt idx="2">
                  <c:v>jul.-21</c:v>
                </c:pt>
                <c:pt idx="3">
                  <c:v>ago.-21</c:v>
                </c:pt>
                <c:pt idx="4">
                  <c:v>sep.-21</c:v>
                </c:pt>
                <c:pt idx="5">
                  <c:v>oct.-21</c:v>
                </c:pt>
                <c:pt idx="6">
                  <c:v>nov.-21</c:v>
                </c:pt>
                <c:pt idx="7">
                  <c:v>dic.-21</c:v>
                </c:pt>
                <c:pt idx="8">
                  <c:v>ene.-22</c:v>
                </c:pt>
                <c:pt idx="9">
                  <c:v>feb.-22</c:v>
                </c:pt>
                <c:pt idx="10">
                  <c:v>mar.-22</c:v>
                </c:pt>
                <c:pt idx="11">
                  <c:v>abr.-22</c:v>
                </c:pt>
                <c:pt idx="12">
                  <c:v>may.-22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236.28277700000001</c:v>
                </c:pt>
                <c:pt idx="1">
                  <c:v>276.61590899999999</c:v>
                </c:pt>
                <c:pt idx="2">
                  <c:v>284.60979800000001</c:v>
                </c:pt>
                <c:pt idx="3">
                  <c:v>284.30052499999999</c:v>
                </c:pt>
                <c:pt idx="4">
                  <c:v>278.88830000000002</c:v>
                </c:pt>
                <c:pt idx="5">
                  <c:v>288.42916700000001</c:v>
                </c:pt>
                <c:pt idx="6">
                  <c:v>314.272829</c:v>
                </c:pt>
                <c:pt idx="7">
                  <c:v>321.01253800000001</c:v>
                </c:pt>
                <c:pt idx="8">
                  <c:v>350.31383599999998</c:v>
                </c:pt>
                <c:pt idx="9">
                  <c:v>285.33313399999997</c:v>
                </c:pt>
                <c:pt idx="10">
                  <c:v>288.5179</c:v>
                </c:pt>
                <c:pt idx="11">
                  <c:v>265.37271800000002</c:v>
                </c:pt>
                <c:pt idx="12">
                  <c:v>303.45304399999998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may.-21</c:v>
                </c:pt>
                <c:pt idx="1">
                  <c:v>jun.-21</c:v>
                </c:pt>
                <c:pt idx="2">
                  <c:v>jul.-21</c:v>
                </c:pt>
                <c:pt idx="3">
                  <c:v>ago.-21</c:v>
                </c:pt>
                <c:pt idx="4">
                  <c:v>sep.-21</c:v>
                </c:pt>
                <c:pt idx="5">
                  <c:v>oct.-21</c:v>
                </c:pt>
                <c:pt idx="6">
                  <c:v>nov.-21</c:v>
                </c:pt>
                <c:pt idx="7">
                  <c:v>dic.-21</c:v>
                </c:pt>
                <c:pt idx="8">
                  <c:v>ene.-22</c:v>
                </c:pt>
                <c:pt idx="9">
                  <c:v>feb.-22</c:v>
                </c:pt>
                <c:pt idx="10">
                  <c:v>mar.-22</c:v>
                </c:pt>
                <c:pt idx="11">
                  <c:v>abr.-22</c:v>
                </c:pt>
                <c:pt idx="12">
                  <c:v>may.-22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3.227077</c:v>
                </c:pt>
                <c:pt idx="1">
                  <c:v>3.0020419999999999</c:v>
                </c:pt>
                <c:pt idx="2">
                  <c:v>3.5782180000000001</c:v>
                </c:pt>
                <c:pt idx="3">
                  <c:v>2.663478</c:v>
                </c:pt>
                <c:pt idx="4">
                  <c:v>1.4201079999999999</c:v>
                </c:pt>
                <c:pt idx="5">
                  <c:v>1.852679</c:v>
                </c:pt>
                <c:pt idx="6">
                  <c:v>1.1397900000000001</c:v>
                </c:pt>
                <c:pt idx="7">
                  <c:v>1.2278610000000001</c:v>
                </c:pt>
                <c:pt idx="8">
                  <c:v>1.110916</c:v>
                </c:pt>
                <c:pt idx="9">
                  <c:v>1.4820450000000001</c:v>
                </c:pt>
                <c:pt idx="10">
                  <c:v>2.1263230000000002</c:v>
                </c:pt>
                <c:pt idx="11">
                  <c:v>1.7525280000000001</c:v>
                </c:pt>
                <c:pt idx="12">
                  <c:v>1.9171739999999999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may.-21</c:v>
                </c:pt>
                <c:pt idx="1">
                  <c:v>jun.-21</c:v>
                </c:pt>
                <c:pt idx="2">
                  <c:v>jul.-21</c:v>
                </c:pt>
                <c:pt idx="3">
                  <c:v>ago.-21</c:v>
                </c:pt>
                <c:pt idx="4">
                  <c:v>sep.-21</c:v>
                </c:pt>
                <c:pt idx="5">
                  <c:v>oct.-21</c:v>
                </c:pt>
                <c:pt idx="6">
                  <c:v>nov.-21</c:v>
                </c:pt>
                <c:pt idx="7">
                  <c:v>dic.-21</c:v>
                </c:pt>
                <c:pt idx="8">
                  <c:v>ene.-22</c:v>
                </c:pt>
                <c:pt idx="9">
                  <c:v>feb.-22</c:v>
                </c:pt>
                <c:pt idx="10">
                  <c:v>mar.-22</c:v>
                </c:pt>
                <c:pt idx="11">
                  <c:v>abr.-22</c:v>
                </c:pt>
                <c:pt idx="12">
                  <c:v>may.-22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164.67089200000001</c:v>
                </c:pt>
                <c:pt idx="1">
                  <c:v>148.01756800000001</c:v>
                </c:pt>
                <c:pt idx="2">
                  <c:v>158.51629800000001</c:v>
                </c:pt>
                <c:pt idx="3">
                  <c:v>145.95032699999999</c:v>
                </c:pt>
                <c:pt idx="4">
                  <c:v>107.853368</c:v>
                </c:pt>
                <c:pt idx="5">
                  <c:v>121.987015</c:v>
                </c:pt>
                <c:pt idx="6">
                  <c:v>91.770038</c:v>
                </c:pt>
                <c:pt idx="7">
                  <c:v>92.867580000000004</c:v>
                </c:pt>
                <c:pt idx="8">
                  <c:v>60.148176999999997</c:v>
                </c:pt>
                <c:pt idx="9">
                  <c:v>88.981584999999995</c:v>
                </c:pt>
                <c:pt idx="10">
                  <c:v>108.99192499999999</c:v>
                </c:pt>
                <c:pt idx="11">
                  <c:v>120.763114</c:v>
                </c:pt>
                <c:pt idx="12">
                  <c:v>116.792132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may.-21</c:v>
                </c:pt>
                <c:pt idx="1">
                  <c:v>jun.-21</c:v>
                </c:pt>
                <c:pt idx="2">
                  <c:v>jul.-21</c:v>
                </c:pt>
                <c:pt idx="3">
                  <c:v>ago.-21</c:v>
                </c:pt>
                <c:pt idx="4">
                  <c:v>sep.-21</c:v>
                </c:pt>
                <c:pt idx="5">
                  <c:v>oct.-21</c:v>
                </c:pt>
                <c:pt idx="6">
                  <c:v>nov.-21</c:v>
                </c:pt>
                <c:pt idx="7">
                  <c:v>dic.-21</c:v>
                </c:pt>
                <c:pt idx="8">
                  <c:v>ene.-22</c:v>
                </c:pt>
                <c:pt idx="9">
                  <c:v>feb.-22</c:v>
                </c:pt>
                <c:pt idx="10">
                  <c:v>mar.-22</c:v>
                </c:pt>
                <c:pt idx="11">
                  <c:v>abr.-22</c:v>
                </c:pt>
                <c:pt idx="12">
                  <c:v>may.-22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27.092843999999999</c:v>
                </c:pt>
                <c:pt idx="1">
                  <c:v>24.741710999999999</c:v>
                </c:pt>
                <c:pt idx="2">
                  <c:v>27.937771999999999</c:v>
                </c:pt>
                <c:pt idx="3">
                  <c:v>26.120768999999999</c:v>
                </c:pt>
                <c:pt idx="4">
                  <c:v>21.565273000000001</c:v>
                </c:pt>
                <c:pt idx="5">
                  <c:v>20.979474</c:v>
                </c:pt>
                <c:pt idx="6">
                  <c:v>14.946410999999999</c:v>
                </c:pt>
                <c:pt idx="7">
                  <c:v>16.937016</c:v>
                </c:pt>
                <c:pt idx="8">
                  <c:v>17.956958</c:v>
                </c:pt>
                <c:pt idx="9">
                  <c:v>18.798999999999999</c:v>
                </c:pt>
                <c:pt idx="10">
                  <c:v>24.855595999999998</c:v>
                </c:pt>
                <c:pt idx="11">
                  <c:v>24.757097000000002</c:v>
                </c:pt>
                <c:pt idx="12">
                  <c:v>32.362824000000003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may.-21</c:v>
                </c:pt>
                <c:pt idx="1">
                  <c:v>jun.-21</c:v>
                </c:pt>
                <c:pt idx="2">
                  <c:v>jul.-21</c:v>
                </c:pt>
                <c:pt idx="3">
                  <c:v>ago.-21</c:v>
                </c:pt>
                <c:pt idx="4">
                  <c:v>sep.-21</c:v>
                </c:pt>
                <c:pt idx="5">
                  <c:v>oct.-21</c:v>
                </c:pt>
                <c:pt idx="6">
                  <c:v>nov.-21</c:v>
                </c:pt>
                <c:pt idx="7">
                  <c:v>dic.-21</c:v>
                </c:pt>
                <c:pt idx="8">
                  <c:v>ene.-22</c:v>
                </c:pt>
                <c:pt idx="9">
                  <c:v>feb.-22</c:v>
                </c:pt>
                <c:pt idx="10">
                  <c:v>mar.-22</c:v>
                </c:pt>
                <c:pt idx="11">
                  <c:v>abr.-22</c:v>
                </c:pt>
                <c:pt idx="12">
                  <c:v>may.-22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0.72256799999999999</c:v>
                </c:pt>
                <c:pt idx="1">
                  <c:v>0.72395900000000002</c:v>
                </c:pt>
                <c:pt idx="2">
                  <c:v>0.73402900000000004</c:v>
                </c:pt>
                <c:pt idx="3">
                  <c:v>0.56980699999999995</c:v>
                </c:pt>
                <c:pt idx="4">
                  <c:v>0.40013300000000002</c:v>
                </c:pt>
                <c:pt idx="5">
                  <c:v>0.75599700000000003</c:v>
                </c:pt>
                <c:pt idx="6">
                  <c:v>0.75323799999999996</c:v>
                </c:pt>
                <c:pt idx="7">
                  <c:v>0.822349</c:v>
                </c:pt>
                <c:pt idx="8">
                  <c:v>0.86053100000000005</c:v>
                </c:pt>
                <c:pt idx="9">
                  <c:v>0.72069799999999995</c:v>
                </c:pt>
                <c:pt idx="10">
                  <c:v>0.90984399999999999</c:v>
                </c:pt>
                <c:pt idx="11">
                  <c:v>0.61352399999999996</c:v>
                </c:pt>
                <c:pt idx="12">
                  <c:v>0.72146399999999999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409574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7540FBA-6A1D-4E2B-89E1-3E42DBA0B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1</xdr:row>
      <xdr:rowOff>95250</xdr:rowOff>
    </xdr:from>
    <xdr:to>
      <xdr:col>4</xdr:col>
      <xdr:colOff>123824</xdr:colOff>
      <xdr:row>2</xdr:row>
      <xdr:rowOff>46349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2E23FE4-9A10-4062-8185-444C13CE3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114300</xdr:rowOff>
    </xdr:from>
    <xdr:to>
      <xdr:col>4</xdr:col>
      <xdr:colOff>133349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ED4FB2F-487B-49EC-99B2-3E12DD095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B2F503C-40E9-4211-9B92-A3F678F7F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7E2BF0D-0D37-4CBE-9BEE-95BD7EE58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524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114300</xdr:rowOff>
    </xdr:from>
    <xdr:to>
      <xdr:col>4</xdr:col>
      <xdr:colOff>133349</xdr:colOff>
      <xdr:row>2</xdr:row>
      <xdr:rowOff>65399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D343DEF-2B94-45AD-A2DD-D8B9A5213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142874</xdr:colOff>
      <xdr:row>2</xdr:row>
      <xdr:rowOff>65399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5E5DB26-02F6-458D-8CDF-175871441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EC0FF67-784E-4D65-A912-409EBBA90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F30" sqref="F30"/>
    </sheetView>
  </sheetViews>
  <sheetFormatPr baseColWidth="10" defaultColWidth="11.42578125" defaultRowHeight="12.75"/>
  <cols>
    <col min="1" max="1" width="0.140625" style="92" customWidth="1"/>
    <col min="2" max="2" width="2.5703125" style="92" customWidth="1"/>
    <col min="3" max="3" width="16.42578125" style="92" customWidth="1"/>
    <col min="4" max="4" width="4.5703125" style="92" customWidth="1"/>
    <col min="5" max="5" width="95.570312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Mayo 2022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zoomScale="80" zoomScaleNormal="80" workbookViewId="0">
      <selection activeCell="D68" sqref="D68:D78"/>
    </sheetView>
  </sheetViews>
  <sheetFormatPr baseColWidth="10" defaultColWidth="11.42578125" defaultRowHeight="12"/>
  <cols>
    <col min="1" max="1" width="9.42578125" style="111" bestFit="1" customWidth="1"/>
    <col min="2" max="2" width="17.7109375" style="111" bestFit="1" customWidth="1"/>
    <col min="3" max="3" width="31.7109375" style="111" bestFit="1" customWidth="1"/>
    <col min="4" max="4" width="27" style="111" bestFit="1" customWidth="1"/>
    <col min="5" max="5" width="27.85546875" style="111" bestFit="1" customWidth="1"/>
    <col min="6" max="6" width="42.85546875" style="111" bestFit="1" customWidth="1"/>
    <col min="7" max="7" width="31.5703125" style="111" bestFit="1" customWidth="1"/>
    <col min="8" max="8" width="26.5703125" style="111" bestFit="1" customWidth="1"/>
    <col min="9" max="9" width="27.42578125" style="111" bestFit="1" customWidth="1"/>
    <col min="10" max="10" width="36.7109375" style="111" bestFit="1" customWidth="1"/>
    <col min="11" max="11" width="37.42578125" style="111" bestFit="1" customWidth="1"/>
    <col min="12" max="12" width="32.42578125" style="111" bestFit="1" customWidth="1"/>
    <col min="13" max="13" width="33.42578125" style="111" bestFit="1" customWidth="1"/>
    <col min="14" max="14" width="42.7109375" style="111" bestFit="1" customWidth="1"/>
    <col min="15" max="33" width="14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122</v>
      </c>
      <c r="B2" s="144" t="s">
        <v>123</v>
      </c>
    </row>
    <row r="4" spans="1:33" ht="15">
      <c r="A4" s="145" t="s">
        <v>67</v>
      </c>
      <c r="B4" s="206" t="s">
        <v>122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</row>
    <row r="5" spans="1:33" ht="15">
      <c r="A5" s="145" t="s">
        <v>68</v>
      </c>
      <c r="B5" s="222" t="s">
        <v>15</v>
      </c>
      <c r="C5" s="223"/>
      <c r="D5" s="223"/>
      <c r="E5" s="223"/>
      <c r="F5" s="223"/>
      <c r="G5" s="223"/>
      <c r="H5" s="223"/>
      <c r="I5" s="224"/>
      <c r="J5" s="222" t="s">
        <v>14</v>
      </c>
      <c r="K5" s="223"/>
      <c r="L5" s="223"/>
      <c r="M5" s="223"/>
      <c r="N5" s="223"/>
      <c r="O5" s="223"/>
      <c r="P5" s="223"/>
      <c r="Q5" s="224"/>
      <c r="R5" s="222" t="s">
        <v>57</v>
      </c>
      <c r="S5" s="223"/>
      <c r="T5" s="223"/>
      <c r="U5" s="223"/>
      <c r="V5" s="223"/>
      <c r="W5" s="223"/>
      <c r="X5" s="223"/>
      <c r="Y5" s="224"/>
      <c r="Z5" s="222" t="s">
        <v>58</v>
      </c>
      <c r="AA5" s="223"/>
      <c r="AB5" s="223"/>
      <c r="AC5" s="223"/>
      <c r="AD5" s="223"/>
      <c r="AE5" s="223"/>
      <c r="AF5" s="223"/>
      <c r="AG5" s="223"/>
    </row>
    <row r="6" spans="1:33">
      <c r="A6" s="145" t="s">
        <v>69</v>
      </c>
      <c r="B6" s="191" t="s">
        <v>59</v>
      </c>
      <c r="C6" s="191" t="s">
        <v>60</v>
      </c>
      <c r="D6" s="191" t="s">
        <v>61</v>
      </c>
      <c r="E6" s="191" t="s">
        <v>62</v>
      </c>
      <c r="F6" s="191" t="s">
        <v>63</v>
      </c>
      <c r="G6" s="191" t="s">
        <v>64</v>
      </c>
      <c r="H6" s="191" t="s">
        <v>65</v>
      </c>
      <c r="I6" s="191" t="s">
        <v>66</v>
      </c>
      <c r="J6" s="191" t="s">
        <v>59</v>
      </c>
      <c r="K6" s="191" t="s">
        <v>60</v>
      </c>
      <c r="L6" s="191" t="s">
        <v>61</v>
      </c>
      <c r="M6" s="191" t="s">
        <v>62</v>
      </c>
      <c r="N6" s="191" t="s">
        <v>63</v>
      </c>
      <c r="O6" s="191" t="s">
        <v>64</v>
      </c>
      <c r="P6" s="191" t="s">
        <v>65</v>
      </c>
      <c r="Q6" s="191" t="s">
        <v>66</v>
      </c>
      <c r="R6" s="191" t="s">
        <v>59</v>
      </c>
      <c r="S6" s="191" t="s">
        <v>60</v>
      </c>
      <c r="T6" s="191" t="s">
        <v>61</v>
      </c>
      <c r="U6" s="191" t="s">
        <v>62</v>
      </c>
      <c r="V6" s="191" t="s">
        <v>63</v>
      </c>
      <c r="W6" s="191" t="s">
        <v>64</v>
      </c>
      <c r="X6" s="191" t="s">
        <v>65</v>
      </c>
      <c r="Y6" s="191" t="s">
        <v>66</v>
      </c>
      <c r="Z6" s="191" t="s">
        <v>59</v>
      </c>
      <c r="AA6" s="191" t="s">
        <v>60</v>
      </c>
      <c r="AB6" s="191" t="s">
        <v>61</v>
      </c>
      <c r="AC6" s="191" t="s">
        <v>62</v>
      </c>
      <c r="AD6" s="191" t="s">
        <v>63</v>
      </c>
      <c r="AE6" s="191" t="s">
        <v>64</v>
      </c>
      <c r="AF6" s="191" t="s">
        <v>65</v>
      </c>
      <c r="AG6" s="191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298.80500000000001</v>
      </c>
      <c r="AA8" s="158">
        <v>267.83600000000001</v>
      </c>
      <c r="AB8" s="151">
        <v>0.1156267268</v>
      </c>
      <c r="AC8" s="158">
        <v>1414.1179999999999</v>
      </c>
      <c r="AD8" s="158">
        <v>1244.058</v>
      </c>
      <c r="AE8" s="151">
        <v>0.13669780670000001</v>
      </c>
      <c r="AF8" s="158">
        <v>3212.962</v>
      </c>
      <c r="AG8" s="151">
        <v>-1.9570076499999998E-2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-1030.2370000000001</v>
      </c>
      <c r="S9" s="158">
        <v>-1103.4159999999999</v>
      </c>
      <c r="T9" s="151">
        <v>-6.6320408600000005E-2</v>
      </c>
      <c r="U9" s="158">
        <v>-3511.6849999999999</v>
      </c>
      <c r="V9" s="158">
        <v>-3585.1869999999999</v>
      </c>
      <c r="W9" s="151">
        <v>-2.0501580500000002E-2</v>
      </c>
      <c r="X9" s="158">
        <v>44676.135999999999</v>
      </c>
      <c r="Y9" s="151">
        <v>-0.80387942489999997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16199.483</v>
      </c>
      <c r="C10" s="158">
        <v>15508.210999999999</v>
      </c>
      <c r="D10" s="151">
        <v>4.4574580500000002E-2</v>
      </c>
      <c r="E10" s="158">
        <v>81214.997000000003</v>
      </c>
      <c r="F10" s="158">
        <v>79704.528999999995</v>
      </c>
      <c r="G10" s="151">
        <v>1.8950842799999999E-2</v>
      </c>
      <c r="H10" s="158">
        <v>198189.41899999999</v>
      </c>
      <c r="I10" s="151">
        <v>5.1604507999999999E-3</v>
      </c>
      <c r="J10" s="158">
        <v>14310.715</v>
      </c>
      <c r="K10" s="158">
        <v>15223.852000000001</v>
      </c>
      <c r="L10" s="151">
        <v>-5.9980680299999999E-2</v>
      </c>
      <c r="M10" s="158">
        <v>72966.536999999997</v>
      </c>
      <c r="N10" s="158">
        <v>75608.168000000005</v>
      </c>
      <c r="O10" s="151">
        <v>-3.49384342E-2</v>
      </c>
      <c r="P10" s="158">
        <v>190288.18700000001</v>
      </c>
      <c r="Q10" s="151">
        <v>-3.30525297E-2</v>
      </c>
      <c r="R10" s="158">
        <v>43134.32</v>
      </c>
      <c r="S10" s="158">
        <v>20114.982</v>
      </c>
      <c r="T10" s="151">
        <v>1.1443877007000001</v>
      </c>
      <c r="U10" s="158">
        <v>167558.58300000001</v>
      </c>
      <c r="V10" s="158">
        <v>98618.23</v>
      </c>
      <c r="W10" s="151">
        <v>0.69906297240000004</v>
      </c>
      <c r="X10" s="158">
        <v>467820.63799999998</v>
      </c>
      <c r="Y10" s="151">
        <v>0.66546520180000002</v>
      </c>
      <c r="Z10" s="158">
        <v>142200.11300000001</v>
      </c>
      <c r="AA10" s="158">
        <v>126338.086</v>
      </c>
      <c r="AB10" s="151">
        <v>0.1255522187</v>
      </c>
      <c r="AC10" s="158">
        <v>702354.24600000004</v>
      </c>
      <c r="AD10" s="158">
        <v>648264.027</v>
      </c>
      <c r="AE10" s="151">
        <v>8.3438563199999996E-2</v>
      </c>
      <c r="AF10" s="158">
        <v>1770997.7660000001</v>
      </c>
      <c r="AG10" s="151">
        <v>7.3591858900000001E-2</v>
      </c>
    </row>
    <row r="11" spans="1:33">
      <c r="A11" s="144" t="s">
        <v>9</v>
      </c>
      <c r="B11" s="158">
        <v>4.2679999999999998</v>
      </c>
      <c r="C11" s="158">
        <v>6.9939999999999998</v>
      </c>
      <c r="D11" s="151">
        <v>-0.38976265370000002</v>
      </c>
      <c r="E11" s="158">
        <v>47.764000000000003</v>
      </c>
      <c r="F11" s="158">
        <v>33.180999999999997</v>
      </c>
      <c r="G11" s="151">
        <v>0.43949850820000003</v>
      </c>
      <c r="H11" s="158">
        <v>221.476</v>
      </c>
      <c r="I11" s="151">
        <v>0.15359894160000001</v>
      </c>
      <c r="J11" s="158">
        <v>19.233000000000001</v>
      </c>
      <c r="K11" s="158">
        <v>1.3540000000000001</v>
      </c>
      <c r="L11" s="151">
        <v>13.204579025099999</v>
      </c>
      <c r="M11" s="158">
        <v>77.260999999999996</v>
      </c>
      <c r="N11" s="158">
        <v>71.259</v>
      </c>
      <c r="O11" s="151">
        <v>8.4227957199999995E-2</v>
      </c>
      <c r="P11" s="158">
        <v>97.093999999999994</v>
      </c>
      <c r="Q11" s="151">
        <v>-0.39839272329999997</v>
      </c>
      <c r="R11" s="158">
        <v>26908.45</v>
      </c>
      <c r="S11" s="158">
        <v>7704.7420000000002</v>
      </c>
      <c r="T11" s="151">
        <v>2.4924530893000001</v>
      </c>
      <c r="U11" s="158">
        <v>86725.853000000003</v>
      </c>
      <c r="V11" s="158">
        <v>55355.834000000003</v>
      </c>
      <c r="W11" s="151">
        <v>0.5666976131</v>
      </c>
      <c r="X11" s="158">
        <v>255630.307</v>
      </c>
      <c r="Y11" s="151">
        <v>0.35717796540000002</v>
      </c>
      <c r="Z11" s="158">
        <v>15375.763999999999</v>
      </c>
      <c r="AA11" s="158">
        <v>17203.127</v>
      </c>
      <c r="AB11" s="151">
        <v>-0.1062227233</v>
      </c>
      <c r="AC11" s="158">
        <v>97665.426999999996</v>
      </c>
      <c r="AD11" s="158">
        <v>68706.198000000004</v>
      </c>
      <c r="AE11" s="151">
        <v>0.42149369120000002</v>
      </c>
      <c r="AF11" s="158">
        <v>227984.927</v>
      </c>
      <c r="AG11" s="151">
        <v>0.1511607932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86849.653000000006</v>
      </c>
      <c r="AA12" s="158">
        <v>62416.77</v>
      </c>
      <c r="AB12" s="151">
        <v>0.3914474107</v>
      </c>
      <c r="AC12" s="158">
        <v>524924.29799999995</v>
      </c>
      <c r="AD12" s="158">
        <v>455070.90500000003</v>
      </c>
      <c r="AE12" s="151">
        <v>0.15350001999999999</v>
      </c>
      <c r="AF12" s="158">
        <v>1177890.8959999999</v>
      </c>
      <c r="AG12" s="151">
        <v>-4.8837871599999999E-2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317555.95500000002</v>
      </c>
      <c r="S13" s="158">
        <v>203812.516</v>
      </c>
      <c r="T13" s="151">
        <v>0.55807877370000003</v>
      </c>
      <c r="U13" s="158">
        <v>1604685.8929999999</v>
      </c>
      <c r="V13" s="158">
        <v>1077559.2649999999</v>
      </c>
      <c r="W13" s="151">
        <v>0.48918574139999998</v>
      </c>
      <c r="X13" s="158">
        <v>4009347.6639999999</v>
      </c>
      <c r="Y13" s="151">
        <v>0.66431131229999996</v>
      </c>
      <c r="Z13" s="158">
        <v>303453.04399999999</v>
      </c>
      <c r="AA13" s="158">
        <v>236282.777</v>
      </c>
      <c r="AB13" s="151">
        <v>0.28427914999999998</v>
      </c>
      <c r="AC13" s="158">
        <v>1492990.632</v>
      </c>
      <c r="AD13" s="158">
        <v>1382110.5330000001</v>
      </c>
      <c r="AE13" s="151">
        <v>8.0225203699999997E-2</v>
      </c>
      <c r="AF13" s="158">
        <v>3541119.6979999999</v>
      </c>
      <c r="AG13" s="151">
        <v>9.15372146E-2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0</v>
      </c>
      <c r="S14" s="158">
        <v>1177.1690000000001</v>
      </c>
      <c r="T14" s="151">
        <v>-1</v>
      </c>
      <c r="U14" s="158">
        <v>0</v>
      </c>
      <c r="V14" s="158">
        <v>1177.1690000000001</v>
      </c>
      <c r="W14" s="151">
        <v>-1</v>
      </c>
      <c r="X14" s="158">
        <v>10848.893</v>
      </c>
      <c r="Y14" s="151">
        <v>1.1351969502000001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1917.174</v>
      </c>
      <c r="AA15" s="158">
        <v>3227.0770000000002</v>
      </c>
      <c r="AB15" s="151">
        <v>-0.40591005419999998</v>
      </c>
      <c r="AC15" s="158">
        <v>8388.9860000000008</v>
      </c>
      <c r="AD15" s="158">
        <v>8204.0810000000001</v>
      </c>
      <c r="AE15" s="151">
        <v>2.25381734E-2</v>
      </c>
      <c r="AF15" s="158">
        <v>23273.162</v>
      </c>
      <c r="AG15" s="151">
        <v>9.1417400499999996E-2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160.791</v>
      </c>
      <c r="S16" s="158">
        <v>189.554</v>
      </c>
      <c r="T16" s="151">
        <v>-0.15174040120000001</v>
      </c>
      <c r="U16" s="158">
        <v>1182.9169999999999</v>
      </c>
      <c r="V16" s="158">
        <v>1227.7840000000001</v>
      </c>
      <c r="W16" s="151">
        <v>-3.6543072699999998E-2</v>
      </c>
      <c r="X16" s="158">
        <v>2291.2420000000002</v>
      </c>
      <c r="Y16" s="151">
        <v>-0.2441106405</v>
      </c>
      <c r="Z16" s="158">
        <v>116792.132</v>
      </c>
      <c r="AA16" s="158">
        <v>164670.89199999999</v>
      </c>
      <c r="AB16" s="151">
        <v>-0.29075423969999997</v>
      </c>
      <c r="AC16" s="158">
        <v>495676.93300000002</v>
      </c>
      <c r="AD16" s="158">
        <v>443063.17</v>
      </c>
      <c r="AE16" s="151">
        <v>0.1187500261</v>
      </c>
      <c r="AF16" s="158">
        <v>1362639.1270000001</v>
      </c>
      <c r="AG16" s="151">
        <v>0.16602095610000001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7.9569999999999999</v>
      </c>
      <c r="K17" s="158">
        <v>7.2919999999999998</v>
      </c>
      <c r="L17" s="151">
        <v>9.1195831000000005E-2</v>
      </c>
      <c r="M17" s="158">
        <v>29.829000000000001</v>
      </c>
      <c r="N17" s="158">
        <v>28.916</v>
      </c>
      <c r="O17" s="151">
        <v>3.1574215000000003E-2</v>
      </c>
      <c r="P17" s="158">
        <v>61.508000000000003</v>
      </c>
      <c r="Q17" s="151">
        <v>-0.18481703839999999</v>
      </c>
      <c r="R17" s="158">
        <v>26903.58</v>
      </c>
      <c r="S17" s="158">
        <v>22208.132000000001</v>
      </c>
      <c r="T17" s="151">
        <v>0.21142921880000001</v>
      </c>
      <c r="U17" s="158">
        <v>94655.99</v>
      </c>
      <c r="V17" s="158">
        <v>68321.612999999998</v>
      </c>
      <c r="W17" s="151">
        <v>0.38544723759999999</v>
      </c>
      <c r="X17" s="158">
        <v>214581.30100000001</v>
      </c>
      <c r="Y17" s="151">
        <v>0.54183541840000005</v>
      </c>
      <c r="Z17" s="158">
        <v>32362.824000000001</v>
      </c>
      <c r="AA17" s="158">
        <v>27092.844000000001</v>
      </c>
      <c r="AB17" s="151">
        <v>0.19451557019999999</v>
      </c>
      <c r="AC17" s="158">
        <v>118731.47500000001</v>
      </c>
      <c r="AD17" s="158">
        <v>109036.769</v>
      </c>
      <c r="AE17" s="151">
        <v>8.8912264099999999E-2</v>
      </c>
      <c r="AF17" s="158">
        <v>271959.90100000001</v>
      </c>
      <c r="AG17" s="151">
        <v>4.89817533E-2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166.327</v>
      </c>
      <c r="S18" s="158">
        <v>118.54600000000001</v>
      </c>
      <c r="T18" s="151">
        <v>0.4030587283</v>
      </c>
      <c r="U18" s="158">
        <v>1189.019</v>
      </c>
      <c r="V18" s="158">
        <v>496.71800000000002</v>
      </c>
      <c r="W18" s="151">
        <v>1.3937505788</v>
      </c>
      <c r="X18" s="158">
        <v>2265.0059999999999</v>
      </c>
      <c r="Y18" s="151">
        <v>1.8368034507</v>
      </c>
      <c r="Z18" s="158">
        <v>721.46400000000006</v>
      </c>
      <c r="AA18" s="158">
        <v>722.56799999999998</v>
      </c>
      <c r="AB18" s="151">
        <v>-1.5278838999999999E-3</v>
      </c>
      <c r="AC18" s="158">
        <v>3826.0610000000001</v>
      </c>
      <c r="AD18" s="158">
        <v>3294.8789999999999</v>
      </c>
      <c r="AE18" s="151">
        <v>0.16121441789999999</v>
      </c>
      <c r="AF18" s="158">
        <v>8585.5730000000003</v>
      </c>
      <c r="AG18" s="151">
        <v>2.30062748E-2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1946.125</v>
      </c>
      <c r="S19" s="158">
        <v>2571.5810000000001</v>
      </c>
      <c r="T19" s="151">
        <v>-0.2432184714</v>
      </c>
      <c r="U19" s="158">
        <v>14247.418</v>
      </c>
      <c r="V19" s="158">
        <v>17495.602999999999</v>
      </c>
      <c r="W19" s="151">
        <v>-0.18565721909999999</v>
      </c>
      <c r="X19" s="158">
        <v>38096.877999999997</v>
      </c>
      <c r="Y19" s="151">
        <v>0.100471806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637.35649999999998</v>
      </c>
      <c r="K20" s="158">
        <v>561.99900000000002</v>
      </c>
      <c r="L20" s="151">
        <v>0.1340883169</v>
      </c>
      <c r="M20" s="158">
        <v>2437.9699999999998</v>
      </c>
      <c r="N20" s="158">
        <v>2812.3040000000001</v>
      </c>
      <c r="O20" s="151">
        <v>-0.13310580929999999</v>
      </c>
      <c r="P20" s="158">
        <v>5774.04</v>
      </c>
      <c r="Q20" s="151">
        <v>-8.6133244299999995E-2</v>
      </c>
      <c r="R20" s="158">
        <v>11846.121999999999</v>
      </c>
      <c r="S20" s="158">
        <v>6023.6639999999998</v>
      </c>
      <c r="T20" s="151">
        <v>0.96659740650000003</v>
      </c>
      <c r="U20" s="158">
        <v>44627.034500000002</v>
      </c>
      <c r="V20" s="158">
        <v>41531.289499999999</v>
      </c>
      <c r="W20" s="151">
        <v>7.4540064500000003E-2</v>
      </c>
      <c r="X20" s="158">
        <v>124023.561</v>
      </c>
      <c r="Y20" s="151">
        <v>3.8174550100000003E-2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637.35649999999998</v>
      </c>
      <c r="K21" s="158">
        <v>561.99900000000002</v>
      </c>
      <c r="L21" s="151">
        <v>0.1340883169</v>
      </c>
      <c r="M21" s="158">
        <v>2437.9699999999998</v>
      </c>
      <c r="N21" s="158">
        <v>2812.3040000000001</v>
      </c>
      <c r="O21" s="151">
        <v>-0.13310580929999999</v>
      </c>
      <c r="P21" s="158">
        <v>5774.04</v>
      </c>
      <c r="Q21" s="151">
        <v>-8.6133244299999995E-2</v>
      </c>
      <c r="R21" s="158">
        <v>11846.121999999999</v>
      </c>
      <c r="S21" s="158">
        <v>6023.6639999999998</v>
      </c>
      <c r="T21" s="151">
        <v>0.96659740650000003</v>
      </c>
      <c r="U21" s="158">
        <v>44627.034500000002</v>
      </c>
      <c r="V21" s="158">
        <v>41531.289499999999</v>
      </c>
      <c r="W21" s="151">
        <v>7.4540064500000003E-2</v>
      </c>
      <c r="X21" s="158">
        <v>124023.561</v>
      </c>
      <c r="Y21" s="151">
        <v>3.8174550100000003E-2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16203.751</v>
      </c>
      <c r="C22" s="159">
        <v>15515.205</v>
      </c>
      <c r="D22" s="152">
        <v>4.4378788400000001E-2</v>
      </c>
      <c r="E22" s="159">
        <v>81262.760999999999</v>
      </c>
      <c r="F22" s="159">
        <v>79737.710000000006</v>
      </c>
      <c r="G22" s="152">
        <v>1.9125843999999999E-2</v>
      </c>
      <c r="H22" s="159">
        <v>198410.89499999999</v>
      </c>
      <c r="I22" s="152">
        <v>5.3048451999999999E-3</v>
      </c>
      <c r="J22" s="159">
        <v>15612.618</v>
      </c>
      <c r="K22" s="159">
        <v>16356.495999999999</v>
      </c>
      <c r="L22" s="152">
        <v>-4.5479056099999998E-2</v>
      </c>
      <c r="M22" s="159">
        <v>77949.566999999995</v>
      </c>
      <c r="N22" s="159">
        <v>81332.951000000001</v>
      </c>
      <c r="O22" s="152">
        <v>-4.1599179200000003E-2</v>
      </c>
      <c r="P22" s="159">
        <v>201994.86900000001</v>
      </c>
      <c r="Q22" s="152">
        <v>-3.6587524500000003E-2</v>
      </c>
      <c r="R22" s="159">
        <v>439437.55499999999</v>
      </c>
      <c r="S22" s="159">
        <v>268841.13400000002</v>
      </c>
      <c r="T22" s="152">
        <v>0.63456219840000005</v>
      </c>
      <c r="U22" s="159">
        <v>2055988.057</v>
      </c>
      <c r="V22" s="159">
        <v>1399729.608</v>
      </c>
      <c r="W22" s="152">
        <v>0.46884658670000001</v>
      </c>
      <c r="X22" s="159">
        <v>5293605.1869999999</v>
      </c>
      <c r="Y22" s="152">
        <v>0.50058697070000002</v>
      </c>
      <c r="Z22" s="159">
        <v>699970.973</v>
      </c>
      <c r="AA22" s="159">
        <v>638221.97699999996</v>
      </c>
      <c r="AB22" s="152">
        <v>9.6751597800000005E-2</v>
      </c>
      <c r="AC22" s="159">
        <v>3445972.176</v>
      </c>
      <c r="AD22" s="159">
        <v>3118994.62</v>
      </c>
      <c r="AE22" s="152">
        <v>0.1048342802</v>
      </c>
      <c r="AF22" s="159">
        <v>8387664.0120000001</v>
      </c>
      <c r="AG22" s="152">
        <v>7.6576206999999993E-2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32047.056</v>
      </c>
      <c r="S23" s="158">
        <v>111601.713</v>
      </c>
      <c r="T23" s="151">
        <v>-0.71284440770000002</v>
      </c>
      <c r="U23" s="158">
        <v>155039.23699999999</v>
      </c>
      <c r="V23" s="158">
        <v>602271.50399999996</v>
      </c>
      <c r="W23" s="151">
        <v>-0.74257583839999997</v>
      </c>
      <c r="X23" s="158">
        <v>442996.7</v>
      </c>
      <c r="Y23" s="151">
        <v>-0.70533998799999997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16203.751</v>
      </c>
      <c r="C24" s="159">
        <v>15515.205</v>
      </c>
      <c r="D24" s="152">
        <v>4.4378788400000001E-2</v>
      </c>
      <c r="E24" s="159">
        <v>81262.760999999999</v>
      </c>
      <c r="F24" s="159">
        <v>79737.710000000006</v>
      </c>
      <c r="G24" s="152">
        <v>1.9125843999999999E-2</v>
      </c>
      <c r="H24" s="159">
        <v>198410.89499999999</v>
      </c>
      <c r="I24" s="152">
        <v>5.3048451999999999E-3</v>
      </c>
      <c r="J24" s="159">
        <v>15612.618</v>
      </c>
      <c r="K24" s="159">
        <v>16356.495999999999</v>
      </c>
      <c r="L24" s="152">
        <v>-4.5479056099999998E-2</v>
      </c>
      <c r="M24" s="159">
        <v>77949.566999999995</v>
      </c>
      <c r="N24" s="159">
        <v>81332.951000000001</v>
      </c>
      <c r="O24" s="152">
        <v>-4.1599179200000003E-2</v>
      </c>
      <c r="P24" s="159">
        <v>201994.86900000001</v>
      </c>
      <c r="Q24" s="152">
        <v>-3.6587524500000003E-2</v>
      </c>
      <c r="R24" s="159">
        <v>471484.61099999998</v>
      </c>
      <c r="S24" s="159">
        <v>380442.84700000001</v>
      </c>
      <c r="T24" s="152">
        <v>0.2393047069</v>
      </c>
      <c r="U24" s="159">
        <v>2211027.2940000002</v>
      </c>
      <c r="V24" s="159">
        <v>2002001.112</v>
      </c>
      <c r="W24" s="152">
        <v>0.1044086243</v>
      </c>
      <c r="X24" s="159">
        <v>5736601.8870000001</v>
      </c>
      <c r="Y24" s="152">
        <v>0.14022677350000001</v>
      </c>
      <c r="Z24" s="159">
        <v>699970.973</v>
      </c>
      <c r="AA24" s="159">
        <v>638221.97699999996</v>
      </c>
      <c r="AB24" s="152">
        <v>9.6751597800000005E-2</v>
      </c>
      <c r="AC24" s="159">
        <v>3445972.176</v>
      </c>
      <c r="AD24" s="159">
        <v>3118994.62</v>
      </c>
      <c r="AE24" s="152">
        <v>0.1048342802</v>
      </c>
      <c r="AF24" s="159">
        <v>8387664.0120000001</v>
      </c>
      <c r="AG24" s="152">
        <v>7.6576206999999993E-2</v>
      </c>
    </row>
    <row r="26" spans="1:33">
      <c r="A26" s="111" t="s">
        <v>103</v>
      </c>
      <c r="B26" s="179">
        <f>SUM(B24,J24,R24,Z24)</f>
        <v>1203271.953</v>
      </c>
      <c r="C26" s="179">
        <f>SUM(C24,K24,S24,AA24)</f>
        <v>1050536.5249999999</v>
      </c>
      <c r="D26" s="180">
        <f>((B26/C26)-1)*100</f>
        <v>14.538802256304241</v>
      </c>
      <c r="R26" s="180"/>
    </row>
    <row r="29" spans="1:33" ht="15">
      <c r="A29" s="145" t="s">
        <v>67</v>
      </c>
      <c r="B29" s="206" t="str">
        <f>A2</f>
        <v>Mayo 2022</v>
      </c>
      <c r="C29" s="207"/>
    </row>
    <row r="30" spans="1:33" ht="15">
      <c r="A30" s="145" t="s">
        <v>69</v>
      </c>
      <c r="B30" s="218" t="s">
        <v>72</v>
      </c>
      <c r="C30" s="219"/>
    </row>
    <row r="31" spans="1:33">
      <c r="A31" s="143" t="s">
        <v>68</v>
      </c>
      <c r="B31" s="178" t="s">
        <v>57</v>
      </c>
      <c r="C31" s="178" t="s">
        <v>58</v>
      </c>
    </row>
    <row r="32" spans="1:33">
      <c r="A32" s="145" t="s">
        <v>70</v>
      </c>
      <c r="B32" s="146"/>
      <c r="C32" s="146"/>
    </row>
    <row r="33" spans="1:4">
      <c r="A33" s="144" t="s">
        <v>12</v>
      </c>
      <c r="B33" s="147"/>
      <c r="C33" s="147">
        <v>1.52</v>
      </c>
    </row>
    <row r="34" spans="1:4">
      <c r="A34" s="144" t="s">
        <v>11</v>
      </c>
      <c r="B34" s="147">
        <v>241.2</v>
      </c>
      <c r="C34" s="147"/>
    </row>
    <row r="35" spans="1:4">
      <c r="A35" s="144" t="s">
        <v>78</v>
      </c>
      <c r="B35" s="147">
        <v>139.4</v>
      </c>
      <c r="C35" s="147">
        <v>487.64</v>
      </c>
    </row>
    <row r="36" spans="1:4">
      <c r="A36" s="144" t="s">
        <v>9</v>
      </c>
      <c r="B36" s="147">
        <v>603.1</v>
      </c>
      <c r="C36" s="147">
        <v>520.75</v>
      </c>
    </row>
    <row r="37" spans="1:4">
      <c r="A37" s="144" t="s">
        <v>8</v>
      </c>
      <c r="B37" s="147"/>
      <c r="C37" s="147">
        <v>482.64</v>
      </c>
    </row>
    <row r="38" spans="1:4">
      <c r="A38" s="144" t="s">
        <v>25</v>
      </c>
      <c r="B38" s="147">
        <v>822.9</v>
      </c>
      <c r="C38" s="147">
        <v>865.4</v>
      </c>
    </row>
    <row r="39" spans="1:4">
      <c r="A39" s="144" t="s">
        <v>24</v>
      </c>
      <c r="B39" s="147"/>
      <c r="C39" s="147"/>
    </row>
    <row r="40" spans="1:4">
      <c r="A40" s="144" t="s">
        <v>6</v>
      </c>
      <c r="B40" s="147"/>
      <c r="C40" s="147">
        <v>11.32</v>
      </c>
    </row>
    <row r="41" spans="1:4">
      <c r="A41" s="144" t="s">
        <v>5</v>
      </c>
      <c r="B41" s="147">
        <v>3.6074999999999999</v>
      </c>
      <c r="C41" s="147">
        <v>562.51499999999999</v>
      </c>
      <c r="D41" s="185"/>
    </row>
    <row r="42" spans="1:4">
      <c r="A42" s="144" t="s">
        <v>4</v>
      </c>
      <c r="B42" s="147">
        <v>173.30621500000001</v>
      </c>
      <c r="C42" s="147">
        <v>201.58794499999999</v>
      </c>
      <c r="D42" s="185"/>
    </row>
    <row r="43" spans="1:4">
      <c r="A43" s="144" t="s">
        <v>22</v>
      </c>
      <c r="B43" s="147">
        <v>2.13</v>
      </c>
      <c r="C43" s="147">
        <v>3.6960000000000002</v>
      </c>
    </row>
    <row r="44" spans="1:4">
      <c r="A44" s="144" t="s">
        <v>23</v>
      </c>
      <c r="B44" s="147">
        <v>11.523</v>
      </c>
      <c r="C44" s="147">
        <v>38.200000000000003</v>
      </c>
    </row>
    <row r="45" spans="1:4">
      <c r="A45" s="144" t="s">
        <v>54</v>
      </c>
      <c r="B45" s="147">
        <v>37.4</v>
      </c>
      <c r="C45" s="147"/>
    </row>
    <row r="46" spans="1:4">
      <c r="A46" s="144" t="s">
        <v>55</v>
      </c>
      <c r="B46" s="147">
        <v>37.4</v>
      </c>
      <c r="C46" s="147"/>
    </row>
    <row r="47" spans="1:4">
      <c r="A47" s="149" t="s">
        <v>2</v>
      </c>
      <c r="B47" s="188">
        <f>SUM(B33:B46)</f>
        <v>2071.966715</v>
      </c>
      <c r="C47" s="188">
        <f>SUM(C33:C46)</f>
        <v>3175.2689449999998</v>
      </c>
    </row>
    <row r="48" spans="1:4" ht="15">
      <c r="A48"/>
      <c r="C48"/>
      <c r="D48" s="184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241.2</v>
      </c>
      <c r="C52" s="116">
        <f t="shared" ref="C52:C57" si="0">B52/$B$63*100</f>
        <v>11.641113645978622</v>
      </c>
      <c r="D52" s="182"/>
      <c r="F52" s="114" t="s">
        <v>10</v>
      </c>
      <c r="G52" s="115">
        <f>C35</f>
        <v>487.64</v>
      </c>
      <c r="H52" s="116">
        <f>G52/$G$62*100</f>
        <v>15.357439273541601</v>
      </c>
    </row>
    <row r="53" spans="1:8">
      <c r="A53" s="114" t="s">
        <v>10</v>
      </c>
      <c r="B53" s="115">
        <f t="shared" ref="B53:B54" si="1">B35</f>
        <v>139.4</v>
      </c>
      <c r="C53" s="116">
        <f t="shared" si="0"/>
        <v>6.7279073061750418</v>
      </c>
      <c r="D53" s="182"/>
      <c r="F53" s="114" t="s">
        <v>9</v>
      </c>
      <c r="G53" s="115">
        <f>C36</f>
        <v>520.75</v>
      </c>
      <c r="H53" s="116">
        <f t="shared" ref="H53:H61" si="2">G53/$G$62*100</f>
        <v>16.400185591208245</v>
      </c>
    </row>
    <row r="54" spans="1:8">
      <c r="A54" s="114" t="s">
        <v>9</v>
      </c>
      <c r="B54" s="115">
        <f t="shared" si="1"/>
        <v>603.1</v>
      </c>
      <c r="C54" s="116">
        <f t="shared" si="0"/>
        <v>29.107610447303927</v>
      </c>
      <c r="D54" s="182"/>
      <c r="F54" s="114" t="s">
        <v>8</v>
      </c>
      <c r="G54" s="115">
        <f>C37</f>
        <v>482.64</v>
      </c>
      <c r="H54" s="116">
        <f t="shared" si="2"/>
        <v>15.199972297149777</v>
      </c>
    </row>
    <row r="55" spans="1:8">
      <c r="A55" s="114" t="s">
        <v>25</v>
      </c>
      <c r="B55" s="115">
        <f>B38</f>
        <v>822.9</v>
      </c>
      <c r="C55" s="116">
        <f t="shared" si="0"/>
        <v>39.715888968805174</v>
      </c>
      <c r="D55" s="182"/>
      <c r="F55" s="114" t="s">
        <v>25</v>
      </c>
      <c r="G55" s="115">
        <f>C38</f>
        <v>865.4</v>
      </c>
      <c r="H55" s="116">
        <f t="shared" si="2"/>
        <v>27.25438427389652</v>
      </c>
    </row>
    <row r="56" spans="1:8">
      <c r="A56" s="114" t="s">
        <v>24</v>
      </c>
      <c r="B56" s="115">
        <f>B39</f>
        <v>0</v>
      </c>
      <c r="C56" s="116">
        <f t="shared" si="0"/>
        <v>0</v>
      </c>
      <c r="D56" s="182"/>
      <c r="F56" s="114" t="s">
        <v>23</v>
      </c>
      <c r="G56" s="115">
        <f>C44</f>
        <v>38.200000000000003</v>
      </c>
      <c r="H56" s="116">
        <f t="shared" si="2"/>
        <v>1.2030476996335189</v>
      </c>
    </row>
    <row r="57" spans="1:8">
      <c r="A57" s="114" t="s">
        <v>23</v>
      </c>
      <c r="B57" s="115">
        <f>B44</f>
        <v>11.523</v>
      </c>
      <c r="C57" s="116">
        <f t="shared" si="0"/>
        <v>0.55613827753984935</v>
      </c>
      <c r="D57" s="182"/>
      <c r="F57" s="114" t="s">
        <v>12</v>
      </c>
      <c r="G57" s="116">
        <f>C33</f>
        <v>1.52</v>
      </c>
      <c r="H57" s="116">
        <f t="shared" si="2"/>
        <v>4.7869960823113837E-2</v>
      </c>
    </row>
    <row r="58" spans="1:8">
      <c r="A58" s="114" t="s">
        <v>55</v>
      </c>
      <c r="B58" s="115">
        <f>B46</f>
        <v>37.4</v>
      </c>
      <c r="C58" s="116">
        <f t="shared" ref="C58:C62" si="3">B58/$B$63*100</f>
        <v>1.8050483016567185</v>
      </c>
      <c r="D58" s="182"/>
      <c r="F58" s="114" t="s">
        <v>6</v>
      </c>
      <c r="G58" s="115">
        <f>C40</f>
        <v>11.32</v>
      </c>
      <c r="H58" s="116">
        <f t="shared" si="2"/>
        <v>0.35650523455108463</v>
      </c>
    </row>
    <row r="59" spans="1:8">
      <c r="A59" s="114" t="s">
        <v>54</v>
      </c>
      <c r="B59" s="115">
        <f>B45</f>
        <v>37.4</v>
      </c>
      <c r="C59" s="116">
        <f t="shared" si="3"/>
        <v>1.8050483016567185</v>
      </c>
      <c r="D59" s="182"/>
      <c r="F59" s="114" t="s">
        <v>5</v>
      </c>
      <c r="G59" s="115">
        <f>C41</f>
        <v>562.51499999999999</v>
      </c>
      <c r="H59" s="116">
        <f t="shared" si="2"/>
        <v>17.715507245009132</v>
      </c>
    </row>
    <row r="60" spans="1:8">
      <c r="A60" s="114" t="s">
        <v>5</v>
      </c>
      <c r="B60" s="115">
        <f>B41</f>
        <v>3.6074999999999999</v>
      </c>
      <c r="C60" s="116">
        <f t="shared" si="3"/>
        <v>0.17410993979215539</v>
      </c>
      <c r="D60" s="182"/>
      <c r="F60" s="114" t="s">
        <v>4</v>
      </c>
      <c r="G60" s="115">
        <f>C42</f>
        <v>201.58794499999999</v>
      </c>
      <c r="H60" s="116">
        <f t="shared" si="2"/>
        <v>6.3486888352381756</v>
      </c>
    </row>
    <row r="61" spans="1:8">
      <c r="A61" s="114" t="s">
        <v>4</v>
      </c>
      <c r="B61" s="115">
        <f>B42</f>
        <v>173.30621500000001</v>
      </c>
      <c r="C61" s="116">
        <f t="shared" si="3"/>
        <v>8.3643339318797896</v>
      </c>
      <c r="D61" s="182"/>
      <c r="F61" s="114" t="s">
        <v>22</v>
      </c>
      <c r="G61" s="115">
        <f>C43</f>
        <v>3.6960000000000002</v>
      </c>
      <c r="H61" s="116">
        <f t="shared" si="2"/>
        <v>0.1163995889488347</v>
      </c>
    </row>
    <row r="62" spans="1:8">
      <c r="A62" s="114" t="s">
        <v>22</v>
      </c>
      <c r="B62" s="115">
        <f>B43</f>
        <v>2.13</v>
      </c>
      <c r="C62" s="116">
        <f t="shared" si="3"/>
        <v>0.10280087921200028</v>
      </c>
      <c r="D62" s="182"/>
      <c r="F62" s="117" t="s">
        <v>20</v>
      </c>
      <c r="G62" s="118">
        <f>SUM(G52:G61)</f>
        <v>3175.2689449999998</v>
      </c>
      <c r="H62" s="119">
        <f>SUM(H52:H61)</f>
        <v>100</v>
      </c>
    </row>
    <row r="63" spans="1:8">
      <c r="A63" s="117" t="s">
        <v>20</v>
      </c>
      <c r="B63" s="118">
        <f>SUM(B52:B62)</f>
        <v>2071.966715</v>
      </c>
      <c r="C63" s="119">
        <f>SUM(C52:C62)</f>
        <v>99.999999999999972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104</v>
      </c>
      <c r="D67" s="182"/>
      <c r="F67" s="112"/>
      <c r="G67" s="113" t="s">
        <v>26</v>
      </c>
    </row>
    <row r="68" spans="1:7">
      <c r="A68" s="114" t="s">
        <v>11</v>
      </c>
      <c r="B68" s="116">
        <f>C68/$C$80*100</f>
        <v>0</v>
      </c>
      <c r="C68" s="115">
        <f>IF(R9&lt;0,0,R9)</f>
        <v>0</v>
      </c>
      <c r="D68" s="186">
        <f>(C68/SUM($C$68:$C$78))*100</f>
        <v>0</v>
      </c>
      <c r="F68" s="114" t="s">
        <v>10</v>
      </c>
      <c r="G68" s="116">
        <f>Z10/Z$24*100</f>
        <v>20.315144268132389</v>
      </c>
    </row>
    <row r="69" spans="1:7">
      <c r="A69" s="114" t="s">
        <v>10</v>
      </c>
      <c r="B69" s="116">
        <f t="shared" ref="B69:B78" si="4">C69/$C$80*100</f>
        <v>9.1286697513471573</v>
      </c>
      <c r="C69" s="115">
        <f>R10</f>
        <v>43134.32</v>
      </c>
      <c r="D69" s="186">
        <f t="shared" ref="D69:D78" si="5">(C69/SUM($C$68:$C$78))*100</f>
        <v>9.7928431507200866</v>
      </c>
      <c r="F69" s="114" t="s">
        <v>9</v>
      </c>
      <c r="G69" s="116">
        <f>Z11/Z$24*100</f>
        <v>2.1966288022060594</v>
      </c>
    </row>
    <row r="70" spans="1:7">
      <c r="A70" s="114" t="s">
        <v>9</v>
      </c>
      <c r="B70" s="116">
        <f t="shared" si="4"/>
        <v>5.6947310997515999</v>
      </c>
      <c r="C70" s="115">
        <f>R11</f>
        <v>26908.45</v>
      </c>
      <c r="D70" s="186">
        <f t="shared" si="5"/>
        <v>6.1090618857326122</v>
      </c>
      <c r="F70" s="114" t="s">
        <v>8</v>
      </c>
      <c r="G70" s="116">
        <f>Z12/Z$24*100</f>
        <v>12.407607793759185</v>
      </c>
    </row>
    <row r="71" spans="1:7">
      <c r="A71" s="114" t="s">
        <v>25</v>
      </c>
      <c r="B71" s="116">
        <f t="shared" si="4"/>
        <v>67.20549763549441</v>
      </c>
      <c r="C71" s="115">
        <f>R13</f>
        <v>317555.95500000002</v>
      </c>
      <c r="D71" s="186">
        <f>(C71/SUM($C$68:$C$78))*100</f>
        <v>72.095159003135464</v>
      </c>
      <c r="F71" s="114" t="s">
        <v>25</v>
      </c>
      <c r="G71" s="116">
        <f>Z13/Z$24*100</f>
        <v>43.352232550363198</v>
      </c>
    </row>
    <row r="72" spans="1:7">
      <c r="A72" s="114" t="s">
        <v>24</v>
      </c>
      <c r="B72" s="116">
        <f t="shared" si="4"/>
        <v>0</v>
      </c>
      <c r="C72" s="115">
        <f>R14</f>
        <v>0</v>
      </c>
      <c r="D72" s="187"/>
      <c r="F72" s="114" t="s">
        <v>23</v>
      </c>
      <c r="G72" s="116">
        <f>Z19/Z$24*100</f>
        <v>0</v>
      </c>
    </row>
    <row r="73" spans="1:7">
      <c r="A73" s="114" t="s">
        <v>23</v>
      </c>
      <c r="B73" s="116">
        <f t="shared" si="4"/>
        <v>0.41186536428163212</v>
      </c>
      <c r="C73" s="115">
        <f>R19</f>
        <v>1946.125</v>
      </c>
      <c r="D73" s="186">
        <f t="shared" si="5"/>
        <v>0.4418313972886353</v>
      </c>
      <c r="F73" s="114" t="s">
        <v>12</v>
      </c>
      <c r="G73" s="116">
        <f>Z8/Z$24*100</f>
        <v>4.2688198729063584E-2</v>
      </c>
    </row>
    <row r="74" spans="1:7">
      <c r="A74" s="114" t="s">
        <v>55</v>
      </c>
      <c r="B74" s="116">
        <f t="shared" si="4"/>
        <v>2.5070369852166001</v>
      </c>
      <c r="C74" s="115">
        <f>R21</f>
        <v>11846.121999999999</v>
      </c>
      <c r="D74" s="186">
        <f t="shared" si="5"/>
        <v>2.6894411385248342</v>
      </c>
      <c r="F74" s="114" t="s">
        <v>6</v>
      </c>
      <c r="G74" s="116">
        <f>Z15/Z$24*100</f>
        <v>0.27389335757498617</v>
      </c>
    </row>
    <row r="75" spans="1:7">
      <c r="A75" s="114" t="s">
        <v>54</v>
      </c>
      <c r="B75" s="116">
        <f t="shared" si="4"/>
        <v>2.5070369852166001</v>
      </c>
      <c r="C75" s="115">
        <f>R20</f>
        <v>11846.121999999999</v>
      </c>
      <c r="D75" s="186">
        <f t="shared" si="5"/>
        <v>2.6894411385248342</v>
      </c>
      <c r="F75" s="114" t="s">
        <v>5</v>
      </c>
      <c r="G75" s="116">
        <f>Z16/Z$24*100</f>
        <v>16.685282176693921</v>
      </c>
    </row>
    <row r="76" spans="1:7">
      <c r="A76" s="114" t="s">
        <v>5</v>
      </c>
      <c r="B76" s="116">
        <f t="shared" si="4"/>
        <v>3.4028771938188915E-2</v>
      </c>
      <c r="C76" s="115">
        <f>R16</f>
        <v>160.791</v>
      </c>
      <c r="D76" s="186">
        <f t="shared" si="5"/>
        <v>3.6504598728980396E-2</v>
      </c>
      <c r="F76" s="114" t="s">
        <v>4</v>
      </c>
      <c r="G76" s="116">
        <f>Z17/Z$24*100</f>
        <v>4.6234522927852897</v>
      </c>
    </row>
    <row r="77" spans="1:7">
      <c r="A77" s="114" t="s">
        <v>4</v>
      </c>
      <c r="B77" s="116">
        <f t="shared" si="4"/>
        <v>5.6937004443085781</v>
      </c>
      <c r="C77" s="115">
        <f>R17</f>
        <v>26903.58</v>
      </c>
      <c r="D77" s="186">
        <f t="shared" si="5"/>
        <v>6.1079562430299106</v>
      </c>
      <c r="F77" s="114" t="s">
        <v>22</v>
      </c>
      <c r="G77" s="116">
        <f>Z18/Z$24*100</f>
        <v>0.10307055975591148</v>
      </c>
    </row>
    <row r="78" spans="1:7">
      <c r="A78" s="114" t="s">
        <v>22</v>
      </c>
      <c r="B78" s="116">
        <f t="shared" si="4"/>
        <v>3.5200375332967312E-2</v>
      </c>
      <c r="C78" s="115">
        <f>R18</f>
        <v>166.327</v>
      </c>
      <c r="D78" s="186">
        <f t="shared" si="5"/>
        <v>3.7761444314639007E-2</v>
      </c>
      <c r="F78" s="117" t="s">
        <v>20</v>
      </c>
      <c r="G78" s="119">
        <f>SUM(G68:G77)</f>
        <v>100</v>
      </c>
    </row>
    <row r="79" spans="1:7">
      <c r="A79" s="114" t="s">
        <v>21</v>
      </c>
      <c r="B79" s="116">
        <f>C79/$C$80*100</f>
        <v>6.7822325871122677</v>
      </c>
      <c r="C79" s="115">
        <f>R23</f>
        <v>32047.056</v>
      </c>
      <c r="D79" s="182"/>
    </row>
    <row r="80" spans="1:7">
      <c r="A80" s="117" t="s">
        <v>20</v>
      </c>
      <c r="B80" s="119">
        <f>SUM(B68:B79)</f>
        <v>99.999999999999986</v>
      </c>
      <c r="C80" s="118">
        <f>SUM(C68:C79)</f>
        <v>472514.848</v>
      </c>
      <c r="D80" s="182"/>
    </row>
    <row r="85" spans="1:26" ht="15">
      <c r="A85" s="145"/>
      <c r="B85" s="145" t="s">
        <v>69</v>
      </c>
      <c r="C85" s="220" t="s">
        <v>13</v>
      </c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/>
      <c r="V85"/>
      <c r="W85"/>
      <c r="X85"/>
      <c r="Y85"/>
      <c r="Z85"/>
    </row>
    <row r="86" spans="1:26" ht="15">
      <c r="A86" s="145"/>
      <c r="B86" s="143" t="s">
        <v>67</v>
      </c>
      <c r="C86" s="189" t="s">
        <v>106</v>
      </c>
      <c r="D86" s="189" t="s">
        <v>107</v>
      </c>
      <c r="E86" s="189" t="s">
        <v>108</v>
      </c>
      <c r="F86" s="189" t="s">
        <v>109</v>
      </c>
      <c r="G86" s="189" t="s">
        <v>110</v>
      </c>
      <c r="H86" s="189" t="s">
        <v>111</v>
      </c>
      <c r="I86" s="189" t="s">
        <v>112</v>
      </c>
      <c r="J86" s="189" t="s">
        <v>113</v>
      </c>
      <c r="K86" s="189" t="s">
        <v>114</v>
      </c>
      <c r="L86" s="189" t="s">
        <v>115</v>
      </c>
      <c r="M86" s="189" t="s">
        <v>116</v>
      </c>
      <c r="N86" s="189" t="s">
        <v>117</v>
      </c>
      <c r="O86" s="189" t="s">
        <v>118</v>
      </c>
      <c r="P86" s="189" t="s">
        <v>119</v>
      </c>
      <c r="Q86" s="189" t="s">
        <v>120</v>
      </c>
      <c r="R86" s="189" t="s">
        <v>121</v>
      </c>
      <c r="S86" s="189" t="s">
        <v>122</v>
      </c>
      <c r="T86" s="189" t="s">
        <v>126</v>
      </c>
      <c r="U86"/>
      <c r="V86"/>
      <c r="W86"/>
      <c r="X86"/>
      <c r="Y86"/>
      <c r="Z86"/>
    </row>
    <row r="87" spans="1:26" ht="15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/>
      <c r="V87"/>
      <c r="W87"/>
      <c r="X87"/>
      <c r="Y87"/>
      <c r="Z87"/>
    </row>
    <row r="88" spans="1:26" ht="15">
      <c r="A88" s="217" t="s">
        <v>57</v>
      </c>
      <c r="B88" s="144" t="s">
        <v>11</v>
      </c>
      <c r="C88" s="147">
        <v>-0.63269200000000003</v>
      </c>
      <c r="D88" s="147">
        <v>-0.606159</v>
      </c>
      <c r="E88" s="147">
        <v>-0.651559</v>
      </c>
      <c r="F88" s="147">
        <v>-0.59136100000000003</v>
      </c>
      <c r="G88" s="147">
        <v>-1.103416</v>
      </c>
      <c r="H88" s="147">
        <v>41.953423999999998</v>
      </c>
      <c r="I88" s="147">
        <v>9.292719</v>
      </c>
      <c r="J88" s="147">
        <v>-0.72875599999999996</v>
      </c>
      <c r="K88" s="147">
        <v>-0.54997399999999996</v>
      </c>
      <c r="L88" s="147">
        <v>-0.58327700000000005</v>
      </c>
      <c r="M88" s="147">
        <v>-0.582067</v>
      </c>
      <c r="N88" s="147">
        <v>-0.61424800000000002</v>
      </c>
      <c r="O88" s="147">
        <v>-0.627467</v>
      </c>
      <c r="P88" s="147">
        <v>-0.58012699999999995</v>
      </c>
      <c r="Q88" s="147">
        <v>-0.66887300000000005</v>
      </c>
      <c r="R88" s="147">
        <v>-0.60498099999999999</v>
      </c>
      <c r="S88" s="147">
        <v>-1.0302370000000001</v>
      </c>
      <c r="T88" s="147">
        <v>0</v>
      </c>
      <c r="U88"/>
      <c r="V88"/>
      <c r="W88"/>
      <c r="X88"/>
      <c r="Y88"/>
      <c r="Z88"/>
    </row>
    <row r="89" spans="1:26" ht="15">
      <c r="A89" s="215"/>
      <c r="B89" s="144" t="s">
        <v>78</v>
      </c>
      <c r="C89" s="147">
        <v>27.196950000000001</v>
      </c>
      <c r="D89" s="147">
        <v>18.940327</v>
      </c>
      <c r="E89" s="147">
        <v>14.238515</v>
      </c>
      <c r="F89" s="147">
        <v>18.127455999999999</v>
      </c>
      <c r="G89" s="147">
        <v>20.114982000000001</v>
      </c>
      <c r="H89" s="147">
        <v>40.523569999999999</v>
      </c>
      <c r="I89" s="147">
        <v>56.775785999999997</v>
      </c>
      <c r="J89" s="147">
        <v>61.091033000000003</v>
      </c>
      <c r="K89" s="147">
        <v>52.802481999999998</v>
      </c>
      <c r="L89" s="147">
        <v>40.707250000000002</v>
      </c>
      <c r="M89" s="147">
        <v>21.566172999999999</v>
      </c>
      <c r="N89" s="147">
        <v>26.795760999999999</v>
      </c>
      <c r="O89" s="147">
        <v>31.928764000000001</v>
      </c>
      <c r="P89" s="147">
        <v>27.285081000000002</v>
      </c>
      <c r="Q89" s="147">
        <v>26.627289999999999</v>
      </c>
      <c r="R89" s="147">
        <v>38.583128000000002</v>
      </c>
      <c r="S89" s="147">
        <v>43.134320000000002</v>
      </c>
      <c r="T89" s="147">
        <v>13.989405</v>
      </c>
      <c r="U89"/>
      <c r="V89"/>
      <c r="W89"/>
      <c r="X89"/>
      <c r="Y89"/>
      <c r="Z89"/>
    </row>
    <row r="90" spans="1:26" ht="15">
      <c r="A90" s="215"/>
      <c r="B90" s="144" t="s">
        <v>9</v>
      </c>
      <c r="C90" s="147">
        <v>18.542487000000001</v>
      </c>
      <c r="D90" s="147">
        <v>7.6657599999999997</v>
      </c>
      <c r="E90" s="147">
        <v>13.135553</v>
      </c>
      <c r="F90" s="147">
        <v>8.3072920000000003</v>
      </c>
      <c r="G90" s="147">
        <v>7.7047420000000004</v>
      </c>
      <c r="H90" s="147">
        <v>18.862037999999998</v>
      </c>
      <c r="I90" s="147">
        <v>27.349309999999999</v>
      </c>
      <c r="J90" s="147">
        <v>38.115422000000002</v>
      </c>
      <c r="K90" s="147">
        <v>38.690980000000003</v>
      </c>
      <c r="L90" s="147">
        <v>18.871455999999998</v>
      </c>
      <c r="M90" s="147">
        <v>15.480005999999999</v>
      </c>
      <c r="N90" s="147">
        <v>11.535242</v>
      </c>
      <c r="O90" s="147">
        <v>14.287936</v>
      </c>
      <c r="P90" s="147">
        <v>12.016398000000001</v>
      </c>
      <c r="Q90" s="147">
        <v>16.589324000000001</v>
      </c>
      <c r="R90" s="147">
        <v>16.923745</v>
      </c>
      <c r="S90" s="147">
        <v>26.908449999999998</v>
      </c>
      <c r="T90" s="147">
        <v>7.6181359999999998</v>
      </c>
      <c r="U90"/>
      <c r="V90"/>
      <c r="W90"/>
      <c r="X90"/>
      <c r="Y90"/>
      <c r="Z90"/>
    </row>
    <row r="91" spans="1:26" ht="15">
      <c r="A91" s="215"/>
      <c r="B91" s="144" t="s">
        <v>25</v>
      </c>
      <c r="C91" s="147">
        <v>260.27204499999999</v>
      </c>
      <c r="D91" s="147">
        <v>187.465463</v>
      </c>
      <c r="E91" s="147">
        <v>217.47864799999999</v>
      </c>
      <c r="F91" s="147">
        <v>208.53059300000001</v>
      </c>
      <c r="G91" s="147">
        <v>203.81251599999999</v>
      </c>
      <c r="H91" s="147">
        <v>240.58060900000001</v>
      </c>
      <c r="I91" s="147">
        <v>408.79444899999999</v>
      </c>
      <c r="J91" s="147">
        <v>437.91378300000002</v>
      </c>
      <c r="K91" s="147">
        <v>367.24080800000002</v>
      </c>
      <c r="L91" s="147">
        <v>312.10340600000001</v>
      </c>
      <c r="M91" s="147">
        <v>305.43751500000002</v>
      </c>
      <c r="N91" s="147">
        <v>332.59120100000001</v>
      </c>
      <c r="O91" s="147">
        <v>350.08292499999999</v>
      </c>
      <c r="P91" s="147">
        <v>298.62258500000002</v>
      </c>
      <c r="Q91" s="147">
        <v>330.99539600000003</v>
      </c>
      <c r="R91" s="147">
        <v>307.42903200000001</v>
      </c>
      <c r="S91" s="147">
        <v>317.55595499999998</v>
      </c>
      <c r="T91" s="147">
        <v>127.89831700000001</v>
      </c>
      <c r="U91"/>
      <c r="V91"/>
      <c r="W91"/>
      <c r="X91"/>
      <c r="Y91"/>
      <c r="Z91"/>
    </row>
    <row r="92" spans="1:26" ht="15">
      <c r="A92" s="215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1.1771689999999999</v>
      </c>
      <c r="H92" s="147">
        <v>0.95765299999999998</v>
      </c>
      <c r="I92" s="147">
        <v>2.9751430000000001</v>
      </c>
      <c r="J92" s="147">
        <v>3.834768</v>
      </c>
      <c r="K92" s="147">
        <v>2.0925159999999998</v>
      </c>
      <c r="L92" s="147">
        <v>0.98881300000000005</v>
      </c>
      <c r="M92" s="147">
        <v>0</v>
      </c>
      <c r="N92" s="147">
        <v>0</v>
      </c>
      <c r="O92" s="147">
        <v>0</v>
      </c>
      <c r="P92" s="147">
        <v>0</v>
      </c>
      <c r="Q92" s="147">
        <v>0</v>
      </c>
      <c r="R92" s="147">
        <v>0</v>
      </c>
      <c r="S92" s="147">
        <v>0</v>
      </c>
      <c r="T92" s="147">
        <v>0</v>
      </c>
      <c r="U92"/>
      <c r="V92"/>
      <c r="W92"/>
      <c r="X92"/>
      <c r="Y92"/>
      <c r="Z92"/>
    </row>
    <row r="93" spans="1:26" ht="15">
      <c r="A93" s="215"/>
      <c r="B93" s="144" t="s">
        <v>5</v>
      </c>
      <c r="C93" s="147">
        <v>0.27796300000000002</v>
      </c>
      <c r="D93" s="147">
        <v>0.15948300000000001</v>
      </c>
      <c r="E93" s="147">
        <v>0.30611500000000003</v>
      </c>
      <c r="F93" s="147">
        <v>0.29466900000000001</v>
      </c>
      <c r="G93" s="147">
        <v>0.189554</v>
      </c>
      <c r="H93" s="147">
        <v>9.4216999999999995E-2</v>
      </c>
      <c r="I93" s="147">
        <v>0.106017</v>
      </c>
      <c r="J93" s="147">
        <v>0.20128099999999999</v>
      </c>
      <c r="K93" s="147">
        <v>0.27444800000000003</v>
      </c>
      <c r="L93" s="147">
        <v>0.26974799999999999</v>
      </c>
      <c r="M93" s="147">
        <v>6.1364000000000002E-2</v>
      </c>
      <c r="N93" s="147">
        <v>0.10125000000000001</v>
      </c>
      <c r="O93" s="147">
        <v>0.215638</v>
      </c>
      <c r="P93" s="147">
        <v>0.22824</v>
      </c>
      <c r="Q93" s="147">
        <v>0.33845999999999998</v>
      </c>
      <c r="R93" s="147">
        <v>0.239788</v>
      </c>
      <c r="S93" s="147">
        <v>0.16079099999999999</v>
      </c>
      <c r="T93" s="147">
        <v>0.13972999999999999</v>
      </c>
      <c r="U93"/>
      <c r="V93"/>
      <c r="W93"/>
      <c r="X93"/>
      <c r="Y93"/>
      <c r="Z93"/>
    </row>
    <row r="94" spans="1:26" ht="15">
      <c r="A94" s="215"/>
      <c r="B94" s="144" t="s">
        <v>4</v>
      </c>
      <c r="C94" s="147">
        <v>8.5897050000000004</v>
      </c>
      <c r="D94" s="147">
        <v>9.5130970000000001</v>
      </c>
      <c r="E94" s="147">
        <v>13.295218999999999</v>
      </c>
      <c r="F94" s="147">
        <v>14.71546</v>
      </c>
      <c r="G94" s="147">
        <v>22.208131999999999</v>
      </c>
      <c r="H94" s="147">
        <v>21.169694</v>
      </c>
      <c r="I94" s="147">
        <v>22.966384000000001</v>
      </c>
      <c r="J94" s="147">
        <v>21.414781000000001</v>
      </c>
      <c r="K94" s="147">
        <v>17.622215000000001</v>
      </c>
      <c r="L94" s="147">
        <v>16.792960999999998</v>
      </c>
      <c r="M94" s="147">
        <v>8.8102359999999997</v>
      </c>
      <c r="N94" s="147">
        <v>11.149039999999999</v>
      </c>
      <c r="O94" s="147">
        <v>14.422969999999999</v>
      </c>
      <c r="P94" s="147">
        <v>17.843508</v>
      </c>
      <c r="Q94" s="147">
        <v>13.605662000000001</v>
      </c>
      <c r="R94" s="147">
        <v>21.880269999999999</v>
      </c>
      <c r="S94" s="147">
        <v>26.903580000000002</v>
      </c>
      <c r="T94" s="147">
        <v>8.6395759999999999</v>
      </c>
      <c r="U94"/>
      <c r="V94"/>
      <c r="W94"/>
      <c r="X94"/>
      <c r="Y94"/>
      <c r="Z94"/>
    </row>
    <row r="95" spans="1:26" ht="15">
      <c r="A95" s="215"/>
      <c r="B95" s="144" t="s">
        <v>22</v>
      </c>
      <c r="C95" s="147">
        <v>5.7757000000000003E-2</v>
      </c>
      <c r="D95" s="147">
        <v>7.6887999999999998E-2</v>
      </c>
      <c r="E95" s="147">
        <v>0.13778699999999999</v>
      </c>
      <c r="F95" s="147">
        <v>0.10574</v>
      </c>
      <c r="G95" s="147">
        <v>0.118546</v>
      </c>
      <c r="H95" s="147">
        <v>0.10044400000000001</v>
      </c>
      <c r="I95" s="147">
        <v>9.6151E-2</v>
      </c>
      <c r="J95" s="147">
        <v>8.4413000000000002E-2</v>
      </c>
      <c r="K95" s="147">
        <v>8.1381999999999996E-2</v>
      </c>
      <c r="L95" s="147">
        <v>0.243059</v>
      </c>
      <c r="M95" s="147">
        <v>0.24007600000000001</v>
      </c>
      <c r="N95" s="147">
        <v>0.230462</v>
      </c>
      <c r="O95" s="147">
        <v>0.285244</v>
      </c>
      <c r="P95" s="147">
        <v>0.28095199999999998</v>
      </c>
      <c r="Q95" s="147">
        <v>0.29118100000000002</v>
      </c>
      <c r="R95" s="147">
        <v>0.16531499999999999</v>
      </c>
      <c r="S95" s="147">
        <v>0.166327</v>
      </c>
      <c r="T95" s="147">
        <v>4.8800000000000003E-2</v>
      </c>
      <c r="U95"/>
      <c r="V95"/>
      <c r="W95"/>
      <c r="X95"/>
      <c r="Y95"/>
      <c r="Z95"/>
    </row>
    <row r="96" spans="1:26" ht="15">
      <c r="A96" s="215"/>
      <c r="B96" s="144" t="s">
        <v>23</v>
      </c>
      <c r="C96" s="147">
        <v>4.0659429999999999</v>
      </c>
      <c r="D96" s="147">
        <v>3.641699</v>
      </c>
      <c r="E96" s="147">
        <v>3.9954990000000001</v>
      </c>
      <c r="F96" s="147">
        <v>3.2208809999999999</v>
      </c>
      <c r="G96" s="147">
        <v>2.5715810000000001</v>
      </c>
      <c r="H96" s="147">
        <v>3.062163</v>
      </c>
      <c r="I96" s="147">
        <v>4.0856940000000002</v>
      </c>
      <c r="J96" s="147">
        <v>3.9309270000000001</v>
      </c>
      <c r="K96" s="147">
        <v>3.8190279999999999</v>
      </c>
      <c r="L96" s="147">
        <v>4.0205719999999996</v>
      </c>
      <c r="M96" s="147">
        <v>1.4121680000000001</v>
      </c>
      <c r="N96" s="147">
        <v>3.5189080000000001</v>
      </c>
      <c r="O96" s="147">
        <v>3.4010050000000001</v>
      </c>
      <c r="P96" s="147">
        <v>3.0684070000000001</v>
      </c>
      <c r="Q96" s="147">
        <v>3.993204</v>
      </c>
      <c r="R96" s="147">
        <v>1.8386769999999999</v>
      </c>
      <c r="S96" s="147">
        <v>1.9461250000000001</v>
      </c>
      <c r="T96" s="147">
        <v>0.59194000000000002</v>
      </c>
      <c r="U96"/>
      <c r="V96"/>
      <c r="W96"/>
      <c r="X96"/>
      <c r="Y96"/>
      <c r="Z96"/>
    </row>
    <row r="97" spans="1:26" ht="15">
      <c r="A97" s="215"/>
      <c r="B97" s="144" t="s">
        <v>54</v>
      </c>
      <c r="C97" s="147">
        <v>7.1515275000000003</v>
      </c>
      <c r="D97" s="147">
        <v>10.723705000000001</v>
      </c>
      <c r="E97" s="147">
        <v>10.093087499999999</v>
      </c>
      <c r="F97" s="147">
        <v>7.5393055000000002</v>
      </c>
      <c r="G97" s="147">
        <v>6.0236640000000001</v>
      </c>
      <c r="H97" s="147">
        <v>13.481942</v>
      </c>
      <c r="I97" s="147">
        <v>11.473026000000001</v>
      </c>
      <c r="J97" s="147">
        <v>13.3199895</v>
      </c>
      <c r="K97" s="147">
        <v>11.972504499999999</v>
      </c>
      <c r="L97" s="147">
        <v>6.4146000000000001</v>
      </c>
      <c r="M97" s="147">
        <v>13.8683715</v>
      </c>
      <c r="N97" s="147">
        <v>8.8660929999999993</v>
      </c>
      <c r="O97" s="147">
        <v>9.8711500000000001</v>
      </c>
      <c r="P97" s="147">
        <v>5.4414375000000001</v>
      </c>
      <c r="Q97" s="147">
        <v>9.6633200000000006</v>
      </c>
      <c r="R97" s="147">
        <v>7.8050050000000004</v>
      </c>
      <c r="S97" s="147">
        <v>11.846121999999999</v>
      </c>
      <c r="T97" s="147">
        <v>3.8186499999999999</v>
      </c>
      <c r="U97"/>
      <c r="V97"/>
      <c r="W97"/>
      <c r="X97"/>
      <c r="Y97"/>
      <c r="Z97"/>
    </row>
    <row r="98" spans="1:26" ht="15">
      <c r="A98" s="215"/>
      <c r="B98" s="144" t="s">
        <v>55</v>
      </c>
      <c r="C98" s="147">
        <v>7.1515275000000003</v>
      </c>
      <c r="D98" s="147">
        <v>10.723705000000001</v>
      </c>
      <c r="E98" s="147">
        <v>10.093087499999999</v>
      </c>
      <c r="F98" s="147">
        <v>7.5393055000000002</v>
      </c>
      <c r="G98" s="147">
        <v>6.0236640000000001</v>
      </c>
      <c r="H98" s="147">
        <v>13.481942</v>
      </c>
      <c r="I98" s="147">
        <v>11.473026000000001</v>
      </c>
      <c r="J98" s="147">
        <v>13.3199895</v>
      </c>
      <c r="K98" s="147">
        <v>11.972504499999999</v>
      </c>
      <c r="L98" s="147">
        <v>6.4146000000000001</v>
      </c>
      <c r="M98" s="147">
        <v>13.8683715</v>
      </c>
      <c r="N98" s="147">
        <v>8.8660929999999993</v>
      </c>
      <c r="O98" s="147">
        <v>9.8711500000000001</v>
      </c>
      <c r="P98" s="147">
        <v>5.4414375000000001</v>
      </c>
      <c r="Q98" s="147">
        <v>9.6633200000000006</v>
      </c>
      <c r="R98" s="147">
        <v>7.8050050000000004</v>
      </c>
      <c r="S98" s="147">
        <v>11.846121999999999</v>
      </c>
      <c r="T98" s="147">
        <v>3.8186499999999999</v>
      </c>
      <c r="U98"/>
      <c r="V98"/>
      <c r="W98"/>
      <c r="X98"/>
      <c r="Y98"/>
      <c r="Z98"/>
    </row>
    <row r="99" spans="1:26" ht="15">
      <c r="A99" s="215"/>
      <c r="B99" s="149" t="s">
        <v>2</v>
      </c>
      <c r="C99" s="150">
        <v>332.67321299999998</v>
      </c>
      <c r="D99" s="150">
        <v>248.303968</v>
      </c>
      <c r="E99" s="150">
        <v>282.12195200000002</v>
      </c>
      <c r="F99" s="150">
        <v>267.78934099999998</v>
      </c>
      <c r="G99" s="150">
        <v>268.84113400000001</v>
      </c>
      <c r="H99" s="150">
        <v>394.267696</v>
      </c>
      <c r="I99" s="150">
        <v>555.38770499999998</v>
      </c>
      <c r="J99" s="150">
        <v>592.49763099999996</v>
      </c>
      <c r="K99" s="150">
        <v>506.01889399999999</v>
      </c>
      <c r="L99" s="150">
        <v>406.24318799999998</v>
      </c>
      <c r="M99" s="150">
        <v>380.16221400000001</v>
      </c>
      <c r="N99" s="150">
        <v>403.03980200000001</v>
      </c>
      <c r="O99" s="150">
        <v>433.73931499999998</v>
      </c>
      <c r="P99" s="150">
        <v>369.647919</v>
      </c>
      <c r="Q99" s="150">
        <v>411.09828399999998</v>
      </c>
      <c r="R99" s="150">
        <v>402.06498399999998</v>
      </c>
      <c r="S99" s="150">
        <v>439.43755499999997</v>
      </c>
      <c r="T99" s="150">
        <v>166.56320400000001</v>
      </c>
      <c r="U99"/>
      <c r="V99"/>
      <c r="W99"/>
      <c r="X99"/>
      <c r="Y99"/>
      <c r="Z99"/>
    </row>
    <row r="100" spans="1:26" ht="15">
      <c r="A100" s="215"/>
      <c r="B100" s="144" t="s">
        <v>21</v>
      </c>
      <c r="C100" s="147">
        <v>138.25041200000001</v>
      </c>
      <c r="D100" s="147">
        <v>113.412009</v>
      </c>
      <c r="E100" s="147">
        <v>127.985573</v>
      </c>
      <c r="F100" s="147">
        <v>111.02179700000001</v>
      </c>
      <c r="G100" s="147">
        <v>111.601713</v>
      </c>
      <c r="H100" s="147">
        <v>65.429468</v>
      </c>
      <c r="I100" s="147">
        <v>45.879221000000001</v>
      </c>
      <c r="J100" s="147">
        <v>40.107311000000003</v>
      </c>
      <c r="K100" s="147">
        <v>37.549396999999999</v>
      </c>
      <c r="L100" s="147">
        <v>38.285525</v>
      </c>
      <c r="M100" s="147">
        <v>28.435708999999999</v>
      </c>
      <c r="N100" s="147">
        <v>32.270831999999999</v>
      </c>
      <c r="O100" s="147">
        <v>31.159338999999999</v>
      </c>
      <c r="P100" s="147">
        <v>27.502502</v>
      </c>
      <c r="Q100" s="147">
        <v>30.689281000000001</v>
      </c>
      <c r="R100" s="147">
        <v>33.641058999999998</v>
      </c>
      <c r="S100" s="147">
        <v>32.047055999999998</v>
      </c>
      <c r="T100" s="147">
        <v>9.7919999999999998</v>
      </c>
      <c r="U100"/>
      <c r="V100"/>
      <c r="W100"/>
      <c r="X100"/>
      <c r="Y100"/>
      <c r="Z100"/>
    </row>
    <row r="101" spans="1:26" ht="15">
      <c r="A101" s="216"/>
      <c r="B101" s="149" t="s">
        <v>79</v>
      </c>
      <c r="C101" s="150">
        <v>470.92362500000002</v>
      </c>
      <c r="D101" s="150">
        <v>361.71597700000001</v>
      </c>
      <c r="E101" s="150">
        <v>410.10752500000001</v>
      </c>
      <c r="F101" s="150">
        <v>378.81113800000003</v>
      </c>
      <c r="G101" s="150">
        <v>380.44284699999997</v>
      </c>
      <c r="H101" s="150">
        <v>459.69716399999999</v>
      </c>
      <c r="I101" s="150">
        <v>601.26692600000001</v>
      </c>
      <c r="J101" s="150">
        <v>632.60494200000005</v>
      </c>
      <c r="K101" s="150">
        <v>543.56829100000004</v>
      </c>
      <c r="L101" s="150">
        <v>444.52871299999998</v>
      </c>
      <c r="M101" s="150">
        <v>408.59792299999998</v>
      </c>
      <c r="N101" s="150">
        <v>435.31063399999999</v>
      </c>
      <c r="O101" s="150">
        <v>464.89865400000002</v>
      </c>
      <c r="P101" s="150">
        <v>397.15042099999999</v>
      </c>
      <c r="Q101" s="150">
        <v>441.78756499999997</v>
      </c>
      <c r="R101" s="150">
        <v>435.70604300000002</v>
      </c>
      <c r="S101" s="150">
        <v>471.48461099999997</v>
      </c>
      <c r="T101" s="150">
        <v>176.35520399999999</v>
      </c>
      <c r="U101"/>
      <c r="V101"/>
      <c r="W101"/>
      <c r="X101"/>
      <c r="Y101"/>
      <c r="Z101"/>
    </row>
    <row r="102" spans="1:26" ht="15">
      <c r="A102" s="214" t="s">
        <v>58</v>
      </c>
      <c r="B102" s="144" t="s">
        <v>12</v>
      </c>
      <c r="C102" s="147">
        <v>0.29762100000000002</v>
      </c>
      <c r="D102" s="147">
        <v>0.25852999999999998</v>
      </c>
      <c r="E102" s="147">
        <v>0.28226499999999999</v>
      </c>
      <c r="F102" s="147">
        <v>0.13780600000000001</v>
      </c>
      <c r="G102" s="147">
        <v>0.26783600000000002</v>
      </c>
      <c r="H102" s="147">
        <v>0.28217700000000001</v>
      </c>
      <c r="I102" s="147">
        <v>0.28972599999999998</v>
      </c>
      <c r="J102" s="147">
        <v>0.28065899999999999</v>
      </c>
      <c r="K102" s="147">
        <v>0.27753299999999997</v>
      </c>
      <c r="L102" s="147">
        <v>0.28213100000000002</v>
      </c>
      <c r="M102" s="147">
        <v>0.23125799999999999</v>
      </c>
      <c r="N102" s="147">
        <v>0.15536</v>
      </c>
      <c r="O102" s="147">
        <v>0.294213</v>
      </c>
      <c r="P102" s="147">
        <v>0.25058200000000003</v>
      </c>
      <c r="Q102" s="147">
        <v>0.29644599999999999</v>
      </c>
      <c r="R102" s="147">
        <v>0.27407199999999998</v>
      </c>
      <c r="S102" s="147">
        <v>0.29880499999999999</v>
      </c>
      <c r="T102" s="147">
        <v>0</v>
      </c>
      <c r="U102"/>
      <c r="V102"/>
      <c r="W102"/>
      <c r="X102"/>
      <c r="Y102"/>
      <c r="Z102"/>
    </row>
    <row r="103" spans="1:26" ht="15">
      <c r="A103" s="215"/>
      <c r="B103" s="144" t="s">
        <v>78</v>
      </c>
      <c r="C103" s="147">
        <v>141.05104299999999</v>
      </c>
      <c r="D103" s="147">
        <v>112.359525</v>
      </c>
      <c r="E103" s="147">
        <v>128.50312700000001</v>
      </c>
      <c r="F103" s="147">
        <v>140.012246</v>
      </c>
      <c r="G103" s="147">
        <v>126.338086</v>
      </c>
      <c r="H103" s="147">
        <v>133.47636299999999</v>
      </c>
      <c r="I103" s="147">
        <v>143.30591200000001</v>
      </c>
      <c r="J103" s="147">
        <v>156.76768200000001</v>
      </c>
      <c r="K103" s="147">
        <v>167.979367</v>
      </c>
      <c r="L103" s="147">
        <v>160.016738</v>
      </c>
      <c r="M103" s="147">
        <v>150.664601</v>
      </c>
      <c r="N103" s="147">
        <v>156.43285700000001</v>
      </c>
      <c r="O103" s="147">
        <v>144.976482</v>
      </c>
      <c r="P103" s="147">
        <v>129.27893900000001</v>
      </c>
      <c r="Q103" s="147">
        <v>148.836814</v>
      </c>
      <c r="R103" s="147">
        <v>137.06189800000001</v>
      </c>
      <c r="S103" s="147">
        <v>142.20011299999999</v>
      </c>
      <c r="T103" s="147">
        <v>49.677660000000003</v>
      </c>
      <c r="U103"/>
      <c r="V103"/>
      <c r="W103"/>
      <c r="X103"/>
      <c r="Y103"/>
      <c r="Z103"/>
    </row>
    <row r="104" spans="1:26" ht="15">
      <c r="A104" s="215"/>
      <c r="B104" s="144" t="s">
        <v>9</v>
      </c>
      <c r="C104" s="147">
        <v>10.157844000000001</v>
      </c>
      <c r="D104" s="147">
        <v>10.355027</v>
      </c>
      <c r="E104" s="147">
        <v>14.760713000000001</v>
      </c>
      <c r="F104" s="147">
        <v>16.229486999999999</v>
      </c>
      <c r="G104" s="147">
        <v>17.203126999999999</v>
      </c>
      <c r="H104" s="147">
        <v>15.24977</v>
      </c>
      <c r="I104" s="147">
        <v>13.198846</v>
      </c>
      <c r="J104" s="147">
        <v>9.7369489999999992</v>
      </c>
      <c r="K104" s="147">
        <v>32.625571999999998</v>
      </c>
      <c r="L104" s="147">
        <v>27.415593999999999</v>
      </c>
      <c r="M104" s="147">
        <v>14.576139</v>
      </c>
      <c r="N104" s="147">
        <v>17.516629999999999</v>
      </c>
      <c r="O104" s="147">
        <v>20.123602000000002</v>
      </c>
      <c r="P104" s="147">
        <v>22.305457000000001</v>
      </c>
      <c r="Q104" s="147">
        <v>22.266936999999999</v>
      </c>
      <c r="R104" s="147">
        <v>17.593667</v>
      </c>
      <c r="S104" s="147">
        <v>15.375764</v>
      </c>
      <c r="T104" s="147">
        <v>4.1100890000000003</v>
      </c>
      <c r="U104"/>
      <c r="V104"/>
      <c r="W104"/>
      <c r="X104"/>
      <c r="Y104"/>
      <c r="Z104"/>
    </row>
    <row r="105" spans="1:26" ht="15">
      <c r="A105" s="215"/>
      <c r="B105" s="144" t="s">
        <v>8</v>
      </c>
      <c r="C105" s="147">
        <v>116.282053</v>
      </c>
      <c r="D105" s="147">
        <v>104.960847</v>
      </c>
      <c r="E105" s="147">
        <v>100.758259</v>
      </c>
      <c r="F105" s="147">
        <v>70.652975999999995</v>
      </c>
      <c r="G105" s="147">
        <v>62.41677</v>
      </c>
      <c r="H105" s="147">
        <v>33.486941999999999</v>
      </c>
      <c r="I105" s="147">
        <v>66.134209999999996</v>
      </c>
      <c r="J105" s="147">
        <v>99.644189999999995</v>
      </c>
      <c r="K105" s="147">
        <v>113.210213</v>
      </c>
      <c r="L105" s="147">
        <v>112.484255</v>
      </c>
      <c r="M105" s="147">
        <v>115.10042799999999</v>
      </c>
      <c r="N105" s="147">
        <v>112.90636000000001</v>
      </c>
      <c r="O105" s="147">
        <v>117.422501</v>
      </c>
      <c r="P105" s="147">
        <v>102.630663</v>
      </c>
      <c r="Q105" s="147">
        <v>114.385115</v>
      </c>
      <c r="R105" s="147">
        <v>103.636366</v>
      </c>
      <c r="S105" s="147">
        <v>86.849653000000004</v>
      </c>
      <c r="T105" s="147">
        <v>17.687176000000001</v>
      </c>
      <c r="U105"/>
      <c r="V105"/>
      <c r="W105"/>
      <c r="X105"/>
      <c r="Y105"/>
      <c r="Z105"/>
    </row>
    <row r="106" spans="1:26" ht="15">
      <c r="A106" s="215"/>
      <c r="B106" s="144" t="s">
        <v>25</v>
      </c>
      <c r="C106" s="147">
        <v>280.66014899999999</v>
      </c>
      <c r="D106" s="147">
        <v>269.76136200000002</v>
      </c>
      <c r="E106" s="147">
        <v>284.19602200000003</v>
      </c>
      <c r="F106" s="147">
        <v>311.21022299999998</v>
      </c>
      <c r="G106" s="147">
        <v>236.28277700000001</v>
      </c>
      <c r="H106" s="147">
        <v>276.61590899999999</v>
      </c>
      <c r="I106" s="147">
        <v>284.60979800000001</v>
      </c>
      <c r="J106" s="147">
        <v>284.30052499999999</v>
      </c>
      <c r="K106" s="147">
        <v>278.88830000000002</v>
      </c>
      <c r="L106" s="147">
        <v>288.42916700000001</v>
      </c>
      <c r="M106" s="147">
        <v>314.272829</v>
      </c>
      <c r="N106" s="147">
        <v>321.01253800000001</v>
      </c>
      <c r="O106" s="147">
        <v>350.31383599999998</v>
      </c>
      <c r="P106" s="147">
        <v>285.33313399999997</v>
      </c>
      <c r="Q106" s="147">
        <v>288.5179</v>
      </c>
      <c r="R106" s="147">
        <v>265.37271800000002</v>
      </c>
      <c r="S106" s="147">
        <v>303.45304399999998</v>
      </c>
      <c r="T106" s="147">
        <v>95.161303000000004</v>
      </c>
      <c r="U106"/>
      <c r="V106"/>
      <c r="W106"/>
      <c r="X106"/>
      <c r="Y106"/>
      <c r="Z106"/>
    </row>
    <row r="107" spans="1:26" ht="15">
      <c r="A107" s="215"/>
      <c r="B107" s="144" t="s">
        <v>6</v>
      </c>
      <c r="C107" s="147">
        <v>0.99317</v>
      </c>
      <c r="D107" s="147">
        <v>1.226483</v>
      </c>
      <c r="E107" s="147">
        <v>1.921443</v>
      </c>
      <c r="F107" s="147">
        <v>0.83590799999999998</v>
      </c>
      <c r="G107" s="147">
        <v>3.227077</v>
      </c>
      <c r="H107" s="147">
        <v>3.0020419999999999</v>
      </c>
      <c r="I107" s="147">
        <v>3.5782180000000001</v>
      </c>
      <c r="J107" s="147">
        <v>2.663478</v>
      </c>
      <c r="K107" s="147">
        <v>1.4201079999999999</v>
      </c>
      <c r="L107" s="147">
        <v>1.852679</v>
      </c>
      <c r="M107" s="147">
        <v>1.1397900000000001</v>
      </c>
      <c r="N107" s="147">
        <v>1.2278610000000001</v>
      </c>
      <c r="O107" s="147">
        <v>1.110916</v>
      </c>
      <c r="P107" s="147">
        <v>1.4820450000000001</v>
      </c>
      <c r="Q107" s="147">
        <v>2.1263230000000002</v>
      </c>
      <c r="R107" s="147">
        <v>1.7525280000000001</v>
      </c>
      <c r="S107" s="147">
        <v>1.9171739999999999</v>
      </c>
      <c r="T107" s="147">
        <v>0.54233600000000004</v>
      </c>
      <c r="U107"/>
      <c r="V107"/>
      <c r="W107"/>
      <c r="X107"/>
      <c r="Y107"/>
      <c r="Z107"/>
    </row>
    <row r="108" spans="1:26" ht="15">
      <c r="A108" s="215"/>
      <c r="B108" s="144" t="s">
        <v>5</v>
      </c>
      <c r="C108" s="147">
        <v>81.695520000000002</v>
      </c>
      <c r="D108" s="147">
        <v>58.777921999999997</v>
      </c>
      <c r="E108" s="147">
        <v>84.883152999999993</v>
      </c>
      <c r="F108" s="147">
        <v>53.035682999999999</v>
      </c>
      <c r="G108" s="147">
        <v>164.67089200000001</v>
      </c>
      <c r="H108" s="147">
        <v>148.01756800000001</v>
      </c>
      <c r="I108" s="147">
        <v>158.51629800000001</v>
      </c>
      <c r="J108" s="147">
        <v>145.95032699999999</v>
      </c>
      <c r="K108" s="147">
        <v>107.853368</v>
      </c>
      <c r="L108" s="147">
        <v>121.987015</v>
      </c>
      <c r="M108" s="147">
        <v>91.770038</v>
      </c>
      <c r="N108" s="147">
        <v>92.867580000000004</v>
      </c>
      <c r="O108" s="147">
        <v>60.148176999999997</v>
      </c>
      <c r="P108" s="147">
        <v>88.981584999999995</v>
      </c>
      <c r="Q108" s="147">
        <v>108.99192499999999</v>
      </c>
      <c r="R108" s="147">
        <v>120.763114</v>
      </c>
      <c r="S108" s="147">
        <v>116.792132</v>
      </c>
      <c r="T108" s="147">
        <v>58.628844000000001</v>
      </c>
      <c r="U108"/>
      <c r="V108"/>
      <c r="W108"/>
      <c r="X108"/>
      <c r="Y108"/>
      <c r="Z108"/>
    </row>
    <row r="109" spans="1:26" ht="15">
      <c r="A109" s="215"/>
      <c r="B109" s="144" t="s">
        <v>4</v>
      </c>
      <c r="C109" s="147">
        <v>16.647461</v>
      </c>
      <c r="D109" s="147">
        <v>18.033656000000001</v>
      </c>
      <c r="E109" s="147">
        <v>24.504390000000001</v>
      </c>
      <c r="F109" s="147">
        <v>22.758417999999999</v>
      </c>
      <c r="G109" s="147">
        <v>27.092843999999999</v>
      </c>
      <c r="H109" s="147">
        <v>24.741710999999999</v>
      </c>
      <c r="I109" s="147">
        <v>27.937771999999999</v>
      </c>
      <c r="J109" s="147">
        <v>26.120768999999999</v>
      </c>
      <c r="K109" s="147">
        <v>21.565273000000001</v>
      </c>
      <c r="L109" s="147">
        <v>20.979474</v>
      </c>
      <c r="M109" s="147">
        <v>14.946410999999999</v>
      </c>
      <c r="N109" s="147">
        <v>16.937016</v>
      </c>
      <c r="O109" s="147">
        <v>17.956958</v>
      </c>
      <c r="P109" s="147">
        <v>18.798999999999999</v>
      </c>
      <c r="Q109" s="147">
        <v>24.855595999999998</v>
      </c>
      <c r="R109" s="147">
        <v>24.757097000000002</v>
      </c>
      <c r="S109" s="147">
        <v>32.362824000000003</v>
      </c>
      <c r="T109" s="147">
        <v>10.361660000000001</v>
      </c>
      <c r="U109"/>
      <c r="V109"/>
      <c r="W109"/>
      <c r="X109"/>
      <c r="Y109"/>
      <c r="Z109"/>
    </row>
    <row r="110" spans="1:26" ht="15">
      <c r="A110" s="215"/>
      <c r="B110" s="144" t="s">
        <v>22</v>
      </c>
      <c r="C110" s="147">
        <v>0.35872300000000001</v>
      </c>
      <c r="D110" s="147">
        <v>0.69978200000000002</v>
      </c>
      <c r="E110" s="147">
        <v>0.79178499999999996</v>
      </c>
      <c r="F110" s="147">
        <v>0.72202100000000002</v>
      </c>
      <c r="G110" s="147">
        <v>0.72256799999999999</v>
      </c>
      <c r="H110" s="147">
        <v>0.72395900000000002</v>
      </c>
      <c r="I110" s="147">
        <v>0.73402900000000004</v>
      </c>
      <c r="J110" s="147">
        <v>0.56980699999999995</v>
      </c>
      <c r="K110" s="147">
        <v>0.40013300000000002</v>
      </c>
      <c r="L110" s="147">
        <v>0.75599700000000003</v>
      </c>
      <c r="M110" s="147">
        <v>0.75323799999999996</v>
      </c>
      <c r="N110" s="147">
        <v>0.822349</v>
      </c>
      <c r="O110" s="147">
        <v>0.86053100000000005</v>
      </c>
      <c r="P110" s="147">
        <v>0.72069799999999995</v>
      </c>
      <c r="Q110" s="147">
        <v>0.90984399999999999</v>
      </c>
      <c r="R110" s="147">
        <v>0.61352399999999996</v>
      </c>
      <c r="S110" s="147">
        <v>0.72146399999999999</v>
      </c>
      <c r="T110" s="147">
        <v>0</v>
      </c>
      <c r="U110"/>
      <c r="V110"/>
      <c r="W110"/>
      <c r="X110"/>
      <c r="Y110"/>
      <c r="Z110"/>
    </row>
    <row r="111" spans="1:26" ht="15">
      <c r="A111" s="215"/>
      <c r="B111" s="149" t="s">
        <v>2</v>
      </c>
      <c r="C111" s="150">
        <v>648.14358400000003</v>
      </c>
      <c r="D111" s="150">
        <v>576.433134</v>
      </c>
      <c r="E111" s="150">
        <v>640.60115699999994</v>
      </c>
      <c r="F111" s="150">
        <v>615.59476800000004</v>
      </c>
      <c r="G111" s="150">
        <v>638.22197700000004</v>
      </c>
      <c r="H111" s="150">
        <v>635.59644100000003</v>
      </c>
      <c r="I111" s="150">
        <v>698.30480899999998</v>
      </c>
      <c r="J111" s="150">
        <v>726.03438600000004</v>
      </c>
      <c r="K111" s="150">
        <v>724.21986700000002</v>
      </c>
      <c r="L111" s="150">
        <v>734.20304999999996</v>
      </c>
      <c r="M111" s="150">
        <v>703.45473200000004</v>
      </c>
      <c r="N111" s="150">
        <v>719.87855100000002</v>
      </c>
      <c r="O111" s="150">
        <v>713.20721600000002</v>
      </c>
      <c r="P111" s="150">
        <v>649.78210300000001</v>
      </c>
      <c r="Q111" s="150">
        <v>711.18690000000004</v>
      </c>
      <c r="R111" s="150">
        <v>671.82498399999997</v>
      </c>
      <c r="S111" s="150">
        <v>699.97097299999996</v>
      </c>
      <c r="T111" s="150">
        <v>236.16906800000001</v>
      </c>
      <c r="U111"/>
      <c r="V111"/>
      <c r="W111"/>
      <c r="X111"/>
      <c r="Y111"/>
      <c r="Z111"/>
    </row>
    <row r="112" spans="1:26" ht="15">
      <c r="A112" s="216"/>
      <c r="B112" s="149" t="s">
        <v>79</v>
      </c>
      <c r="C112" s="150">
        <v>648.14358400000003</v>
      </c>
      <c r="D112" s="150">
        <v>576.433134</v>
      </c>
      <c r="E112" s="150">
        <v>640.60115699999994</v>
      </c>
      <c r="F112" s="150">
        <v>615.59476800000004</v>
      </c>
      <c r="G112" s="150">
        <v>638.22197700000004</v>
      </c>
      <c r="H112" s="150">
        <v>635.59644100000003</v>
      </c>
      <c r="I112" s="150">
        <v>698.30480899999998</v>
      </c>
      <c r="J112" s="150">
        <v>726.03438600000004</v>
      </c>
      <c r="K112" s="150">
        <v>724.21986700000002</v>
      </c>
      <c r="L112" s="150">
        <v>734.20304999999996</v>
      </c>
      <c r="M112" s="150">
        <v>703.45473200000004</v>
      </c>
      <c r="N112" s="150">
        <v>719.87855100000002</v>
      </c>
      <c r="O112" s="150">
        <v>713.20721600000002</v>
      </c>
      <c r="P112" s="150">
        <v>649.78210300000001</v>
      </c>
      <c r="Q112" s="150">
        <v>711.18690000000004</v>
      </c>
      <c r="R112" s="150">
        <v>671.82498399999997</v>
      </c>
      <c r="S112" s="150">
        <v>699.97097299999996</v>
      </c>
      <c r="T112" s="150">
        <v>236.16906800000001</v>
      </c>
      <c r="U112"/>
      <c r="V112"/>
      <c r="W112"/>
      <c r="X112"/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2" t="s">
        <v>73</v>
      </c>
      <c r="C117" s="120" t="str">
        <f>TEXT(EDATE(D117,-1),"mmmm aaaa")</f>
        <v>mayo 2021</v>
      </c>
      <c r="D117" s="120" t="str">
        <f t="shared" ref="D117:M117" si="6">TEXT(EDATE(E117,-1),"mmmm aaaa")</f>
        <v>junio 2021</v>
      </c>
      <c r="E117" s="120" t="str">
        <f t="shared" si="6"/>
        <v>julio 2021</v>
      </c>
      <c r="F117" s="120" t="str">
        <f t="shared" si="6"/>
        <v>agosto 2021</v>
      </c>
      <c r="G117" s="120" t="str">
        <f t="shared" si="6"/>
        <v>septiembre 2021</v>
      </c>
      <c r="H117" s="120" t="str">
        <f t="shared" si="6"/>
        <v>octubre 2021</v>
      </c>
      <c r="I117" s="120" t="str">
        <f t="shared" si="6"/>
        <v>noviembre 2021</v>
      </c>
      <c r="J117" s="120" t="str">
        <f t="shared" si="6"/>
        <v>diciembre 2021</v>
      </c>
      <c r="K117" s="120" t="str">
        <f t="shared" si="6"/>
        <v>enero 2022</v>
      </c>
      <c r="L117" s="120" t="str">
        <f t="shared" si="6"/>
        <v>febrero 2022</v>
      </c>
      <c r="M117" s="120" t="str">
        <f t="shared" si="6"/>
        <v>marzo 2022</v>
      </c>
      <c r="N117" s="120" t="str">
        <f>TEXT(EDATE(O117,-1),"mmmm aaaa")</f>
        <v>abril 2022</v>
      </c>
      <c r="O117" s="121" t="str">
        <f>A2</f>
        <v>Mayo 2022</v>
      </c>
    </row>
    <row r="118" spans="1:19">
      <c r="B118" s="213"/>
      <c r="C118" s="131" t="str">
        <f>TEXT(EDATE($A$2,-12),"mmm")&amp;".-"&amp;TEXT(EDATE($A$2,-12),"aa")</f>
        <v>may.-21</v>
      </c>
      <c r="D118" s="131" t="str">
        <f>TEXT(EDATE($A$2,-11),"mmm")&amp;".-"&amp;TEXT(EDATE($A$2,-11),"aa")</f>
        <v>jun.-21</v>
      </c>
      <c r="E118" s="131" t="str">
        <f>TEXT(EDATE($A$2,-10),"mmm")&amp;".-"&amp;TEXT(EDATE($A$2,-10),"aa")</f>
        <v>jul.-21</v>
      </c>
      <c r="F118" s="131" t="str">
        <f>TEXT(EDATE($A$2,-9),"mmm")&amp;".-"&amp;TEXT(EDATE($A$2,-9),"aa")</f>
        <v>ago.-21</v>
      </c>
      <c r="G118" s="131" t="str">
        <f>TEXT(EDATE($A$2,-8),"mmm")&amp;".-"&amp;TEXT(EDATE($A$2,-8),"aa")</f>
        <v>sep.-21</v>
      </c>
      <c r="H118" s="131" t="str">
        <f>TEXT(EDATE($A$2,-7),"mmm")&amp;".-"&amp;TEXT(EDATE($A$2,-7),"aa")</f>
        <v>oct.-21</v>
      </c>
      <c r="I118" s="131" t="str">
        <f>TEXT(EDATE($A$2,-6),"mmm")&amp;".-"&amp;TEXT(EDATE($A$2,-6),"aa")</f>
        <v>nov.-21</v>
      </c>
      <c r="J118" s="131" t="str">
        <f>TEXT(EDATE($A$2,-5),"mmm")&amp;".-"&amp;TEXT(EDATE($A$2,-5),"aa")</f>
        <v>dic.-21</v>
      </c>
      <c r="K118" s="131" t="str">
        <f>TEXT(EDATE($A$2,-4),"mmm")&amp;".-"&amp;TEXT(EDATE($A$2,-4),"aa")</f>
        <v>ene.-22</v>
      </c>
      <c r="L118" s="131" t="str">
        <f>TEXT(EDATE($A$2,-3),"mmm")&amp;".-"&amp;TEXT(EDATE($A$2,-3),"aa")</f>
        <v>feb.-22</v>
      </c>
      <c r="M118" s="131" t="str">
        <f>TEXT(EDATE($A$2,-2),"mmm")&amp;".-"&amp;TEXT(EDATE($A$2,-2),"aa")</f>
        <v>mar.-22</v>
      </c>
      <c r="N118" s="131" t="str">
        <f>TEXT(EDATE($A$2,-1),"mmm")&amp;".-"&amp;TEXT(EDATE($A$2,-1),"aa")</f>
        <v>abr.-22</v>
      </c>
      <c r="O118" s="160" t="str">
        <f>TEXT($A$2,"mmm")&amp;".-"&amp;TEXT($A$2,"aa")</f>
        <v>may.-22</v>
      </c>
    </row>
    <row r="119" spans="1:19">
      <c r="A119" s="209" t="s">
        <v>76</v>
      </c>
      <c r="B119" s="132" t="s">
        <v>11</v>
      </c>
      <c r="C119" s="133">
        <f>HLOOKUP(C$117,$86:$101,3,FALSE)</f>
        <v>-1.103416</v>
      </c>
      <c r="D119" s="133">
        <f t="shared" ref="D119:N119" si="7">HLOOKUP(D$117,$86:$101,3,FALSE)</f>
        <v>41.953423999999998</v>
      </c>
      <c r="E119" s="133">
        <f t="shared" si="7"/>
        <v>9.292719</v>
      </c>
      <c r="F119" s="133">
        <f t="shared" si="7"/>
        <v>-0.72875599999999996</v>
      </c>
      <c r="G119" s="133">
        <f t="shared" si="7"/>
        <v>-0.54997399999999996</v>
      </c>
      <c r="H119" s="133">
        <f t="shared" si="7"/>
        <v>-0.58327700000000005</v>
      </c>
      <c r="I119" s="133">
        <f t="shared" si="7"/>
        <v>-0.582067</v>
      </c>
      <c r="J119" s="133">
        <f t="shared" si="7"/>
        <v>-0.61424800000000002</v>
      </c>
      <c r="K119" s="133">
        <f t="shared" si="7"/>
        <v>-0.627467</v>
      </c>
      <c r="L119" s="133">
        <f t="shared" si="7"/>
        <v>-0.58012699999999995</v>
      </c>
      <c r="M119" s="133">
        <f t="shared" si="7"/>
        <v>-0.66887300000000005</v>
      </c>
      <c r="N119" s="133">
        <f t="shared" si="7"/>
        <v>-0.60498099999999999</v>
      </c>
      <c r="O119" s="134">
        <f>HLOOKUP(O$117,$86:$101,3,FALSE)</f>
        <v>-1.0302370000000001</v>
      </c>
    </row>
    <row r="120" spans="1:19">
      <c r="A120" s="210"/>
      <c r="B120" s="122" t="s">
        <v>10</v>
      </c>
      <c r="C120" s="116">
        <f>HLOOKUP(C$117,$86:$101,4,FALSE)</f>
        <v>20.114982000000001</v>
      </c>
      <c r="D120" s="116">
        <f t="shared" ref="D120:O120" si="8">HLOOKUP(D$117,$86:$101,4,FALSE)</f>
        <v>40.523569999999999</v>
      </c>
      <c r="E120" s="116">
        <f t="shared" si="8"/>
        <v>56.775785999999997</v>
      </c>
      <c r="F120" s="116">
        <f t="shared" si="8"/>
        <v>61.091033000000003</v>
      </c>
      <c r="G120" s="116">
        <f t="shared" si="8"/>
        <v>52.802481999999998</v>
      </c>
      <c r="H120" s="116">
        <f t="shared" si="8"/>
        <v>40.707250000000002</v>
      </c>
      <c r="I120" s="116">
        <f t="shared" si="8"/>
        <v>21.566172999999999</v>
      </c>
      <c r="J120" s="116">
        <f t="shared" si="8"/>
        <v>26.795760999999999</v>
      </c>
      <c r="K120" s="116">
        <f t="shared" si="8"/>
        <v>31.928764000000001</v>
      </c>
      <c r="L120" s="116">
        <f t="shared" si="8"/>
        <v>27.285081000000002</v>
      </c>
      <c r="M120" s="116">
        <f t="shared" si="8"/>
        <v>26.627289999999999</v>
      </c>
      <c r="N120" s="116">
        <f t="shared" si="8"/>
        <v>38.583128000000002</v>
      </c>
      <c r="O120" s="134">
        <f t="shared" si="8"/>
        <v>43.134320000000002</v>
      </c>
    </row>
    <row r="121" spans="1:19">
      <c r="A121" s="210"/>
      <c r="B121" s="122" t="s">
        <v>9</v>
      </c>
      <c r="C121" s="116">
        <f>HLOOKUP(C$117,$86:$101,5,FALSE)</f>
        <v>7.7047420000000004</v>
      </c>
      <c r="D121" s="116">
        <f t="shared" ref="D121:O121" si="9">HLOOKUP(D$117,$86:$101,5,FALSE)</f>
        <v>18.862037999999998</v>
      </c>
      <c r="E121" s="116">
        <f t="shared" si="9"/>
        <v>27.349309999999999</v>
      </c>
      <c r="F121" s="116">
        <f t="shared" si="9"/>
        <v>38.115422000000002</v>
      </c>
      <c r="G121" s="116">
        <f t="shared" si="9"/>
        <v>38.690980000000003</v>
      </c>
      <c r="H121" s="116">
        <f t="shared" si="9"/>
        <v>18.871455999999998</v>
      </c>
      <c r="I121" s="116">
        <f t="shared" si="9"/>
        <v>15.480005999999999</v>
      </c>
      <c r="J121" s="116">
        <f t="shared" si="9"/>
        <v>11.535242</v>
      </c>
      <c r="K121" s="116">
        <f t="shared" si="9"/>
        <v>14.287936</v>
      </c>
      <c r="L121" s="116">
        <f t="shared" si="9"/>
        <v>12.016398000000001</v>
      </c>
      <c r="M121" s="116">
        <f t="shared" si="9"/>
        <v>16.589324000000001</v>
      </c>
      <c r="N121" s="116">
        <f t="shared" si="9"/>
        <v>16.923745</v>
      </c>
      <c r="O121" s="134">
        <f t="shared" si="9"/>
        <v>26.908449999999998</v>
      </c>
    </row>
    <row r="122" spans="1:19" ht="14.25">
      <c r="A122" s="210"/>
      <c r="B122" s="122" t="s">
        <v>74</v>
      </c>
      <c r="C122" s="116">
        <f>HLOOKUP(C$117,$86:$101,6,FALSE)</f>
        <v>203.81251599999999</v>
      </c>
      <c r="D122" s="116">
        <f t="shared" ref="D122:O122" si="10">HLOOKUP(D$117,$86:$101,6,FALSE)</f>
        <v>240.58060900000001</v>
      </c>
      <c r="E122" s="116">
        <f t="shared" si="10"/>
        <v>408.79444899999999</v>
      </c>
      <c r="F122" s="116">
        <f t="shared" si="10"/>
        <v>437.91378300000002</v>
      </c>
      <c r="G122" s="116">
        <f t="shared" si="10"/>
        <v>367.24080800000002</v>
      </c>
      <c r="H122" s="116">
        <f t="shared" si="10"/>
        <v>312.10340600000001</v>
      </c>
      <c r="I122" s="116">
        <f t="shared" si="10"/>
        <v>305.43751500000002</v>
      </c>
      <c r="J122" s="116">
        <f t="shared" si="10"/>
        <v>332.59120100000001</v>
      </c>
      <c r="K122" s="116">
        <f t="shared" si="10"/>
        <v>350.08292499999999</v>
      </c>
      <c r="L122" s="116">
        <f t="shared" si="10"/>
        <v>298.62258500000002</v>
      </c>
      <c r="M122" s="116">
        <f t="shared" si="10"/>
        <v>330.99539600000003</v>
      </c>
      <c r="N122" s="116">
        <f t="shared" si="10"/>
        <v>307.42903200000001</v>
      </c>
      <c r="O122" s="134">
        <f t="shared" si="10"/>
        <v>317.55595499999998</v>
      </c>
    </row>
    <row r="123" spans="1:19">
      <c r="A123" s="210"/>
      <c r="B123" s="122" t="s">
        <v>24</v>
      </c>
      <c r="C123" s="116">
        <f>HLOOKUP(C$117,$86:$101,7,FALSE)</f>
        <v>1.1771689999999999</v>
      </c>
      <c r="D123" s="116">
        <f t="shared" ref="D123:O123" si="11">HLOOKUP(D$117,$86:$101,7,FALSE)</f>
        <v>0.95765299999999998</v>
      </c>
      <c r="E123" s="116">
        <f t="shared" si="11"/>
        <v>2.9751430000000001</v>
      </c>
      <c r="F123" s="116">
        <f t="shared" si="11"/>
        <v>3.834768</v>
      </c>
      <c r="G123" s="116">
        <f t="shared" si="11"/>
        <v>2.0925159999999998</v>
      </c>
      <c r="H123" s="116">
        <f t="shared" si="11"/>
        <v>0.98881300000000005</v>
      </c>
      <c r="I123" s="116">
        <f t="shared" si="11"/>
        <v>0</v>
      </c>
      <c r="J123" s="116">
        <f t="shared" si="11"/>
        <v>0</v>
      </c>
      <c r="K123" s="116">
        <f t="shared" si="11"/>
        <v>0</v>
      </c>
      <c r="L123" s="116">
        <f t="shared" si="11"/>
        <v>0</v>
      </c>
      <c r="M123" s="116">
        <f t="shared" si="11"/>
        <v>0</v>
      </c>
      <c r="N123" s="116">
        <f t="shared" si="11"/>
        <v>0</v>
      </c>
      <c r="O123" s="134">
        <f t="shared" si="11"/>
        <v>0</v>
      </c>
    </row>
    <row r="124" spans="1:19">
      <c r="A124" s="210"/>
      <c r="B124" s="122" t="s">
        <v>5</v>
      </c>
      <c r="C124" s="116">
        <f>HLOOKUP(C$117,$86:$102,8,FALSE)</f>
        <v>0.189554</v>
      </c>
      <c r="D124" s="116">
        <f t="shared" ref="D124:O124" si="12">HLOOKUP(D$117,$86:$102,8,FALSE)</f>
        <v>9.4216999999999995E-2</v>
      </c>
      <c r="E124" s="116">
        <f t="shared" si="12"/>
        <v>0.106017</v>
      </c>
      <c r="F124" s="116">
        <f t="shared" si="12"/>
        <v>0.20128099999999999</v>
      </c>
      <c r="G124" s="116">
        <f t="shared" si="12"/>
        <v>0.27444800000000003</v>
      </c>
      <c r="H124" s="116">
        <f t="shared" si="12"/>
        <v>0.26974799999999999</v>
      </c>
      <c r="I124" s="116">
        <f t="shared" si="12"/>
        <v>6.1364000000000002E-2</v>
      </c>
      <c r="J124" s="116">
        <f t="shared" si="12"/>
        <v>0.10125000000000001</v>
      </c>
      <c r="K124" s="116">
        <f t="shared" si="12"/>
        <v>0.215638</v>
      </c>
      <c r="L124" s="116">
        <f t="shared" si="12"/>
        <v>0.22824</v>
      </c>
      <c r="M124" s="116">
        <f t="shared" si="12"/>
        <v>0.33845999999999998</v>
      </c>
      <c r="N124" s="116">
        <f t="shared" si="12"/>
        <v>0.239788</v>
      </c>
      <c r="O124" s="134">
        <f t="shared" si="12"/>
        <v>0.16079099999999999</v>
      </c>
    </row>
    <row r="125" spans="1:19">
      <c r="A125" s="210"/>
      <c r="B125" s="122" t="s">
        <v>4</v>
      </c>
      <c r="C125" s="116">
        <f>HLOOKUP(C$117,$86:$102,9,FALSE)</f>
        <v>22.208131999999999</v>
      </c>
      <c r="D125" s="116">
        <f t="shared" ref="D125:O125" si="13">HLOOKUP(D$117,$86:$102,9,FALSE)</f>
        <v>21.169694</v>
      </c>
      <c r="E125" s="116">
        <f t="shared" si="13"/>
        <v>22.966384000000001</v>
      </c>
      <c r="F125" s="116">
        <f t="shared" si="13"/>
        <v>21.414781000000001</v>
      </c>
      <c r="G125" s="116">
        <f t="shared" si="13"/>
        <v>17.622215000000001</v>
      </c>
      <c r="H125" s="116">
        <f t="shared" si="13"/>
        <v>16.792960999999998</v>
      </c>
      <c r="I125" s="116">
        <f t="shared" si="13"/>
        <v>8.8102359999999997</v>
      </c>
      <c r="J125" s="116">
        <f t="shared" si="13"/>
        <v>11.149039999999999</v>
      </c>
      <c r="K125" s="116">
        <f t="shared" si="13"/>
        <v>14.422969999999999</v>
      </c>
      <c r="L125" s="116">
        <f t="shared" si="13"/>
        <v>17.843508</v>
      </c>
      <c r="M125" s="116">
        <f t="shared" si="13"/>
        <v>13.605662000000001</v>
      </c>
      <c r="N125" s="116">
        <f t="shared" si="13"/>
        <v>21.880269999999999</v>
      </c>
      <c r="O125" s="134">
        <f t="shared" si="13"/>
        <v>26.903580000000002</v>
      </c>
    </row>
    <row r="126" spans="1:19">
      <c r="A126" s="210"/>
      <c r="B126" s="123" t="s">
        <v>22</v>
      </c>
      <c r="C126" s="116">
        <f>HLOOKUP(C$117,$86:$102,10,FALSE)</f>
        <v>0.118546</v>
      </c>
      <c r="D126" s="116">
        <f t="shared" ref="D126:O126" si="14">HLOOKUP(D$117,$86:$102,10,FALSE)</f>
        <v>0.10044400000000001</v>
      </c>
      <c r="E126" s="116">
        <f t="shared" si="14"/>
        <v>9.6151E-2</v>
      </c>
      <c r="F126" s="116">
        <f t="shared" si="14"/>
        <v>8.4413000000000002E-2</v>
      </c>
      <c r="G126" s="116">
        <f t="shared" si="14"/>
        <v>8.1381999999999996E-2</v>
      </c>
      <c r="H126" s="116">
        <f t="shared" si="14"/>
        <v>0.243059</v>
      </c>
      <c r="I126" s="116">
        <f t="shared" si="14"/>
        <v>0.24007600000000001</v>
      </c>
      <c r="J126" s="116">
        <f t="shared" si="14"/>
        <v>0.230462</v>
      </c>
      <c r="K126" s="116">
        <f t="shared" si="14"/>
        <v>0.285244</v>
      </c>
      <c r="L126" s="116">
        <f t="shared" si="14"/>
        <v>0.28095199999999998</v>
      </c>
      <c r="M126" s="116">
        <f t="shared" si="14"/>
        <v>0.29118100000000002</v>
      </c>
      <c r="N126" s="116">
        <f t="shared" si="14"/>
        <v>0.16531499999999999</v>
      </c>
      <c r="O126" s="134">
        <f t="shared" si="14"/>
        <v>0.166327</v>
      </c>
    </row>
    <row r="127" spans="1:19">
      <c r="A127" s="210"/>
      <c r="B127" s="123" t="s">
        <v>23</v>
      </c>
      <c r="C127" s="116">
        <f>HLOOKUP(C$117,$86:$102,11,FALSE)</f>
        <v>2.5715810000000001</v>
      </c>
      <c r="D127" s="116">
        <f t="shared" ref="D127:O127" si="15">HLOOKUP(D$117,$86:$102,11,FALSE)</f>
        <v>3.062163</v>
      </c>
      <c r="E127" s="116">
        <f t="shared" si="15"/>
        <v>4.0856940000000002</v>
      </c>
      <c r="F127" s="116">
        <f t="shared" si="15"/>
        <v>3.9309270000000001</v>
      </c>
      <c r="G127" s="116">
        <f t="shared" si="15"/>
        <v>3.8190279999999999</v>
      </c>
      <c r="H127" s="116">
        <f t="shared" si="15"/>
        <v>4.0205719999999996</v>
      </c>
      <c r="I127" s="116">
        <f t="shared" si="15"/>
        <v>1.4121680000000001</v>
      </c>
      <c r="J127" s="116">
        <f t="shared" si="15"/>
        <v>3.5189080000000001</v>
      </c>
      <c r="K127" s="116">
        <f t="shared" si="15"/>
        <v>3.4010050000000001</v>
      </c>
      <c r="L127" s="116">
        <f t="shared" si="15"/>
        <v>3.0684070000000001</v>
      </c>
      <c r="M127" s="116">
        <f t="shared" si="15"/>
        <v>3.993204</v>
      </c>
      <c r="N127" s="116">
        <f t="shared" si="15"/>
        <v>1.8386769999999999</v>
      </c>
      <c r="O127" s="134">
        <f t="shared" si="15"/>
        <v>1.9461250000000001</v>
      </c>
    </row>
    <row r="128" spans="1:19">
      <c r="A128" s="210"/>
      <c r="B128" s="122" t="s">
        <v>55</v>
      </c>
      <c r="C128" s="116">
        <f t="shared" ref="C128:O128" si="16">HLOOKUP(C$117,$86:$102,13,FALSE)</f>
        <v>6.0236640000000001</v>
      </c>
      <c r="D128" s="116">
        <f t="shared" si="16"/>
        <v>13.481942</v>
      </c>
      <c r="E128" s="116">
        <f t="shared" si="16"/>
        <v>11.473026000000001</v>
      </c>
      <c r="F128" s="116">
        <f t="shared" si="16"/>
        <v>13.3199895</v>
      </c>
      <c r="G128" s="116">
        <f t="shared" si="16"/>
        <v>11.972504499999999</v>
      </c>
      <c r="H128" s="116">
        <f t="shared" si="16"/>
        <v>6.4146000000000001</v>
      </c>
      <c r="I128" s="116">
        <f t="shared" si="16"/>
        <v>13.8683715</v>
      </c>
      <c r="J128" s="116">
        <f t="shared" si="16"/>
        <v>8.8660929999999993</v>
      </c>
      <c r="K128" s="116">
        <f t="shared" si="16"/>
        <v>9.8711500000000001</v>
      </c>
      <c r="L128" s="116">
        <f t="shared" si="16"/>
        <v>5.4414375000000001</v>
      </c>
      <c r="M128" s="116">
        <f t="shared" si="16"/>
        <v>9.6633200000000006</v>
      </c>
      <c r="N128" s="116">
        <f t="shared" si="16"/>
        <v>7.8050050000000004</v>
      </c>
      <c r="O128" s="134">
        <f t="shared" si="16"/>
        <v>11.846121999999999</v>
      </c>
    </row>
    <row r="129" spans="1:15">
      <c r="A129" s="210"/>
      <c r="B129" s="122" t="s">
        <v>54</v>
      </c>
      <c r="C129" s="116">
        <f>HLOOKUP(C$117,$86:$102,12,FALSE)</f>
        <v>6.0236640000000001</v>
      </c>
      <c r="D129" s="116">
        <f t="shared" ref="D129:O129" si="17">HLOOKUP(D$117,$86:$102,12,FALSE)</f>
        <v>13.481942</v>
      </c>
      <c r="E129" s="116">
        <f t="shared" si="17"/>
        <v>11.473026000000001</v>
      </c>
      <c r="F129" s="116">
        <f t="shared" si="17"/>
        <v>13.3199895</v>
      </c>
      <c r="G129" s="116">
        <f t="shared" si="17"/>
        <v>11.972504499999999</v>
      </c>
      <c r="H129" s="116">
        <f t="shared" si="17"/>
        <v>6.4146000000000001</v>
      </c>
      <c r="I129" s="116">
        <f t="shared" si="17"/>
        <v>13.8683715</v>
      </c>
      <c r="J129" s="116">
        <f t="shared" si="17"/>
        <v>8.8660929999999993</v>
      </c>
      <c r="K129" s="116">
        <f t="shared" si="17"/>
        <v>9.8711500000000001</v>
      </c>
      <c r="L129" s="116">
        <f t="shared" si="17"/>
        <v>5.4414375000000001</v>
      </c>
      <c r="M129" s="116">
        <f t="shared" si="17"/>
        <v>9.6633200000000006</v>
      </c>
      <c r="N129" s="116">
        <f t="shared" si="17"/>
        <v>7.8050050000000004</v>
      </c>
      <c r="O129" s="134">
        <f t="shared" si="17"/>
        <v>11.846121999999999</v>
      </c>
    </row>
    <row r="130" spans="1:15">
      <c r="A130" s="210"/>
      <c r="B130" s="124" t="s">
        <v>2</v>
      </c>
      <c r="C130" s="125">
        <f>HLOOKUP(C$117,$86:$102,14,FALSE)</f>
        <v>268.84113400000001</v>
      </c>
      <c r="D130" s="125">
        <f t="shared" ref="D130:O130" si="18">HLOOKUP(D$117,$86:$102,14,FALSE)</f>
        <v>394.267696</v>
      </c>
      <c r="E130" s="125">
        <f t="shared" si="18"/>
        <v>555.38770499999998</v>
      </c>
      <c r="F130" s="125">
        <f t="shared" si="18"/>
        <v>592.49763099999996</v>
      </c>
      <c r="G130" s="125">
        <f t="shared" si="18"/>
        <v>506.01889399999999</v>
      </c>
      <c r="H130" s="125">
        <f t="shared" si="18"/>
        <v>406.24318799999998</v>
      </c>
      <c r="I130" s="125">
        <f t="shared" si="18"/>
        <v>380.16221400000001</v>
      </c>
      <c r="J130" s="125">
        <f t="shared" si="18"/>
        <v>403.03980200000001</v>
      </c>
      <c r="K130" s="125">
        <f t="shared" si="18"/>
        <v>433.73931499999998</v>
      </c>
      <c r="L130" s="125">
        <f t="shared" si="18"/>
        <v>369.647919</v>
      </c>
      <c r="M130" s="125">
        <f t="shared" si="18"/>
        <v>411.09828399999998</v>
      </c>
      <c r="N130" s="125">
        <f t="shared" si="18"/>
        <v>402.06498399999998</v>
      </c>
      <c r="O130" s="135">
        <f t="shared" si="18"/>
        <v>439.43755499999997</v>
      </c>
    </row>
    <row r="131" spans="1:15">
      <c r="A131" s="210"/>
      <c r="B131" s="122" t="s">
        <v>21</v>
      </c>
      <c r="C131" s="126">
        <f>HLOOKUP(C$117,$86:$102,15,FALSE)</f>
        <v>111.601713</v>
      </c>
      <c r="D131" s="126">
        <f t="shared" ref="D131:O131" si="19">HLOOKUP(D$117,$86:$102,15,FALSE)</f>
        <v>65.429468</v>
      </c>
      <c r="E131" s="126">
        <f t="shared" si="19"/>
        <v>45.879221000000001</v>
      </c>
      <c r="F131" s="126">
        <f t="shared" si="19"/>
        <v>40.107311000000003</v>
      </c>
      <c r="G131" s="126">
        <f t="shared" si="19"/>
        <v>37.549396999999999</v>
      </c>
      <c r="H131" s="126">
        <f t="shared" si="19"/>
        <v>38.285525</v>
      </c>
      <c r="I131" s="126">
        <f t="shared" si="19"/>
        <v>28.435708999999999</v>
      </c>
      <c r="J131" s="126">
        <f t="shared" si="19"/>
        <v>32.270831999999999</v>
      </c>
      <c r="K131" s="126">
        <f t="shared" si="19"/>
        <v>31.159338999999999</v>
      </c>
      <c r="L131" s="126">
        <f t="shared" si="19"/>
        <v>27.502502</v>
      </c>
      <c r="M131" s="126">
        <f t="shared" si="19"/>
        <v>30.689281000000001</v>
      </c>
      <c r="N131" s="126">
        <f t="shared" si="19"/>
        <v>33.641058999999998</v>
      </c>
      <c r="O131" s="126">
        <f t="shared" si="19"/>
        <v>32.047055999999998</v>
      </c>
    </row>
    <row r="132" spans="1:15">
      <c r="A132" s="210"/>
      <c r="B132" s="127" t="s">
        <v>1</v>
      </c>
      <c r="C132" s="128">
        <f>HLOOKUP(C$117,$86:$102,16,FALSE)</f>
        <v>380.44284699999997</v>
      </c>
      <c r="D132" s="128">
        <f t="shared" ref="D132:O132" si="20">HLOOKUP(D$117,$86:$102,16,FALSE)</f>
        <v>459.69716399999999</v>
      </c>
      <c r="E132" s="128">
        <f t="shared" si="20"/>
        <v>601.26692600000001</v>
      </c>
      <c r="F132" s="128">
        <f t="shared" si="20"/>
        <v>632.60494200000005</v>
      </c>
      <c r="G132" s="128">
        <f t="shared" si="20"/>
        <v>543.56829100000004</v>
      </c>
      <c r="H132" s="128">
        <f t="shared" si="20"/>
        <v>444.52871299999998</v>
      </c>
      <c r="I132" s="128">
        <f t="shared" si="20"/>
        <v>408.59792299999998</v>
      </c>
      <c r="J132" s="128">
        <f t="shared" si="20"/>
        <v>435.31063399999999</v>
      </c>
      <c r="K132" s="128">
        <f t="shared" si="20"/>
        <v>464.89865400000002</v>
      </c>
      <c r="L132" s="128">
        <f t="shared" si="20"/>
        <v>397.15042099999999</v>
      </c>
      <c r="M132" s="128">
        <f t="shared" si="20"/>
        <v>441.78756499999997</v>
      </c>
      <c r="N132" s="128">
        <f t="shared" si="20"/>
        <v>435.70604300000002</v>
      </c>
      <c r="O132" s="128">
        <f t="shared" si="20"/>
        <v>471.48461099999997</v>
      </c>
    </row>
    <row r="133" spans="1:15" ht="14.25">
      <c r="A133" s="211"/>
      <c r="B133" s="137" t="s">
        <v>75</v>
      </c>
      <c r="C133" s="138">
        <f>C120+C121+C123</f>
        <v>28.996893</v>
      </c>
      <c r="D133" s="138">
        <f>D120+D121+D123</f>
        <v>60.343260999999998</v>
      </c>
      <c r="E133" s="138">
        <f t="shared" ref="E133:O133" si="21">E120+E121+E123</f>
        <v>87.100239000000002</v>
      </c>
      <c r="F133" s="138">
        <f t="shared" si="21"/>
        <v>103.041223</v>
      </c>
      <c r="G133" s="138">
        <f t="shared" si="21"/>
        <v>93.585977999999997</v>
      </c>
      <c r="H133" s="138">
        <f t="shared" si="21"/>
        <v>60.567518999999997</v>
      </c>
      <c r="I133" s="138">
        <f t="shared" si="21"/>
        <v>37.046178999999995</v>
      </c>
      <c r="J133" s="138">
        <f t="shared" si="21"/>
        <v>38.331002999999995</v>
      </c>
      <c r="K133" s="138">
        <f t="shared" si="21"/>
        <v>46.216700000000003</v>
      </c>
      <c r="L133" s="138">
        <f t="shared" si="21"/>
        <v>39.301479</v>
      </c>
      <c r="M133" s="138">
        <f t="shared" si="21"/>
        <v>43.216614</v>
      </c>
      <c r="N133" s="138">
        <f t="shared" si="21"/>
        <v>55.506872999999999</v>
      </c>
      <c r="O133" s="138">
        <f t="shared" si="21"/>
        <v>70.042770000000004</v>
      </c>
    </row>
    <row r="134" spans="1:15">
      <c r="A134" s="209" t="s">
        <v>77</v>
      </c>
      <c r="B134" s="139" t="s">
        <v>73</v>
      </c>
      <c r="C134" s="120" t="str">
        <f>TEXT(EDATE($A$2,-12),"mmm")&amp;".-"&amp;TEXT(EDATE($A$2,-12),"aa")</f>
        <v>may.-21</v>
      </c>
      <c r="D134" s="120" t="str">
        <f>TEXT(EDATE($A$2,-11),"mmm")&amp;".-"&amp;TEXT(EDATE($A$2,-11),"aa")</f>
        <v>jun.-21</v>
      </c>
      <c r="E134" s="120" t="str">
        <f>TEXT(EDATE($A$2,-10),"mmm")&amp;".-"&amp;TEXT(EDATE($A$2,-10),"aa")</f>
        <v>jul.-21</v>
      </c>
      <c r="F134" s="120" t="str">
        <f>TEXT(EDATE($A$2,-9),"mmm")&amp;".-"&amp;TEXT(EDATE($A$2,-9),"aa")</f>
        <v>ago.-21</v>
      </c>
      <c r="G134" s="120" t="str">
        <f>TEXT(EDATE($A$2,-8),"mmm")&amp;".-"&amp;TEXT(EDATE($A$2,-8),"aa")</f>
        <v>sep.-21</v>
      </c>
      <c r="H134" s="120" t="str">
        <f>TEXT(EDATE($A$2,-7),"mmm")&amp;".-"&amp;TEXT(EDATE($A$2,-7),"aa")</f>
        <v>oct.-21</v>
      </c>
      <c r="I134" s="120" t="str">
        <f>TEXT(EDATE($A$2,-6),"mmm")&amp;".-"&amp;TEXT(EDATE($A$2,-6),"aa")</f>
        <v>nov.-21</v>
      </c>
      <c r="J134" s="120" t="str">
        <f>TEXT(EDATE($A$2,-5),"mmm")&amp;".-"&amp;TEXT(EDATE($A$2,-5),"aa")</f>
        <v>dic.-21</v>
      </c>
      <c r="K134" s="120" t="str">
        <f>TEXT(EDATE($A$2,-4),"mmm")&amp;".-"&amp;TEXT(EDATE($A$2,-4),"aa")</f>
        <v>ene.-22</v>
      </c>
      <c r="L134" s="120" t="str">
        <f>TEXT(EDATE($A$2,-3),"mmm")&amp;".-"&amp;TEXT(EDATE($A$2,-3),"aa")</f>
        <v>feb.-22</v>
      </c>
      <c r="M134" s="120" t="str">
        <f>TEXT(EDATE($A$2,-2),"mmm")&amp;".-"&amp;TEXT(EDATE($A$2,-2),"aa")</f>
        <v>mar.-22</v>
      </c>
      <c r="N134" s="120" t="str">
        <f>TEXT(EDATE($A$2,-1),"mmm")&amp;".-"&amp;TEXT(EDATE($A$2,-1),"aa")</f>
        <v>abr.-22</v>
      </c>
      <c r="O134" s="121" t="str">
        <f>TEXT($A$2,"mmm")&amp;".-"&amp;TEXT($A$2,"aa")</f>
        <v>may.-22</v>
      </c>
    </row>
    <row r="135" spans="1:15" ht="15" customHeight="1">
      <c r="A135" s="210"/>
      <c r="B135" s="122" t="s">
        <v>12</v>
      </c>
      <c r="C135" s="116">
        <f>HLOOKUP(C$117,$86:$115,17,FALSE)</f>
        <v>0.26783600000000002</v>
      </c>
      <c r="D135" s="116">
        <f t="shared" ref="D135:O135" si="22">HLOOKUP(D$117,$86:$115,17,FALSE)</f>
        <v>0.28217700000000001</v>
      </c>
      <c r="E135" s="116">
        <f t="shared" si="22"/>
        <v>0.28972599999999998</v>
      </c>
      <c r="F135" s="116">
        <f t="shared" si="22"/>
        <v>0.28065899999999999</v>
      </c>
      <c r="G135" s="116">
        <f t="shared" si="22"/>
        <v>0.27753299999999997</v>
      </c>
      <c r="H135" s="116">
        <f t="shared" si="22"/>
        <v>0.28213100000000002</v>
      </c>
      <c r="I135" s="116">
        <f t="shared" si="22"/>
        <v>0.23125799999999999</v>
      </c>
      <c r="J135" s="116">
        <f t="shared" si="22"/>
        <v>0.15536</v>
      </c>
      <c r="K135" s="116">
        <f t="shared" si="22"/>
        <v>0.294213</v>
      </c>
      <c r="L135" s="116">
        <f t="shared" si="22"/>
        <v>0.25058200000000003</v>
      </c>
      <c r="M135" s="116">
        <f t="shared" si="22"/>
        <v>0.29644599999999999</v>
      </c>
      <c r="N135" s="116">
        <f t="shared" si="22"/>
        <v>0.27407199999999998</v>
      </c>
      <c r="O135" s="161">
        <f t="shared" si="22"/>
        <v>0.29880499999999999</v>
      </c>
    </row>
    <row r="136" spans="1:15">
      <c r="A136" s="210"/>
      <c r="B136" s="122" t="s">
        <v>10</v>
      </c>
      <c r="C136" s="116">
        <f>HLOOKUP(C$117,$86:$115,18,FALSE)</f>
        <v>126.338086</v>
      </c>
      <c r="D136" s="116">
        <f t="shared" ref="D136:O136" si="23">HLOOKUP(D$117,$86:$115,18,FALSE)</f>
        <v>133.47636299999999</v>
      </c>
      <c r="E136" s="116">
        <f t="shared" si="23"/>
        <v>143.30591200000001</v>
      </c>
      <c r="F136" s="116">
        <f t="shared" si="23"/>
        <v>156.76768200000001</v>
      </c>
      <c r="G136" s="116">
        <f t="shared" si="23"/>
        <v>167.979367</v>
      </c>
      <c r="H136" s="116">
        <f t="shared" si="23"/>
        <v>160.016738</v>
      </c>
      <c r="I136" s="116">
        <f t="shared" si="23"/>
        <v>150.664601</v>
      </c>
      <c r="J136" s="116">
        <f t="shared" si="23"/>
        <v>156.43285700000001</v>
      </c>
      <c r="K136" s="116">
        <f t="shared" si="23"/>
        <v>144.976482</v>
      </c>
      <c r="L136" s="116">
        <f t="shared" si="23"/>
        <v>129.27893900000001</v>
      </c>
      <c r="M136" s="116">
        <f t="shared" si="23"/>
        <v>148.836814</v>
      </c>
      <c r="N136" s="116">
        <f t="shared" si="23"/>
        <v>137.06189800000001</v>
      </c>
      <c r="O136" s="134">
        <f t="shared" si="23"/>
        <v>142.20011299999999</v>
      </c>
    </row>
    <row r="137" spans="1:15">
      <c r="A137" s="210"/>
      <c r="B137" s="122" t="s">
        <v>9</v>
      </c>
      <c r="C137" s="116">
        <f>HLOOKUP(C$117,$86:$115,19,FALSE)</f>
        <v>17.203126999999999</v>
      </c>
      <c r="D137" s="116">
        <f t="shared" ref="D137:O137" si="24">HLOOKUP(D$117,$86:$115,19,FALSE)</f>
        <v>15.24977</v>
      </c>
      <c r="E137" s="116">
        <f t="shared" si="24"/>
        <v>13.198846</v>
      </c>
      <c r="F137" s="116">
        <f t="shared" si="24"/>
        <v>9.7369489999999992</v>
      </c>
      <c r="G137" s="116">
        <f t="shared" si="24"/>
        <v>32.625571999999998</v>
      </c>
      <c r="H137" s="116">
        <f t="shared" si="24"/>
        <v>27.415593999999999</v>
      </c>
      <c r="I137" s="116">
        <f t="shared" si="24"/>
        <v>14.576139</v>
      </c>
      <c r="J137" s="116">
        <f t="shared" si="24"/>
        <v>17.516629999999999</v>
      </c>
      <c r="K137" s="116">
        <f t="shared" si="24"/>
        <v>20.123602000000002</v>
      </c>
      <c r="L137" s="116">
        <f t="shared" si="24"/>
        <v>22.305457000000001</v>
      </c>
      <c r="M137" s="116">
        <f t="shared" si="24"/>
        <v>22.266936999999999</v>
      </c>
      <c r="N137" s="116">
        <f t="shared" si="24"/>
        <v>17.593667</v>
      </c>
      <c r="O137" s="134">
        <f t="shared" si="24"/>
        <v>15.375764</v>
      </c>
    </row>
    <row r="138" spans="1:15">
      <c r="A138" s="210"/>
      <c r="B138" s="122" t="s">
        <v>8</v>
      </c>
      <c r="C138" s="116">
        <f>HLOOKUP(C$117,$86:$115,20,FALSE)</f>
        <v>62.41677</v>
      </c>
      <c r="D138" s="116">
        <f t="shared" ref="D138:O138" si="25">HLOOKUP(D$117,$86:$115,20,FALSE)</f>
        <v>33.486941999999999</v>
      </c>
      <c r="E138" s="116">
        <f t="shared" si="25"/>
        <v>66.134209999999996</v>
      </c>
      <c r="F138" s="116">
        <f t="shared" si="25"/>
        <v>99.644189999999995</v>
      </c>
      <c r="G138" s="116">
        <f t="shared" si="25"/>
        <v>113.210213</v>
      </c>
      <c r="H138" s="116">
        <f t="shared" si="25"/>
        <v>112.484255</v>
      </c>
      <c r="I138" s="116">
        <f t="shared" si="25"/>
        <v>115.10042799999999</v>
      </c>
      <c r="J138" s="116">
        <f t="shared" si="25"/>
        <v>112.90636000000001</v>
      </c>
      <c r="K138" s="116">
        <f t="shared" si="25"/>
        <v>117.422501</v>
      </c>
      <c r="L138" s="116">
        <f t="shared" si="25"/>
        <v>102.630663</v>
      </c>
      <c r="M138" s="116">
        <f t="shared" si="25"/>
        <v>114.385115</v>
      </c>
      <c r="N138" s="116">
        <f t="shared" si="25"/>
        <v>103.636366</v>
      </c>
      <c r="O138" s="134">
        <f t="shared" si="25"/>
        <v>86.849653000000004</v>
      </c>
    </row>
    <row r="139" spans="1:15" ht="14.25">
      <c r="A139" s="210"/>
      <c r="B139" s="122" t="s">
        <v>74</v>
      </c>
      <c r="C139" s="116">
        <f>HLOOKUP(C$117,$86:$115,21,FALSE)</f>
        <v>236.28277700000001</v>
      </c>
      <c r="D139" s="116">
        <f t="shared" ref="D139:O139" si="26">HLOOKUP(D$117,$86:$115,21,FALSE)</f>
        <v>276.61590899999999</v>
      </c>
      <c r="E139" s="116">
        <f t="shared" si="26"/>
        <v>284.60979800000001</v>
      </c>
      <c r="F139" s="116">
        <f t="shared" si="26"/>
        <v>284.30052499999999</v>
      </c>
      <c r="G139" s="116">
        <f t="shared" si="26"/>
        <v>278.88830000000002</v>
      </c>
      <c r="H139" s="116">
        <f t="shared" si="26"/>
        <v>288.42916700000001</v>
      </c>
      <c r="I139" s="116">
        <f t="shared" si="26"/>
        <v>314.272829</v>
      </c>
      <c r="J139" s="116">
        <f t="shared" si="26"/>
        <v>321.01253800000001</v>
      </c>
      <c r="K139" s="116">
        <f t="shared" si="26"/>
        <v>350.31383599999998</v>
      </c>
      <c r="L139" s="116">
        <f t="shared" si="26"/>
        <v>285.33313399999997</v>
      </c>
      <c r="M139" s="116">
        <f t="shared" si="26"/>
        <v>288.5179</v>
      </c>
      <c r="N139" s="116">
        <f t="shared" si="26"/>
        <v>265.37271800000002</v>
      </c>
      <c r="O139" s="134">
        <f t="shared" si="26"/>
        <v>303.45304399999998</v>
      </c>
    </row>
    <row r="140" spans="1:15">
      <c r="A140" s="210"/>
      <c r="B140" s="122" t="s">
        <v>6</v>
      </c>
      <c r="C140" s="116">
        <f>HLOOKUP(C$117,$86:$115,22,FALSE)</f>
        <v>3.227077</v>
      </c>
      <c r="D140" s="116">
        <f t="shared" ref="D140:O140" si="27">HLOOKUP(D$117,$86:$115,22,FALSE)</f>
        <v>3.0020419999999999</v>
      </c>
      <c r="E140" s="116">
        <f t="shared" si="27"/>
        <v>3.5782180000000001</v>
      </c>
      <c r="F140" s="116">
        <f t="shared" si="27"/>
        <v>2.663478</v>
      </c>
      <c r="G140" s="116">
        <f t="shared" si="27"/>
        <v>1.4201079999999999</v>
      </c>
      <c r="H140" s="116">
        <f t="shared" si="27"/>
        <v>1.852679</v>
      </c>
      <c r="I140" s="116">
        <f t="shared" si="27"/>
        <v>1.1397900000000001</v>
      </c>
      <c r="J140" s="116">
        <f t="shared" si="27"/>
        <v>1.2278610000000001</v>
      </c>
      <c r="K140" s="116">
        <f t="shared" si="27"/>
        <v>1.110916</v>
      </c>
      <c r="L140" s="116">
        <f t="shared" si="27"/>
        <v>1.4820450000000001</v>
      </c>
      <c r="M140" s="116">
        <f t="shared" si="27"/>
        <v>2.1263230000000002</v>
      </c>
      <c r="N140" s="116">
        <f t="shared" si="27"/>
        <v>1.7525280000000001</v>
      </c>
      <c r="O140" s="134">
        <f t="shared" si="27"/>
        <v>1.9171739999999999</v>
      </c>
    </row>
    <row r="141" spans="1:15">
      <c r="A141" s="210"/>
      <c r="B141" s="122" t="s">
        <v>5</v>
      </c>
      <c r="C141" s="116">
        <f>HLOOKUP(C$117,$86:$115,23,FALSE)</f>
        <v>164.67089200000001</v>
      </c>
      <c r="D141" s="116">
        <f t="shared" ref="D141:O141" si="28">HLOOKUP(D$117,$86:$115,23,FALSE)</f>
        <v>148.01756800000001</v>
      </c>
      <c r="E141" s="116">
        <f t="shared" si="28"/>
        <v>158.51629800000001</v>
      </c>
      <c r="F141" s="116">
        <f t="shared" si="28"/>
        <v>145.95032699999999</v>
      </c>
      <c r="G141" s="116">
        <f t="shared" si="28"/>
        <v>107.853368</v>
      </c>
      <c r="H141" s="116">
        <f t="shared" si="28"/>
        <v>121.987015</v>
      </c>
      <c r="I141" s="116">
        <f t="shared" si="28"/>
        <v>91.770038</v>
      </c>
      <c r="J141" s="116">
        <f t="shared" si="28"/>
        <v>92.867580000000004</v>
      </c>
      <c r="K141" s="116">
        <f t="shared" si="28"/>
        <v>60.148176999999997</v>
      </c>
      <c r="L141" s="116">
        <f t="shared" si="28"/>
        <v>88.981584999999995</v>
      </c>
      <c r="M141" s="116">
        <f t="shared" si="28"/>
        <v>108.99192499999999</v>
      </c>
      <c r="N141" s="116">
        <f t="shared" si="28"/>
        <v>120.763114</v>
      </c>
      <c r="O141" s="134">
        <f t="shared" si="28"/>
        <v>116.792132</v>
      </c>
    </row>
    <row r="142" spans="1:15">
      <c r="A142" s="210"/>
      <c r="B142" s="122" t="s">
        <v>4</v>
      </c>
      <c r="C142" s="116">
        <f>HLOOKUP(C$117,$86:$115,24,FALSE)</f>
        <v>27.092843999999999</v>
      </c>
      <c r="D142" s="116">
        <f t="shared" ref="D142:O142" si="29">HLOOKUP(D$117,$86:$115,24,FALSE)</f>
        <v>24.741710999999999</v>
      </c>
      <c r="E142" s="116">
        <f t="shared" si="29"/>
        <v>27.937771999999999</v>
      </c>
      <c r="F142" s="116">
        <f t="shared" si="29"/>
        <v>26.120768999999999</v>
      </c>
      <c r="G142" s="116">
        <f t="shared" si="29"/>
        <v>21.565273000000001</v>
      </c>
      <c r="H142" s="116">
        <f t="shared" si="29"/>
        <v>20.979474</v>
      </c>
      <c r="I142" s="116">
        <f t="shared" si="29"/>
        <v>14.946410999999999</v>
      </c>
      <c r="J142" s="116">
        <f t="shared" si="29"/>
        <v>16.937016</v>
      </c>
      <c r="K142" s="116">
        <f t="shared" si="29"/>
        <v>17.956958</v>
      </c>
      <c r="L142" s="116">
        <f t="shared" si="29"/>
        <v>18.798999999999999</v>
      </c>
      <c r="M142" s="116">
        <f t="shared" si="29"/>
        <v>24.855595999999998</v>
      </c>
      <c r="N142" s="116">
        <f t="shared" si="29"/>
        <v>24.757097000000002</v>
      </c>
      <c r="O142" s="134">
        <f t="shared" si="29"/>
        <v>32.362824000000003</v>
      </c>
    </row>
    <row r="143" spans="1:15">
      <c r="A143" s="210"/>
      <c r="B143" s="122" t="s">
        <v>22</v>
      </c>
      <c r="C143" s="116">
        <f>HLOOKUP(C$117,$86:$115,25,FALSE)</f>
        <v>0.72256799999999999</v>
      </c>
      <c r="D143" s="116">
        <f t="shared" ref="D143:O143" si="30">HLOOKUP(D$117,$86:$115,25,FALSE)</f>
        <v>0.72395900000000002</v>
      </c>
      <c r="E143" s="116">
        <f t="shared" si="30"/>
        <v>0.73402900000000004</v>
      </c>
      <c r="F143" s="116">
        <f t="shared" si="30"/>
        <v>0.56980699999999995</v>
      </c>
      <c r="G143" s="116">
        <f t="shared" si="30"/>
        <v>0.40013300000000002</v>
      </c>
      <c r="H143" s="116">
        <f t="shared" si="30"/>
        <v>0.75599700000000003</v>
      </c>
      <c r="I143" s="116">
        <f t="shared" si="30"/>
        <v>0.75323799999999996</v>
      </c>
      <c r="J143" s="116">
        <f t="shared" si="30"/>
        <v>0.822349</v>
      </c>
      <c r="K143" s="116">
        <f t="shared" si="30"/>
        <v>0.86053100000000005</v>
      </c>
      <c r="L143" s="116">
        <f t="shared" si="30"/>
        <v>0.72069799999999995</v>
      </c>
      <c r="M143" s="116">
        <f t="shared" si="30"/>
        <v>0.90984399999999999</v>
      </c>
      <c r="N143" s="116">
        <f t="shared" si="30"/>
        <v>0.61352399999999996</v>
      </c>
      <c r="O143" s="134">
        <f t="shared" si="30"/>
        <v>0.72146399999999999</v>
      </c>
    </row>
    <row r="144" spans="1:15">
      <c r="A144" s="210"/>
      <c r="B144" s="127" t="s">
        <v>1</v>
      </c>
      <c r="C144" s="128">
        <f>HLOOKUP(C$117,$86:$115,26,FALSE)</f>
        <v>638.22197700000004</v>
      </c>
      <c r="D144" s="128">
        <f t="shared" ref="D144:O144" si="31">HLOOKUP(D$117,$86:$115,26,FALSE)</f>
        <v>635.59644100000003</v>
      </c>
      <c r="E144" s="128">
        <f t="shared" si="31"/>
        <v>698.30480899999998</v>
      </c>
      <c r="F144" s="128">
        <f t="shared" si="31"/>
        <v>726.03438600000004</v>
      </c>
      <c r="G144" s="128">
        <f t="shared" si="31"/>
        <v>724.21986700000002</v>
      </c>
      <c r="H144" s="128">
        <f t="shared" si="31"/>
        <v>734.20304999999996</v>
      </c>
      <c r="I144" s="128">
        <f t="shared" si="31"/>
        <v>703.45473200000004</v>
      </c>
      <c r="J144" s="128">
        <f t="shared" si="31"/>
        <v>719.87855100000002</v>
      </c>
      <c r="K144" s="128">
        <f t="shared" si="31"/>
        <v>713.20721600000002</v>
      </c>
      <c r="L144" s="128">
        <f t="shared" si="31"/>
        <v>649.78210300000001</v>
      </c>
      <c r="M144" s="128">
        <f t="shared" si="31"/>
        <v>711.18690000000004</v>
      </c>
      <c r="N144" s="128">
        <f t="shared" si="31"/>
        <v>671.82498399999997</v>
      </c>
      <c r="O144" s="136">
        <f t="shared" si="31"/>
        <v>699.97097299999996</v>
      </c>
    </row>
    <row r="145" spans="1:26">
      <c r="A145" s="210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11"/>
      <c r="B146" s="137" t="s">
        <v>75</v>
      </c>
      <c r="C146" s="141">
        <f>SUM(C136:C138)</f>
        <v>205.95798300000001</v>
      </c>
      <c r="D146" s="141">
        <f t="shared" ref="D146:O146" si="32">SUM(D136:D138)</f>
        <v>182.213075</v>
      </c>
      <c r="E146" s="141">
        <f t="shared" si="32"/>
        <v>222.63896800000001</v>
      </c>
      <c r="F146" s="141">
        <f t="shared" si="32"/>
        <v>266.148821</v>
      </c>
      <c r="G146" s="141">
        <f t="shared" si="32"/>
        <v>313.81515200000001</v>
      </c>
      <c r="H146" s="141">
        <f t="shared" si="32"/>
        <v>299.91658699999999</v>
      </c>
      <c r="I146" s="141">
        <f t="shared" si="32"/>
        <v>280.34116800000004</v>
      </c>
      <c r="J146" s="141">
        <f t="shared" si="32"/>
        <v>286.85584700000004</v>
      </c>
      <c r="K146" s="141">
        <f t="shared" si="32"/>
        <v>282.52258499999999</v>
      </c>
      <c r="L146" s="141">
        <f t="shared" si="32"/>
        <v>254.215059</v>
      </c>
      <c r="M146" s="141">
        <f t="shared" si="32"/>
        <v>285.48886599999997</v>
      </c>
      <c r="N146" s="141">
        <f t="shared" si="32"/>
        <v>258.29193100000003</v>
      </c>
      <c r="O146" s="142">
        <f t="shared" si="32"/>
        <v>244.42552999999998</v>
      </c>
    </row>
    <row r="149" spans="1:26" ht="15">
      <c r="A149" s="174"/>
      <c r="B149" s="174" t="s">
        <v>68</v>
      </c>
      <c r="C149" s="208" t="s">
        <v>57</v>
      </c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90" t="s">
        <v>90</v>
      </c>
      <c r="D150" s="190" t="s">
        <v>91</v>
      </c>
      <c r="E150" s="190" t="s">
        <v>92</v>
      </c>
      <c r="F150" s="190" t="s">
        <v>93</v>
      </c>
      <c r="G150" s="190" t="s">
        <v>94</v>
      </c>
      <c r="H150" s="190" t="s">
        <v>95</v>
      </c>
      <c r="I150" s="190" t="s">
        <v>96</v>
      </c>
      <c r="J150" s="190" t="s">
        <v>97</v>
      </c>
      <c r="K150" s="190" t="s">
        <v>98</v>
      </c>
      <c r="L150" s="190" t="s">
        <v>99</v>
      </c>
      <c r="M150" s="190" t="s">
        <v>100</v>
      </c>
      <c r="N150" s="190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102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122</v>
      </c>
      <c r="B152" s="176" t="s">
        <v>123</v>
      </c>
      <c r="C152" s="183">
        <v>0.23930000000000001</v>
      </c>
      <c r="D152" s="183">
        <v>8.3400000000000002E-3</v>
      </c>
      <c r="E152" s="183">
        <v>2.0559999999999998E-2</v>
      </c>
      <c r="F152" s="183">
        <v>0.2104</v>
      </c>
      <c r="G152" s="183">
        <v>0.10441</v>
      </c>
      <c r="H152" s="183">
        <v>3.2699999999999999E-3</v>
      </c>
      <c r="I152" s="183">
        <v>4.5799999999999999E-3</v>
      </c>
      <c r="J152" s="183">
        <v>9.6560000000000007E-2</v>
      </c>
      <c r="K152" s="183">
        <v>0.14022999999999999</v>
      </c>
      <c r="L152" s="183">
        <v>-3.1E-4</v>
      </c>
      <c r="M152" s="183">
        <v>9.9500000000000005E-3</v>
      </c>
      <c r="N152" s="183">
        <v>0.13059000000000001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74"/>
      <c r="B155" s="174" t="s">
        <v>68</v>
      </c>
      <c r="C155" s="208" t="s">
        <v>58</v>
      </c>
      <c r="D155" s="207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90" t="s">
        <v>90</v>
      </c>
      <c r="D156" s="190" t="s">
        <v>91</v>
      </c>
      <c r="E156" s="190" t="s">
        <v>92</v>
      </c>
      <c r="F156" s="190" t="s">
        <v>93</v>
      </c>
      <c r="G156" s="190" t="s">
        <v>94</v>
      </c>
      <c r="H156" s="190" t="s">
        <v>95</v>
      </c>
      <c r="I156" s="190" t="s">
        <v>96</v>
      </c>
      <c r="J156" s="190" t="s">
        <v>97</v>
      </c>
      <c r="K156" s="190" t="s">
        <v>98</v>
      </c>
      <c r="L156" s="190" t="s">
        <v>99</v>
      </c>
      <c r="M156" s="190" t="s">
        <v>100</v>
      </c>
      <c r="N156" s="190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102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122</v>
      </c>
      <c r="B158" s="176" t="s">
        <v>123</v>
      </c>
      <c r="C158" s="183">
        <v>9.6750000000000003E-2</v>
      </c>
      <c r="D158" s="183">
        <v>1.41E-3</v>
      </c>
      <c r="E158" s="183">
        <v>2.7999999999999998E-4</v>
      </c>
      <c r="F158" s="183">
        <v>9.5060000000000006E-2</v>
      </c>
      <c r="G158" s="183">
        <v>0.10483000000000001</v>
      </c>
      <c r="H158" s="183">
        <v>1.1299999999999999E-3</v>
      </c>
      <c r="I158" s="183">
        <v>-1.9000000000000001E-4</v>
      </c>
      <c r="J158" s="183">
        <v>0.10389</v>
      </c>
      <c r="K158" s="183">
        <v>7.6579999999999995E-2</v>
      </c>
      <c r="L158" s="183">
        <v>-9.1E-4</v>
      </c>
      <c r="M158" s="183">
        <v>-1.42E-3</v>
      </c>
      <c r="N158" s="183">
        <v>7.8909999999999994E-2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4:AG4"/>
    <mergeCell ref="B5:I5"/>
    <mergeCell ref="J5:Q5"/>
    <mergeCell ref="R5:Y5"/>
    <mergeCell ref="Z5:AG5"/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C85:T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C23" sqref="C23"/>
    </sheetView>
  </sheetViews>
  <sheetFormatPr baseColWidth="10" defaultColWidth="11.42578125" defaultRowHeight="12.75"/>
  <cols>
    <col min="1" max="1" width="0.140625" style="75" customWidth="1"/>
    <col min="2" max="2" width="2.5703125" style="75" customWidth="1"/>
    <col min="3" max="3" width="23.5703125" style="75" customWidth="1"/>
    <col min="4" max="4" width="1.42578125" style="75" customWidth="1"/>
    <col min="5" max="5" width="16.425781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Mayo 2022</v>
      </c>
      <c r="L3" s="76"/>
    </row>
    <row r="4" spans="3:12" ht="20.100000000000001" customHeight="1">
      <c r="C4" s="32" t="s">
        <v>46</v>
      </c>
    </row>
    <row r="5" spans="3:12" ht="12.6" customHeight="1"/>
    <row r="7" spans="3:12" ht="12.75" customHeight="1">
      <c r="C7" s="193" t="s">
        <v>47</v>
      </c>
      <c r="E7" s="77"/>
      <c r="F7" s="194" t="str">
        <f>K3</f>
        <v>Mayo 2022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22/21</v>
      </c>
      <c r="H8" s="79" t="s">
        <v>13</v>
      </c>
      <c r="I8" s="80" t="str">
        <f>G8</f>
        <v>% 22/21</v>
      </c>
      <c r="J8" s="79" t="s">
        <v>13</v>
      </c>
      <c r="K8" s="80" t="str">
        <f>G8</f>
        <v>% 22/21</v>
      </c>
    </row>
    <row r="9" spans="3:12">
      <c r="C9" s="81"/>
      <c r="E9" s="82" t="s">
        <v>39</v>
      </c>
      <c r="F9" s="83">
        <f>Dat_01!R24/1000</f>
        <v>471.48461099999997</v>
      </c>
      <c r="G9" s="164">
        <f>Dat_01!T24*100</f>
        <v>23.93047069</v>
      </c>
      <c r="H9" s="83">
        <f>Dat_01!U24/1000</f>
        <v>2211.0272940000004</v>
      </c>
      <c r="I9" s="164">
        <f>Dat_01!W24*100</f>
        <v>10.440862430000001</v>
      </c>
      <c r="J9" s="83">
        <f>Dat_01!X24/1000</f>
        <v>5736.6018869999998</v>
      </c>
      <c r="K9" s="164">
        <f>Dat_01!Y24*100</f>
        <v>14.022677350000002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0.83400000000000007</v>
      </c>
      <c r="H12" s="103"/>
      <c r="I12" s="103">
        <f>Dat_01!H152*100</f>
        <v>0.32700000000000001</v>
      </c>
      <c r="J12" s="103"/>
      <c r="K12" s="103">
        <f>Dat_01!L152*100</f>
        <v>-3.1E-2</v>
      </c>
    </row>
    <row r="13" spans="3:12">
      <c r="E13" s="85" t="s">
        <v>42</v>
      </c>
      <c r="F13" s="84"/>
      <c r="G13" s="103">
        <f>Dat_01!E152*100</f>
        <v>2.056</v>
      </c>
      <c r="H13" s="103"/>
      <c r="I13" s="103">
        <f>Dat_01!I152*100</f>
        <v>0.45799999999999996</v>
      </c>
      <c r="J13" s="103"/>
      <c r="K13" s="103">
        <f>Dat_01!M152*100</f>
        <v>0.99500000000000011</v>
      </c>
    </row>
    <row r="14" spans="3:12">
      <c r="E14" s="86" t="s">
        <v>43</v>
      </c>
      <c r="F14" s="87"/>
      <c r="G14" s="104">
        <f>Dat_01!F152*100</f>
        <v>21.04</v>
      </c>
      <c r="H14" s="104"/>
      <c r="I14" s="104">
        <f>Dat_01!J152*100</f>
        <v>9.6560000000000006</v>
      </c>
      <c r="J14" s="104"/>
      <c r="K14" s="104">
        <f>Dat_01!N152*100</f>
        <v>13.059000000000001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  <row r="22" spans="7:11">
      <c r="G22" s="177"/>
      <c r="H22" s="177"/>
      <c r="I22" s="177"/>
      <c r="J22" s="177"/>
      <c r="K22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C23" sqref="C23"/>
    </sheetView>
  </sheetViews>
  <sheetFormatPr baseColWidth="10" defaultColWidth="11.42578125" defaultRowHeight="12.75"/>
  <cols>
    <col min="1" max="1" width="0.140625" style="75" customWidth="1"/>
    <col min="2" max="2" width="2.5703125" style="75" customWidth="1"/>
    <col min="3" max="3" width="23.5703125" style="75" customWidth="1"/>
    <col min="4" max="4" width="1.42578125" style="75" customWidth="1"/>
    <col min="5" max="5" width="16.425781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Mayo 2022</v>
      </c>
      <c r="L3" s="76"/>
    </row>
    <row r="4" spans="3:12" ht="20.100000000000001" customHeight="1">
      <c r="C4" s="32" t="s">
        <v>46</v>
      </c>
    </row>
    <row r="5" spans="3:12" ht="12.6" customHeight="1"/>
    <row r="7" spans="3:12" ht="12.75" customHeight="1">
      <c r="C7" s="193" t="s">
        <v>48</v>
      </c>
      <c r="E7" s="77"/>
      <c r="F7" s="194" t="str">
        <f>K3</f>
        <v>Mayo 2022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22/21</v>
      </c>
      <c r="H8" s="79" t="s">
        <v>13</v>
      </c>
      <c r="I8" s="107" t="str">
        <f>G8</f>
        <v>% 22/21</v>
      </c>
      <c r="J8" s="79" t="s">
        <v>13</v>
      </c>
      <c r="K8" s="107" t="str">
        <f>G8</f>
        <v>% 22/21</v>
      </c>
    </row>
    <row r="9" spans="3:12">
      <c r="C9" s="81"/>
      <c r="E9" s="82" t="s">
        <v>39</v>
      </c>
      <c r="F9" s="83">
        <f>Dat_01!Z24/1000</f>
        <v>699.97097299999996</v>
      </c>
      <c r="G9" s="164">
        <f>Dat_01!AB24*100</f>
        <v>9.6751597800000013</v>
      </c>
      <c r="H9" s="83">
        <f>Dat_01!AC24/1000</f>
        <v>3445.9721759999998</v>
      </c>
      <c r="I9" s="164">
        <f>Dat_01!AE24*100</f>
        <v>10.48342802</v>
      </c>
      <c r="J9" s="83">
        <f>Dat_01!AF24/1000</f>
        <v>8387.6640119999993</v>
      </c>
      <c r="K9" s="164">
        <f>Dat_01!AG24*100</f>
        <v>7.6576206999999989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0.14100000000000001</v>
      </c>
      <c r="H12" s="103"/>
      <c r="I12" s="103">
        <f>Dat_01!H158*100</f>
        <v>0.11299999999999999</v>
      </c>
      <c r="J12" s="103"/>
      <c r="K12" s="103">
        <f>Dat_01!L158*100</f>
        <v>-9.0999999999999998E-2</v>
      </c>
    </row>
    <row r="13" spans="3:12">
      <c r="E13" s="85" t="s">
        <v>42</v>
      </c>
      <c r="F13" s="84"/>
      <c r="G13" s="103">
        <f>Dat_01!E158*100</f>
        <v>2.7999999999999997E-2</v>
      </c>
      <c r="H13" s="103"/>
      <c r="I13" s="103">
        <f>Dat_01!I158*100</f>
        <v>-1.9E-2</v>
      </c>
      <c r="J13" s="103"/>
      <c r="K13" s="103">
        <f>Dat_01!M158*100</f>
        <v>-0.14200000000000002</v>
      </c>
    </row>
    <row r="14" spans="3:12">
      <c r="E14" s="86" t="s">
        <v>43</v>
      </c>
      <c r="F14" s="87"/>
      <c r="G14" s="104">
        <f>Dat_01!F158*100</f>
        <v>9.5060000000000002</v>
      </c>
      <c r="H14" s="104"/>
      <c r="I14" s="104">
        <f>Dat_01!J158*100</f>
        <v>10.388999999999999</v>
      </c>
      <c r="J14" s="104"/>
      <c r="K14" s="104">
        <f>Dat_01!N158*100</f>
        <v>7.8909999999999991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19" spans="7:11">
      <c r="G19" s="177"/>
      <c r="H19" s="177"/>
      <c r="I19" s="177"/>
      <c r="J19" s="177"/>
      <c r="K19" s="177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129</v>
      </c>
    </row>
    <row r="2" spans="1:2">
      <c r="A2" t="s">
        <v>124</v>
      </c>
    </row>
    <row r="3" spans="1:2">
      <c r="A3" t="s">
        <v>125</v>
      </c>
    </row>
    <row r="4" spans="1:2">
      <c r="A4" t="s">
        <v>127</v>
      </c>
    </row>
    <row r="5" spans="1:2">
      <c r="A5" t="s">
        <v>128</v>
      </c>
    </row>
    <row r="6" spans="1:2">
      <c r="A6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E41" sqref="E41"/>
    </sheetView>
  </sheetViews>
  <sheetFormatPr baseColWidth="10" defaultRowHeight="11.25"/>
  <cols>
    <col min="1" max="1" width="0.140625" style="1" customWidth="1"/>
    <col min="2" max="2" width="2.5703125" style="1" customWidth="1"/>
    <col min="3" max="3" width="23.5703125" style="2" customWidth="1"/>
    <col min="4" max="4" width="1.42578125" style="2" customWidth="1"/>
    <col min="5" max="5" width="29.140625" style="2" customWidth="1"/>
    <col min="6" max="7" width="7.5703125" style="2" customWidth="1"/>
    <col min="8" max="9" width="7.5703125" style="1" customWidth="1"/>
    <col min="10" max="11" width="7.5703125" style="2" customWidth="1"/>
    <col min="12" max="13" width="7.5703125" style="1" customWidth="1"/>
    <col min="14" max="254" width="11.42578125" style="1"/>
    <col min="255" max="255" width="0.140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Mayo 2022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7" t="s">
        <v>18</v>
      </c>
      <c r="E7" s="31"/>
      <c r="F7" s="198" t="s">
        <v>17</v>
      </c>
      <c r="G7" s="199"/>
      <c r="H7" s="198" t="s">
        <v>16</v>
      </c>
      <c r="I7" s="199"/>
      <c r="J7" s="198" t="s">
        <v>15</v>
      </c>
      <c r="K7" s="199"/>
      <c r="L7" s="198" t="s">
        <v>14</v>
      </c>
      <c r="M7" s="199"/>
    </row>
    <row r="8" spans="3:23" s="28" customFormat="1" ht="12.75" customHeight="1">
      <c r="C8" s="197"/>
      <c r="E8" s="30"/>
      <c r="F8" s="29" t="s">
        <v>13</v>
      </c>
      <c r="G8" s="105" t="str">
        <f>CONCATENATE("% ",RIGHT(M3,2),"/",RIGHT(M3,2)-1)</f>
        <v>% 22/21</v>
      </c>
      <c r="H8" s="29" t="s">
        <v>13</v>
      </c>
      <c r="I8" s="105" t="str">
        <f>G8</f>
        <v>% 22/21</v>
      </c>
      <c r="J8" s="29" t="s">
        <v>13</v>
      </c>
      <c r="K8" s="105" t="str">
        <f>I8</f>
        <v>% 22/21</v>
      </c>
      <c r="L8" s="29" t="s">
        <v>13</v>
      </c>
      <c r="M8" s="105" t="str">
        <f>K8</f>
        <v>% 22/21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7">
        <f>Dat_01!Z8/1000</f>
        <v>0.29880499999999999</v>
      </c>
      <c r="I9" s="17">
        <f>IF(Dat_01!AB8*100=-100,"-",Dat_01!AB8*100)</f>
        <v>11.56267268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1.9171739999999999</v>
      </c>
      <c r="I10" s="17">
        <f>Dat_01!AB15*100</f>
        <v>-40.591005419999995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0.16079099999999999</v>
      </c>
      <c r="G11" s="17">
        <f>Dat_01!T16*100</f>
        <v>-15.174040120000001</v>
      </c>
      <c r="H11" s="153">
        <f>Dat_01!Z16/1000</f>
        <v>116.792132</v>
      </c>
      <c r="I11" s="17">
        <f>Dat_01!AB16*100</f>
        <v>-29.075423969999996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26.903580000000002</v>
      </c>
      <c r="G12" s="17">
        <f>Dat_01!T17*100</f>
        <v>21.142921880000003</v>
      </c>
      <c r="H12" s="153">
        <f>Dat_01!Z17/1000</f>
        <v>32.362824000000003</v>
      </c>
      <c r="I12" s="17">
        <f>Dat_01!AB17*100</f>
        <v>19.451557019999999</v>
      </c>
      <c r="J12" s="153" t="s">
        <v>3</v>
      </c>
      <c r="K12" s="17" t="s">
        <v>3</v>
      </c>
      <c r="L12" s="17">
        <f>Dat_01!J17/1000</f>
        <v>7.9570000000000005E-3</v>
      </c>
      <c r="M12" s="17">
        <f>IF(Dat_01!L17*100=-100,"-",Dat_01!L17*100)</f>
        <v>9.1195830999999998</v>
      </c>
      <c r="N12" s="10"/>
      <c r="O12" s="10"/>
      <c r="P12" s="19"/>
    </row>
    <row r="13" spans="3:23" s="2" customFormat="1" ht="12.75" customHeight="1">
      <c r="C13" s="13"/>
      <c r="E13" s="18" t="s">
        <v>83</v>
      </c>
      <c r="F13" s="17">
        <f>Dat_01!R18/1000</f>
        <v>0.166327</v>
      </c>
      <c r="G13" s="17">
        <f>Dat_01!T18*100</f>
        <v>40.305872829999998</v>
      </c>
      <c r="H13" s="153">
        <f>Dat_01!Z18/1000</f>
        <v>0.72146400000000011</v>
      </c>
      <c r="I13" s="17">
        <f>IF(Dat_01!AB18*100=-100,"-",Dat_01!AB18*100)</f>
        <v>-0.15278839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11.846121999999999</v>
      </c>
      <c r="G14" s="17">
        <f>Dat_01!T21*100</f>
        <v>96.659740650000003</v>
      </c>
      <c r="H14" s="153" t="s">
        <v>3</v>
      </c>
      <c r="I14" s="17" t="s">
        <v>3</v>
      </c>
      <c r="J14" s="153" t="s">
        <v>3</v>
      </c>
      <c r="K14" s="17" t="s">
        <v>3</v>
      </c>
      <c r="L14" s="17">
        <f>Dat_01!J21/1000</f>
        <v>0.63735649999999999</v>
      </c>
      <c r="M14" s="17">
        <f>Dat_01!L21*100</f>
        <v>13.40883169</v>
      </c>
      <c r="N14" s="10"/>
      <c r="O14" s="10"/>
    </row>
    <row r="15" spans="3:23" s="2" customFormat="1" ht="12.75" customHeight="1">
      <c r="C15" s="13"/>
      <c r="E15" s="169" t="s">
        <v>80</v>
      </c>
      <c r="F15" s="172">
        <f>SUM(F9:F14)</f>
        <v>39.076819999999998</v>
      </c>
      <c r="G15" s="173">
        <f>((SUM(Dat_01!R8,Dat_01!R15:R18,Dat_01!R20)/SUM(Dat_01!S8,Dat_01!S15:S18,Dat_01!S20))-1)*100</f>
        <v>36.919980367132396</v>
      </c>
      <c r="H15" s="172">
        <f>SUM(H9:H14)</f>
        <v>152.092399</v>
      </c>
      <c r="I15" s="173">
        <f>((SUM(Dat_01!Z8,Dat_01!Z15:Z18,Dat_01!Z20)/SUM(Dat_01!AA8,Dat_01!AA15:AA18,Dat_01!AA20))-1)*100</f>
        <v>-22.394400173563568</v>
      </c>
      <c r="J15" s="172" t="s">
        <v>3</v>
      </c>
      <c r="K15" s="173" t="s">
        <v>3</v>
      </c>
      <c r="L15" s="173">
        <f>SUM(L9:L14)</f>
        <v>0.64531349999999998</v>
      </c>
      <c r="M15" s="173">
        <f>((SUM(Dat_01!J8,Dat_01!J15:J18,Dat_01!J21)/SUM(Dat_01!K8,Dat_01!K15:K18,Dat_01!K20))-1)*100</f>
        <v>13.353891068012658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-1.0302370000000001</v>
      </c>
      <c r="G16" s="17" t="s">
        <v>3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43.134320000000002</v>
      </c>
      <c r="G17" s="24">
        <f>((SUM(Dat_01!R10,Dat_01!R14)/SUM(Dat_01!S10,Dat_01!S14))-1)*100</f>
        <v>102.58319603312972</v>
      </c>
      <c r="H17" s="154">
        <f>Dat_01!Z10/1000</f>
        <v>142.20011300000002</v>
      </c>
      <c r="I17" s="24">
        <f>Dat_01!AB10*100</f>
        <v>12.55522187</v>
      </c>
      <c r="J17" s="154">
        <f>Dat_01!B10/1000</f>
        <v>16.199483000000001</v>
      </c>
      <c r="K17" s="24">
        <f>Dat_01!D10*100</f>
        <v>4.4574580500000005</v>
      </c>
      <c r="L17" s="154">
        <f>Dat_01!J10/1000</f>
        <v>14.310715</v>
      </c>
      <c r="M17" s="24">
        <f>Dat_01!L10*100</f>
        <v>-5.9980680299999998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26.908450000000002</v>
      </c>
      <c r="G18" s="24">
        <f>Dat_01!T11*100</f>
        <v>249.24530893000002</v>
      </c>
      <c r="H18" s="154">
        <f>Dat_01!Z11/1000</f>
        <v>15.375763999999998</v>
      </c>
      <c r="I18" s="24">
        <f>Dat_01!AB11*100</f>
        <v>-10.622272329999999</v>
      </c>
      <c r="J18" s="154">
        <f>Dat_01!B11/1000</f>
        <v>4.2680000000000001E-3</v>
      </c>
      <c r="K18" s="24">
        <f>IF(Dat_01!D11=-100%,"-",Dat_01!D11*100)</f>
        <v>-38.97626537</v>
      </c>
      <c r="L18" s="154">
        <f>Dat_01!J11/1000</f>
        <v>1.9233E-2</v>
      </c>
      <c r="M18" s="24">
        <f>IF(Dat_01!L11*100=-100,"-",Dat_01!L11*100)</f>
        <v>1320.4579025099999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86.849653000000004</v>
      </c>
      <c r="I19" s="24">
        <f>Dat_01!AB12*100</f>
        <v>39.144741070000002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70.042770000000004</v>
      </c>
      <c r="G20" s="17">
        <f>((SUM(Dat_01!R10:R12,Dat_01!R14)/SUM(Dat_01!S10:S12,Dat_01!S14))-1)*100</f>
        <v>141.55267255702188</v>
      </c>
      <c r="H20" s="153">
        <f>SUM(H17:H19)</f>
        <v>244.42553000000004</v>
      </c>
      <c r="I20" s="17">
        <f>(H20/(H17/(I17/100+1)+H18/(I18/100+1)+H19/(I19/100+1))-1)*100</f>
        <v>18.67737605756956</v>
      </c>
      <c r="J20" s="153">
        <f>SUM(J17:J19)</f>
        <v>16.203751</v>
      </c>
      <c r="K20" s="17">
        <f>((SUM(Dat_01!B10:B12)/SUM(Dat_01!C10:C12))-1)*100</f>
        <v>4.4378788420778248</v>
      </c>
      <c r="L20" s="153">
        <f>SUM(L17:L19)</f>
        <v>14.329948</v>
      </c>
      <c r="M20" s="17">
        <f>((SUM(Dat_01!J10:J12)/SUM(Dat_01!K10:K12))-1)*100</f>
        <v>-5.8801043480134148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84</v>
      </c>
      <c r="F21" s="153">
        <f>Dat_01!R13/1000</f>
        <v>317.55595500000004</v>
      </c>
      <c r="G21" s="17">
        <f>Dat_01!T13*100</f>
        <v>55.80787737</v>
      </c>
      <c r="H21" s="153">
        <f>Dat_01!Z13/1000</f>
        <v>303.45304399999998</v>
      </c>
      <c r="I21" s="17">
        <f>Dat_01!AB13*100</f>
        <v>28.427914999999999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1.9461250000000001</v>
      </c>
      <c r="G22" s="17">
        <f>Dat_01!T19*100</f>
        <v>-24.321847139999999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11.846121999999999</v>
      </c>
      <c r="G23" s="17">
        <f>Dat_01!T20*100</f>
        <v>96.659740650000003</v>
      </c>
      <c r="H23" s="153" t="s">
        <v>3</v>
      </c>
      <c r="I23" s="17" t="s">
        <v>3</v>
      </c>
      <c r="J23" s="153" t="s">
        <v>3</v>
      </c>
      <c r="K23" s="17" t="s">
        <v>3</v>
      </c>
      <c r="L23" s="17">
        <f>Dat_01!J20/1000</f>
        <v>0.63735649999999999</v>
      </c>
      <c r="M23" s="17">
        <f>Dat_01!L20*100</f>
        <v>13.40883169</v>
      </c>
      <c r="N23" s="10"/>
      <c r="O23" s="10"/>
    </row>
    <row r="24" spans="3:23" s="2" customFormat="1" ht="12.75" customHeight="1">
      <c r="C24" s="13"/>
      <c r="E24" s="169" t="s">
        <v>81</v>
      </c>
      <c r="F24" s="155">
        <f>SUM(F16,F20:F23)</f>
        <v>400.36073500000003</v>
      </c>
      <c r="G24" s="173">
        <f>((SUM(Dat_01!R9:R14,Dat_01!R19,Dat_01!R21)/SUM(Dat_01!S9:S14,Dat_01!S19,Dat_01!S21))-1)*100</f>
        <v>66.607853680720524</v>
      </c>
      <c r="H24" s="155">
        <f>SUM(H16,H20:H23)</f>
        <v>547.87857400000007</v>
      </c>
      <c r="I24" s="173">
        <f>((SUM(Dat_01!Z9:Z14,Dat_01!Z19,Dat_01!Z21)/SUM(Dat_01!AA9:AA14,Dat_01!AA19,Dat_01!AA21))-1)*100</f>
        <v>23.886946558250301</v>
      </c>
      <c r="J24" s="155">
        <f>SUM(J16,J20:J23)</f>
        <v>16.203751</v>
      </c>
      <c r="K24" s="173">
        <f>((SUM(Dat_01!B9:B14,Dat_01!B19,Dat_01!B21)/SUM(Dat_01!C9:C14,Dat_01!C19,Dat_01!C21))-1)*100</f>
        <v>4.4378788420778248</v>
      </c>
      <c r="L24" s="155">
        <f>SUM(L16,L20:L23)</f>
        <v>14.967304499999999</v>
      </c>
      <c r="M24" s="173">
        <f>((SUM(Dat_01!J9:J14,Dat_01!J19,Dat_01!J21)/SUM(Dat_01!K9:K14,Dat_01!K19,Dat_01!K21))-1)*100</f>
        <v>-5.1934493787849085</v>
      </c>
      <c r="N24" s="10"/>
      <c r="O24" s="10"/>
    </row>
    <row r="25" spans="3:23" s="2" customFormat="1" ht="12.75" customHeight="1">
      <c r="C25" s="16"/>
      <c r="E25" s="15" t="s">
        <v>87</v>
      </c>
      <c r="F25" s="156">
        <f>Dat_01!R23/1000</f>
        <v>32.047055999999998</v>
      </c>
      <c r="G25" s="14">
        <f>Dat_01!T23*100</f>
        <v>-71.284440770000003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350000000000001" customHeight="1">
      <c r="C26" s="13"/>
      <c r="E26" s="12" t="s">
        <v>1</v>
      </c>
      <c r="F26" s="157">
        <f>Dat_01!R24/1000</f>
        <v>471.48461099999997</v>
      </c>
      <c r="G26" s="11">
        <f>Dat_01!T24*100</f>
        <v>23.93047069</v>
      </c>
      <c r="H26" s="157">
        <f>Dat_01!Z24/1000</f>
        <v>699.97097299999996</v>
      </c>
      <c r="I26" s="11">
        <f>Dat_01!AB24*100</f>
        <v>9.6751597800000013</v>
      </c>
      <c r="J26" s="157">
        <f>Dat_01!B24/1000</f>
        <v>16.203751</v>
      </c>
      <c r="K26" s="11">
        <f>Dat_01!D24*100</f>
        <v>4.4378788399999998</v>
      </c>
      <c r="L26" s="157">
        <f>Dat_01!J24/1000</f>
        <v>15.612618000000001</v>
      </c>
      <c r="M26" s="11">
        <f>Dat_01!L24*100</f>
        <v>-4.5479056099999999</v>
      </c>
      <c r="N26" s="10"/>
      <c r="O26" s="10"/>
    </row>
    <row r="27" spans="3:23" s="2" customFormat="1" ht="16.350000000000001" customHeight="1">
      <c r="C27" s="13"/>
      <c r="E27" s="202" t="s">
        <v>56</v>
      </c>
      <c r="F27" s="202"/>
      <c r="G27" s="202"/>
      <c r="H27" s="202"/>
      <c r="I27" s="202"/>
      <c r="J27" s="202"/>
      <c r="K27" s="202"/>
      <c r="L27" s="170"/>
      <c r="M27" s="171"/>
      <c r="N27" s="10"/>
      <c r="O27" s="10"/>
    </row>
    <row r="28" spans="3:23" s="2" customFormat="1" ht="34.5" customHeight="1">
      <c r="C28" s="13"/>
      <c r="E28" s="203" t="s">
        <v>105</v>
      </c>
      <c r="F28" s="203"/>
      <c r="G28" s="203"/>
      <c r="H28" s="203"/>
      <c r="I28" s="203"/>
      <c r="J28" s="203"/>
      <c r="K28" s="203"/>
      <c r="L28" s="203"/>
      <c r="M28" s="203"/>
      <c r="N28" s="10"/>
      <c r="O28" s="10"/>
    </row>
    <row r="29" spans="3:23" s="2" customFormat="1" ht="12.75" customHeight="1">
      <c r="C29" s="8"/>
      <c r="D29" s="8"/>
      <c r="E29" s="201" t="s">
        <v>0</v>
      </c>
      <c r="F29" s="201"/>
      <c r="G29" s="201"/>
      <c r="H29" s="201"/>
      <c r="I29" s="201"/>
      <c r="J29" s="201"/>
      <c r="K29" s="201"/>
      <c r="L29" s="201"/>
      <c r="M29" s="201"/>
      <c r="O29" s="9"/>
    </row>
    <row r="30" spans="3:23" s="7" customFormat="1" ht="12.75" customHeight="1">
      <c r="E30" s="200" t="s">
        <v>82</v>
      </c>
      <c r="F30" s="200"/>
      <c r="G30" s="200"/>
      <c r="H30" s="200"/>
      <c r="I30" s="200"/>
      <c r="J30" s="200"/>
      <c r="K30" s="200"/>
      <c r="L30" s="200"/>
      <c r="M30" s="200"/>
    </row>
    <row r="31" spans="3:23" s="2" customFormat="1" ht="12.75" customHeight="1">
      <c r="C31" s="8"/>
      <c r="D31" s="8"/>
      <c r="E31" s="200" t="s">
        <v>85</v>
      </c>
      <c r="F31" s="200"/>
      <c r="G31" s="200"/>
      <c r="H31" s="200"/>
      <c r="I31" s="200"/>
      <c r="J31" s="200"/>
      <c r="K31" s="200"/>
      <c r="L31" s="200"/>
      <c r="M31" s="200"/>
    </row>
    <row r="32" spans="3:23" ht="12.75" customHeight="1">
      <c r="C32" s="1"/>
      <c r="D32" s="1"/>
      <c r="E32" s="200" t="s">
        <v>86</v>
      </c>
      <c r="F32" s="200"/>
      <c r="G32" s="200"/>
      <c r="H32" s="200"/>
      <c r="I32" s="200"/>
      <c r="J32" s="200"/>
      <c r="K32" s="200"/>
      <c r="L32" s="200"/>
      <c r="M32" s="200"/>
    </row>
    <row r="33" spans="3:13" ht="12.75" customHeight="1">
      <c r="C33" s="1"/>
      <c r="D33" s="1"/>
      <c r="E33" s="200"/>
      <c r="F33" s="200"/>
      <c r="G33" s="200"/>
      <c r="H33" s="200"/>
      <c r="I33" s="200"/>
      <c r="J33" s="200"/>
      <c r="K33" s="200"/>
      <c r="L33" s="200"/>
      <c r="M33" s="200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C19" sqref="C19"/>
    </sheetView>
  </sheetViews>
  <sheetFormatPr baseColWidth="10" defaultRowHeight="12.75"/>
  <cols>
    <col min="1" max="1" width="0.140625" style="36" customWidth="1"/>
    <col min="2" max="2" width="2.5703125" style="36" customWidth="1"/>
    <col min="3" max="3" width="23.5703125" style="36" customWidth="1"/>
    <col min="4" max="4" width="1.425781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5703125" style="35" customWidth="1"/>
    <col min="256" max="256" width="18.5703125" style="35" customWidth="1"/>
    <col min="257" max="257" width="1.425781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5703125" style="35" customWidth="1"/>
    <col min="512" max="512" width="18.5703125" style="35" customWidth="1"/>
    <col min="513" max="513" width="1.425781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5703125" style="35" customWidth="1"/>
    <col min="768" max="768" width="18.5703125" style="35" customWidth="1"/>
    <col min="769" max="769" width="1.425781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5703125" style="35" customWidth="1"/>
    <col min="1024" max="1024" width="18.5703125" style="35" customWidth="1"/>
    <col min="1025" max="1025" width="1.425781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5703125" style="35" customWidth="1"/>
    <col min="1280" max="1280" width="18.5703125" style="35" customWidth="1"/>
    <col min="1281" max="1281" width="1.425781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5703125" style="35" customWidth="1"/>
    <col min="1536" max="1536" width="18.5703125" style="35" customWidth="1"/>
    <col min="1537" max="1537" width="1.425781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5703125" style="35" customWidth="1"/>
    <col min="1792" max="1792" width="18.5703125" style="35" customWidth="1"/>
    <col min="1793" max="1793" width="1.425781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5703125" style="35" customWidth="1"/>
    <col min="2048" max="2048" width="18.5703125" style="35" customWidth="1"/>
    <col min="2049" max="2049" width="1.425781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5703125" style="35" customWidth="1"/>
    <col min="2304" max="2304" width="18.5703125" style="35" customWidth="1"/>
    <col min="2305" max="2305" width="1.425781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5703125" style="35" customWidth="1"/>
    <col min="2560" max="2560" width="18.5703125" style="35" customWidth="1"/>
    <col min="2561" max="2561" width="1.425781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5703125" style="35" customWidth="1"/>
    <col min="2816" max="2816" width="18.5703125" style="35" customWidth="1"/>
    <col min="2817" max="2817" width="1.425781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5703125" style="35" customWidth="1"/>
    <col min="3072" max="3072" width="18.5703125" style="35" customWidth="1"/>
    <col min="3073" max="3073" width="1.425781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5703125" style="35" customWidth="1"/>
    <col min="3328" max="3328" width="18.5703125" style="35" customWidth="1"/>
    <col min="3329" max="3329" width="1.425781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5703125" style="35" customWidth="1"/>
    <col min="3584" max="3584" width="18.5703125" style="35" customWidth="1"/>
    <col min="3585" max="3585" width="1.425781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5703125" style="35" customWidth="1"/>
    <col min="3840" max="3840" width="18.5703125" style="35" customWidth="1"/>
    <col min="3841" max="3841" width="1.425781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5703125" style="35" customWidth="1"/>
    <col min="4096" max="4096" width="18.5703125" style="35" customWidth="1"/>
    <col min="4097" max="4097" width="1.425781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5703125" style="35" customWidth="1"/>
    <col min="4352" max="4352" width="18.5703125" style="35" customWidth="1"/>
    <col min="4353" max="4353" width="1.425781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5703125" style="35" customWidth="1"/>
    <col min="4608" max="4608" width="18.5703125" style="35" customWidth="1"/>
    <col min="4609" max="4609" width="1.425781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5703125" style="35" customWidth="1"/>
    <col min="4864" max="4864" width="18.5703125" style="35" customWidth="1"/>
    <col min="4865" max="4865" width="1.425781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5703125" style="35" customWidth="1"/>
    <col min="5120" max="5120" width="18.5703125" style="35" customWidth="1"/>
    <col min="5121" max="5121" width="1.425781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5703125" style="35" customWidth="1"/>
    <col min="5376" max="5376" width="18.5703125" style="35" customWidth="1"/>
    <col min="5377" max="5377" width="1.425781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5703125" style="35" customWidth="1"/>
    <col min="5632" max="5632" width="18.5703125" style="35" customWidth="1"/>
    <col min="5633" max="5633" width="1.425781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5703125" style="35" customWidth="1"/>
    <col min="5888" max="5888" width="18.5703125" style="35" customWidth="1"/>
    <col min="5889" max="5889" width="1.425781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5703125" style="35" customWidth="1"/>
    <col min="6144" max="6144" width="18.5703125" style="35" customWidth="1"/>
    <col min="6145" max="6145" width="1.425781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5703125" style="35" customWidth="1"/>
    <col min="6400" max="6400" width="18.5703125" style="35" customWidth="1"/>
    <col min="6401" max="6401" width="1.425781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5703125" style="35" customWidth="1"/>
    <col min="6656" max="6656" width="18.5703125" style="35" customWidth="1"/>
    <col min="6657" max="6657" width="1.425781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5703125" style="35" customWidth="1"/>
    <col min="6912" max="6912" width="18.5703125" style="35" customWidth="1"/>
    <col min="6913" max="6913" width="1.425781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5703125" style="35" customWidth="1"/>
    <col min="7168" max="7168" width="18.5703125" style="35" customWidth="1"/>
    <col min="7169" max="7169" width="1.425781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5703125" style="35" customWidth="1"/>
    <col min="7424" max="7424" width="18.5703125" style="35" customWidth="1"/>
    <col min="7425" max="7425" width="1.425781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5703125" style="35" customWidth="1"/>
    <col min="7680" max="7680" width="18.5703125" style="35" customWidth="1"/>
    <col min="7681" max="7681" width="1.425781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5703125" style="35" customWidth="1"/>
    <col min="7936" max="7936" width="18.5703125" style="35" customWidth="1"/>
    <col min="7937" max="7937" width="1.425781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5703125" style="35" customWidth="1"/>
    <col min="8192" max="8192" width="18.5703125" style="35" customWidth="1"/>
    <col min="8193" max="8193" width="1.425781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5703125" style="35" customWidth="1"/>
    <col min="8448" max="8448" width="18.5703125" style="35" customWidth="1"/>
    <col min="8449" max="8449" width="1.425781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5703125" style="35" customWidth="1"/>
    <col min="8704" max="8704" width="18.5703125" style="35" customWidth="1"/>
    <col min="8705" max="8705" width="1.425781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5703125" style="35" customWidth="1"/>
    <col min="8960" max="8960" width="18.5703125" style="35" customWidth="1"/>
    <col min="8961" max="8961" width="1.425781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5703125" style="35" customWidth="1"/>
    <col min="9216" max="9216" width="18.5703125" style="35" customWidth="1"/>
    <col min="9217" max="9217" width="1.425781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5703125" style="35" customWidth="1"/>
    <col min="9472" max="9472" width="18.5703125" style="35" customWidth="1"/>
    <col min="9473" max="9473" width="1.425781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5703125" style="35" customWidth="1"/>
    <col min="9728" max="9728" width="18.5703125" style="35" customWidth="1"/>
    <col min="9729" max="9729" width="1.425781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5703125" style="35" customWidth="1"/>
    <col min="9984" max="9984" width="18.5703125" style="35" customWidth="1"/>
    <col min="9985" max="9985" width="1.425781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5703125" style="35" customWidth="1"/>
    <col min="10240" max="10240" width="18.5703125" style="35" customWidth="1"/>
    <col min="10241" max="10241" width="1.425781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5703125" style="35" customWidth="1"/>
    <col min="10496" max="10496" width="18.5703125" style="35" customWidth="1"/>
    <col min="10497" max="10497" width="1.425781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5703125" style="35" customWidth="1"/>
    <col min="10752" max="10752" width="18.5703125" style="35" customWidth="1"/>
    <col min="10753" max="10753" width="1.425781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5703125" style="35" customWidth="1"/>
    <col min="11008" max="11008" width="18.5703125" style="35" customWidth="1"/>
    <col min="11009" max="11009" width="1.425781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5703125" style="35" customWidth="1"/>
    <col min="11264" max="11264" width="18.5703125" style="35" customWidth="1"/>
    <col min="11265" max="11265" width="1.425781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5703125" style="35" customWidth="1"/>
    <col min="11520" max="11520" width="18.5703125" style="35" customWidth="1"/>
    <col min="11521" max="11521" width="1.425781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5703125" style="35" customWidth="1"/>
    <col min="11776" max="11776" width="18.5703125" style="35" customWidth="1"/>
    <col min="11777" max="11777" width="1.425781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5703125" style="35" customWidth="1"/>
    <col min="12032" max="12032" width="18.5703125" style="35" customWidth="1"/>
    <col min="12033" max="12033" width="1.425781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5703125" style="35" customWidth="1"/>
    <col min="12288" max="12288" width="18.5703125" style="35" customWidth="1"/>
    <col min="12289" max="12289" width="1.425781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5703125" style="35" customWidth="1"/>
    <col min="12544" max="12544" width="18.5703125" style="35" customWidth="1"/>
    <col min="12545" max="12545" width="1.425781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5703125" style="35" customWidth="1"/>
    <col min="12800" max="12800" width="18.5703125" style="35" customWidth="1"/>
    <col min="12801" max="12801" width="1.425781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5703125" style="35" customWidth="1"/>
    <col min="13056" max="13056" width="18.5703125" style="35" customWidth="1"/>
    <col min="13057" max="13057" width="1.425781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5703125" style="35" customWidth="1"/>
    <col min="13312" max="13312" width="18.5703125" style="35" customWidth="1"/>
    <col min="13313" max="13313" width="1.425781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5703125" style="35" customWidth="1"/>
    <col min="13568" max="13568" width="18.5703125" style="35" customWidth="1"/>
    <col min="13569" max="13569" width="1.425781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5703125" style="35" customWidth="1"/>
    <col min="13824" max="13824" width="18.5703125" style="35" customWidth="1"/>
    <col min="13825" max="13825" width="1.425781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5703125" style="35" customWidth="1"/>
    <col min="14080" max="14080" width="18.5703125" style="35" customWidth="1"/>
    <col min="14081" max="14081" width="1.425781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5703125" style="35" customWidth="1"/>
    <col min="14336" max="14336" width="18.5703125" style="35" customWidth="1"/>
    <col min="14337" max="14337" width="1.425781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5703125" style="35" customWidth="1"/>
    <col min="14592" max="14592" width="18.5703125" style="35" customWidth="1"/>
    <col min="14593" max="14593" width="1.425781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5703125" style="35" customWidth="1"/>
    <col min="14848" max="14848" width="18.5703125" style="35" customWidth="1"/>
    <col min="14849" max="14849" width="1.425781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5703125" style="35" customWidth="1"/>
    <col min="15104" max="15104" width="18.5703125" style="35" customWidth="1"/>
    <col min="15105" max="15105" width="1.425781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5703125" style="35" customWidth="1"/>
    <col min="15360" max="15360" width="18.5703125" style="35" customWidth="1"/>
    <col min="15361" max="15361" width="1.425781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5703125" style="35" customWidth="1"/>
    <col min="15616" max="15616" width="18.5703125" style="35" customWidth="1"/>
    <col min="15617" max="15617" width="1.425781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5703125" style="35" customWidth="1"/>
    <col min="15872" max="15872" width="18.5703125" style="35" customWidth="1"/>
    <col min="15873" max="15873" width="1.425781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5703125" style="35" customWidth="1"/>
    <col min="16128" max="16128" width="18.5703125" style="35" customWidth="1"/>
    <col min="16129" max="16129" width="1.425781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Mayo 2022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31</v>
      </c>
      <c r="D7" s="44"/>
      <c r="E7" s="48"/>
    </row>
    <row r="8" spans="2:12" s="38" customFormat="1" ht="12.75" customHeight="1">
      <c r="B8" s="46"/>
      <c r="C8" s="204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1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4" t="s">
        <v>28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C16" sqref="C16"/>
    </sheetView>
  </sheetViews>
  <sheetFormatPr baseColWidth="10" defaultRowHeight="15"/>
  <cols>
    <col min="1" max="1" width="0.140625" style="56" customWidth="1"/>
    <col min="2" max="2" width="2.5703125" style="56" customWidth="1"/>
    <col min="3" max="3" width="23.5703125" style="56" customWidth="1"/>
    <col min="4" max="4" width="1.42578125" style="56" customWidth="1"/>
    <col min="5" max="5" width="105.5703125" style="56" customWidth="1"/>
    <col min="6" max="6" width="10.570312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5703125" style="55" customWidth="1"/>
    <col min="247" max="247" width="18.5703125" style="55" customWidth="1"/>
    <col min="248" max="248" width="1.42578125" style="55" customWidth="1"/>
    <col min="249" max="249" width="30.5703125" style="55" customWidth="1"/>
    <col min="250" max="254" width="10.5703125" style="55" customWidth="1"/>
    <col min="255" max="500" width="11.42578125" style="55"/>
    <col min="501" max="501" width="0.140625" style="55" customWidth="1"/>
    <col min="502" max="502" width="2.5703125" style="55" customWidth="1"/>
    <col min="503" max="503" width="18.5703125" style="55" customWidth="1"/>
    <col min="504" max="504" width="1.42578125" style="55" customWidth="1"/>
    <col min="505" max="505" width="30.5703125" style="55" customWidth="1"/>
    <col min="506" max="510" width="10.5703125" style="55" customWidth="1"/>
    <col min="511" max="756" width="11.42578125" style="55"/>
    <col min="757" max="757" width="0.140625" style="55" customWidth="1"/>
    <col min="758" max="758" width="2.5703125" style="55" customWidth="1"/>
    <col min="759" max="759" width="18.5703125" style="55" customWidth="1"/>
    <col min="760" max="760" width="1.42578125" style="55" customWidth="1"/>
    <col min="761" max="761" width="30.5703125" style="55" customWidth="1"/>
    <col min="762" max="766" width="10.5703125" style="55" customWidth="1"/>
    <col min="767" max="1012" width="11.42578125" style="55"/>
    <col min="1013" max="1013" width="0.140625" style="55" customWidth="1"/>
    <col min="1014" max="1014" width="2.5703125" style="55" customWidth="1"/>
    <col min="1015" max="1015" width="18.5703125" style="55" customWidth="1"/>
    <col min="1016" max="1016" width="1.42578125" style="55" customWidth="1"/>
    <col min="1017" max="1017" width="30.5703125" style="55" customWidth="1"/>
    <col min="1018" max="1022" width="10.5703125" style="55" customWidth="1"/>
    <col min="1023" max="1268" width="11.42578125" style="55"/>
    <col min="1269" max="1269" width="0.140625" style="55" customWidth="1"/>
    <col min="1270" max="1270" width="2.5703125" style="55" customWidth="1"/>
    <col min="1271" max="1271" width="18.5703125" style="55" customWidth="1"/>
    <col min="1272" max="1272" width="1.42578125" style="55" customWidth="1"/>
    <col min="1273" max="1273" width="30.5703125" style="55" customWidth="1"/>
    <col min="1274" max="1278" width="10.5703125" style="55" customWidth="1"/>
    <col min="1279" max="1524" width="11.42578125" style="55"/>
    <col min="1525" max="1525" width="0.140625" style="55" customWidth="1"/>
    <col min="1526" max="1526" width="2.5703125" style="55" customWidth="1"/>
    <col min="1527" max="1527" width="18.5703125" style="55" customWidth="1"/>
    <col min="1528" max="1528" width="1.42578125" style="55" customWidth="1"/>
    <col min="1529" max="1529" width="30.5703125" style="55" customWidth="1"/>
    <col min="1530" max="1534" width="10.5703125" style="55" customWidth="1"/>
    <col min="1535" max="1780" width="11.42578125" style="55"/>
    <col min="1781" max="1781" width="0.140625" style="55" customWidth="1"/>
    <col min="1782" max="1782" width="2.5703125" style="55" customWidth="1"/>
    <col min="1783" max="1783" width="18.5703125" style="55" customWidth="1"/>
    <col min="1784" max="1784" width="1.42578125" style="55" customWidth="1"/>
    <col min="1785" max="1785" width="30.5703125" style="55" customWidth="1"/>
    <col min="1786" max="1790" width="10.5703125" style="55" customWidth="1"/>
    <col min="1791" max="2036" width="11.42578125" style="55"/>
    <col min="2037" max="2037" width="0.140625" style="55" customWidth="1"/>
    <col min="2038" max="2038" width="2.5703125" style="55" customWidth="1"/>
    <col min="2039" max="2039" width="18.5703125" style="55" customWidth="1"/>
    <col min="2040" max="2040" width="1.42578125" style="55" customWidth="1"/>
    <col min="2041" max="2041" width="30.5703125" style="55" customWidth="1"/>
    <col min="2042" max="2046" width="10.5703125" style="55" customWidth="1"/>
    <col min="2047" max="2292" width="11.42578125" style="55"/>
    <col min="2293" max="2293" width="0.140625" style="55" customWidth="1"/>
    <col min="2294" max="2294" width="2.5703125" style="55" customWidth="1"/>
    <col min="2295" max="2295" width="18.5703125" style="55" customWidth="1"/>
    <col min="2296" max="2296" width="1.42578125" style="55" customWidth="1"/>
    <col min="2297" max="2297" width="30.5703125" style="55" customWidth="1"/>
    <col min="2298" max="2302" width="10.5703125" style="55" customWidth="1"/>
    <col min="2303" max="2548" width="11.42578125" style="55"/>
    <col min="2549" max="2549" width="0.140625" style="55" customWidth="1"/>
    <col min="2550" max="2550" width="2.5703125" style="55" customWidth="1"/>
    <col min="2551" max="2551" width="18.5703125" style="55" customWidth="1"/>
    <col min="2552" max="2552" width="1.42578125" style="55" customWidth="1"/>
    <col min="2553" max="2553" width="30.5703125" style="55" customWidth="1"/>
    <col min="2554" max="2558" width="10.5703125" style="55" customWidth="1"/>
    <col min="2559" max="2804" width="11.42578125" style="55"/>
    <col min="2805" max="2805" width="0.140625" style="55" customWidth="1"/>
    <col min="2806" max="2806" width="2.5703125" style="55" customWidth="1"/>
    <col min="2807" max="2807" width="18.5703125" style="55" customWidth="1"/>
    <col min="2808" max="2808" width="1.42578125" style="55" customWidth="1"/>
    <col min="2809" max="2809" width="30.5703125" style="55" customWidth="1"/>
    <col min="2810" max="2814" width="10.5703125" style="55" customWidth="1"/>
    <col min="2815" max="3060" width="11.42578125" style="55"/>
    <col min="3061" max="3061" width="0.140625" style="55" customWidth="1"/>
    <col min="3062" max="3062" width="2.5703125" style="55" customWidth="1"/>
    <col min="3063" max="3063" width="18.5703125" style="55" customWidth="1"/>
    <col min="3064" max="3064" width="1.42578125" style="55" customWidth="1"/>
    <col min="3065" max="3065" width="30.5703125" style="55" customWidth="1"/>
    <col min="3066" max="3070" width="10.5703125" style="55" customWidth="1"/>
    <col min="3071" max="3316" width="11.42578125" style="55"/>
    <col min="3317" max="3317" width="0.140625" style="55" customWidth="1"/>
    <col min="3318" max="3318" width="2.5703125" style="55" customWidth="1"/>
    <col min="3319" max="3319" width="18.5703125" style="55" customWidth="1"/>
    <col min="3320" max="3320" width="1.42578125" style="55" customWidth="1"/>
    <col min="3321" max="3321" width="30.5703125" style="55" customWidth="1"/>
    <col min="3322" max="3326" width="10.5703125" style="55" customWidth="1"/>
    <col min="3327" max="3572" width="11.42578125" style="55"/>
    <col min="3573" max="3573" width="0.140625" style="55" customWidth="1"/>
    <col min="3574" max="3574" width="2.5703125" style="55" customWidth="1"/>
    <col min="3575" max="3575" width="18.5703125" style="55" customWidth="1"/>
    <col min="3576" max="3576" width="1.42578125" style="55" customWidth="1"/>
    <col min="3577" max="3577" width="30.5703125" style="55" customWidth="1"/>
    <col min="3578" max="3582" width="10.5703125" style="55" customWidth="1"/>
    <col min="3583" max="3828" width="11.42578125" style="55"/>
    <col min="3829" max="3829" width="0.140625" style="55" customWidth="1"/>
    <col min="3830" max="3830" width="2.5703125" style="55" customWidth="1"/>
    <col min="3831" max="3831" width="18.5703125" style="55" customWidth="1"/>
    <col min="3832" max="3832" width="1.42578125" style="55" customWidth="1"/>
    <col min="3833" max="3833" width="30.5703125" style="55" customWidth="1"/>
    <col min="3834" max="3838" width="10.5703125" style="55" customWidth="1"/>
    <col min="3839" max="4084" width="11.42578125" style="55"/>
    <col min="4085" max="4085" width="0.140625" style="55" customWidth="1"/>
    <col min="4086" max="4086" width="2.5703125" style="55" customWidth="1"/>
    <col min="4087" max="4087" width="18.5703125" style="55" customWidth="1"/>
    <col min="4088" max="4088" width="1.42578125" style="55" customWidth="1"/>
    <col min="4089" max="4089" width="30.5703125" style="55" customWidth="1"/>
    <col min="4090" max="4094" width="10.5703125" style="55" customWidth="1"/>
    <col min="4095" max="4340" width="11.42578125" style="55"/>
    <col min="4341" max="4341" width="0.140625" style="55" customWidth="1"/>
    <col min="4342" max="4342" width="2.5703125" style="55" customWidth="1"/>
    <col min="4343" max="4343" width="18.5703125" style="55" customWidth="1"/>
    <col min="4344" max="4344" width="1.42578125" style="55" customWidth="1"/>
    <col min="4345" max="4345" width="30.5703125" style="55" customWidth="1"/>
    <col min="4346" max="4350" width="10.5703125" style="55" customWidth="1"/>
    <col min="4351" max="4596" width="11.42578125" style="55"/>
    <col min="4597" max="4597" width="0.140625" style="55" customWidth="1"/>
    <col min="4598" max="4598" width="2.5703125" style="55" customWidth="1"/>
    <col min="4599" max="4599" width="18.5703125" style="55" customWidth="1"/>
    <col min="4600" max="4600" width="1.42578125" style="55" customWidth="1"/>
    <col min="4601" max="4601" width="30.5703125" style="55" customWidth="1"/>
    <col min="4602" max="4606" width="10.5703125" style="55" customWidth="1"/>
    <col min="4607" max="4852" width="11.42578125" style="55"/>
    <col min="4853" max="4853" width="0.140625" style="55" customWidth="1"/>
    <col min="4854" max="4854" width="2.5703125" style="55" customWidth="1"/>
    <col min="4855" max="4855" width="18.5703125" style="55" customWidth="1"/>
    <col min="4856" max="4856" width="1.42578125" style="55" customWidth="1"/>
    <col min="4857" max="4857" width="30.5703125" style="55" customWidth="1"/>
    <col min="4858" max="4862" width="10.5703125" style="55" customWidth="1"/>
    <col min="4863" max="5108" width="11.42578125" style="55"/>
    <col min="5109" max="5109" width="0.140625" style="55" customWidth="1"/>
    <col min="5110" max="5110" width="2.5703125" style="55" customWidth="1"/>
    <col min="5111" max="5111" width="18.5703125" style="55" customWidth="1"/>
    <col min="5112" max="5112" width="1.42578125" style="55" customWidth="1"/>
    <col min="5113" max="5113" width="30.5703125" style="55" customWidth="1"/>
    <col min="5114" max="5118" width="10.5703125" style="55" customWidth="1"/>
    <col min="5119" max="5364" width="11.42578125" style="55"/>
    <col min="5365" max="5365" width="0.140625" style="55" customWidth="1"/>
    <col min="5366" max="5366" width="2.5703125" style="55" customWidth="1"/>
    <col min="5367" max="5367" width="18.5703125" style="55" customWidth="1"/>
    <col min="5368" max="5368" width="1.42578125" style="55" customWidth="1"/>
    <col min="5369" max="5369" width="30.5703125" style="55" customWidth="1"/>
    <col min="5370" max="5374" width="10.5703125" style="55" customWidth="1"/>
    <col min="5375" max="5620" width="11.42578125" style="55"/>
    <col min="5621" max="5621" width="0.140625" style="55" customWidth="1"/>
    <col min="5622" max="5622" width="2.5703125" style="55" customWidth="1"/>
    <col min="5623" max="5623" width="18.5703125" style="55" customWidth="1"/>
    <col min="5624" max="5624" width="1.42578125" style="55" customWidth="1"/>
    <col min="5625" max="5625" width="30.5703125" style="55" customWidth="1"/>
    <col min="5626" max="5630" width="10.5703125" style="55" customWidth="1"/>
    <col min="5631" max="5876" width="11.42578125" style="55"/>
    <col min="5877" max="5877" width="0.140625" style="55" customWidth="1"/>
    <col min="5878" max="5878" width="2.5703125" style="55" customWidth="1"/>
    <col min="5879" max="5879" width="18.5703125" style="55" customWidth="1"/>
    <col min="5880" max="5880" width="1.42578125" style="55" customWidth="1"/>
    <col min="5881" max="5881" width="30.5703125" style="55" customWidth="1"/>
    <col min="5882" max="5886" width="10.5703125" style="55" customWidth="1"/>
    <col min="5887" max="6132" width="11.42578125" style="55"/>
    <col min="6133" max="6133" width="0.140625" style="55" customWidth="1"/>
    <col min="6134" max="6134" width="2.5703125" style="55" customWidth="1"/>
    <col min="6135" max="6135" width="18.5703125" style="55" customWidth="1"/>
    <col min="6136" max="6136" width="1.42578125" style="55" customWidth="1"/>
    <col min="6137" max="6137" width="30.5703125" style="55" customWidth="1"/>
    <col min="6138" max="6142" width="10.5703125" style="55" customWidth="1"/>
    <col min="6143" max="6388" width="11.42578125" style="55"/>
    <col min="6389" max="6389" width="0.140625" style="55" customWidth="1"/>
    <col min="6390" max="6390" width="2.5703125" style="55" customWidth="1"/>
    <col min="6391" max="6391" width="18.5703125" style="55" customWidth="1"/>
    <col min="6392" max="6392" width="1.42578125" style="55" customWidth="1"/>
    <col min="6393" max="6393" width="30.5703125" style="55" customWidth="1"/>
    <col min="6394" max="6398" width="10.5703125" style="55" customWidth="1"/>
    <col min="6399" max="6644" width="11.42578125" style="55"/>
    <col min="6645" max="6645" width="0.140625" style="55" customWidth="1"/>
    <col min="6646" max="6646" width="2.5703125" style="55" customWidth="1"/>
    <col min="6647" max="6647" width="18.5703125" style="55" customWidth="1"/>
    <col min="6648" max="6648" width="1.42578125" style="55" customWidth="1"/>
    <col min="6649" max="6649" width="30.5703125" style="55" customWidth="1"/>
    <col min="6650" max="6654" width="10.5703125" style="55" customWidth="1"/>
    <col min="6655" max="6900" width="11.42578125" style="55"/>
    <col min="6901" max="6901" width="0.140625" style="55" customWidth="1"/>
    <col min="6902" max="6902" width="2.5703125" style="55" customWidth="1"/>
    <col min="6903" max="6903" width="18.5703125" style="55" customWidth="1"/>
    <col min="6904" max="6904" width="1.42578125" style="55" customWidth="1"/>
    <col min="6905" max="6905" width="30.5703125" style="55" customWidth="1"/>
    <col min="6906" max="6910" width="10.5703125" style="55" customWidth="1"/>
    <col min="6911" max="7156" width="11.42578125" style="55"/>
    <col min="7157" max="7157" width="0.140625" style="55" customWidth="1"/>
    <col min="7158" max="7158" width="2.5703125" style="55" customWidth="1"/>
    <col min="7159" max="7159" width="18.5703125" style="55" customWidth="1"/>
    <col min="7160" max="7160" width="1.42578125" style="55" customWidth="1"/>
    <col min="7161" max="7161" width="30.5703125" style="55" customWidth="1"/>
    <col min="7162" max="7166" width="10.5703125" style="55" customWidth="1"/>
    <col min="7167" max="7412" width="11.42578125" style="55"/>
    <col min="7413" max="7413" width="0.140625" style="55" customWidth="1"/>
    <col min="7414" max="7414" width="2.5703125" style="55" customWidth="1"/>
    <col min="7415" max="7415" width="18.5703125" style="55" customWidth="1"/>
    <col min="7416" max="7416" width="1.42578125" style="55" customWidth="1"/>
    <col min="7417" max="7417" width="30.5703125" style="55" customWidth="1"/>
    <col min="7418" max="7422" width="10.5703125" style="55" customWidth="1"/>
    <col min="7423" max="7668" width="11.42578125" style="55"/>
    <col min="7669" max="7669" width="0.140625" style="55" customWidth="1"/>
    <col min="7670" max="7670" width="2.5703125" style="55" customWidth="1"/>
    <col min="7671" max="7671" width="18.5703125" style="55" customWidth="1"/>
    <col min="7672" max="7672" width="1.42578125" style="55" customWidth="1"/>
    <col min="7673" max="7673" width="30.5703125" style="55" customWidth="1"/>
    <col min="7674" max="7678" width="10.5703125" style="55" customWidth="1"/>
    <col min="7679" max="7924" width="11.42578125" style="55"/>
    <col min="7925" max="7925" width="0.140625" style="55" customWidth="1"/>
    <col min="7926" max="7926" width="2.5703125" style="55" customWidth="1"/>
    <col min="7927" max="7927" width="18.5703125" style="55" customWidth="1"/>
    <col min="7928" max="7928" width="1.42578125" style="55" customWidth="1"/>
    <col min="7929" max="7929" width="30.5703125" style="55" customWidth="1"/>
    <col min="7930" max="7934" width="10.5703125" style="55" customWidth="1"/>
    <col min="7935" max="8180" width="11.42578125" style="55"/>
    <col min="8181" max="8181" width="0.140625" style="55" customWidth="1"/>
    <col min="8182" max="8182" width="2.5703125" style="55" customWidth="1"/>
    <col min="8183" max="8183" width="18.5703125" style="55" customWidth="1"/>
    <col min="8184" max="8184" width="1.42578125" style="55" customWidth="1"/>
    <col min="8185" max="8185" width="30.5703125" style="55" customWidth="1"/>
    <col min="8186" max="8190" width="10.5703125" style="55" customWidth="1"/>
    <col min="8191" max="8436" width="11.42578125" style="55"/>
    <col min="8437" max="8437" width="0.140625" style="55" customWidth="1"/>
    <col min="8438" max="8438" width="2.5703125" style="55" customWidth="1"/>
    <col min="8439" max="8439" width="18.5703125" style="55" customWidth="1"/>
    <col min="8440" max="8440" width="1.42578125" style="55" customWidth="1"/>
    <col min="8441" max="8441" width="30.5703125" style="55" customWidth="1"/>
    <col min="8442" max="8446" width="10.5703125" style="55" customWidth="1"/>
    <col min="8447" max="8692" width="11.42578125" style="55"/>
    <col min="8693" max="8693" width="0.140625" style="55" customWidth="1"/>
    <col min="8694" max="8694" width="2.5703125" style="55" customWidth="1"/>
    <col min="8695" max="8695" width="18.5703125" style="55" customWidth="1"/>
    <col min="8696" max="8696" width="1.42578125" style="55" customWidth="1"/>
    <col min="8697" max="8697" width="30.5703125" style="55" customWidth="1"/>
    <col min="8698" max="8702" width="10.5703125" style="55" customWidth="1"/>
    <col min="8703" max="8948" width="11.42578125" style="55"/>
    <col min="8949" max="8949" width="0.140625" style="55" customWidth="1"/>
    <col min="8950" max="8950" width="2.5703125" style="55" customWidth="1"/>
    <col min="8951" max="8951" width="18.5703125" style="55" customWidth="1"/>
    <col min="8952" max="8952" width="1.42578125" style="55" customWidth="1"/>
    <col min="8953" max="8953" width="30.5703125" style="55" customWidth="1"/>
    <col min="8954" max="8958" width="10.5703125" style="55" customWidth="1"/>
    <col min="8959" max="9204" width="11.42578125" style="55"/>
    <col min="9205" max="9205" width="0.140625" style="55" customWidth="1"/>
    <col min="9206" max="9206" width="2.5703125" style="55" customWidth="1"/>
    <col min="9207" max="9207" width="18.5703125" style="55" customWidth="1"/>
    <col min="9208" max="9208" width="1.42578125" style="55" customWidth="1"/>
    <col min="9209" max="9209" width="30.5703125" style="55" customWidth="1"/>
    <col min="9210" max="9214" width="10.5703125" style="55" customWidth="1"/>
    <col min="9215" max="9460" width="11.42578125" style="55"/>
    <col min="9461" max="9461" width="0.140625" style="55" customWidth="1"/>
    <col min="9462" max="9462" width="2.5703125" style="55" customWidth="1"/>
    <col min="9463" max="9463" width="18.5703125" style="55" customWidth="1"/>
    <col min="9464" max="9464" width="1.42578125" style="55" customWidth="1"/>
    <col min="9465" max="9465" width="30.5703125" style="55" customWidth="1"/>
    <col min="9466" max="9470" width="10.5703125" style="55" customWidth="1"/>
    <col min="9471" max="9716" width="11.42578125" style="55"/>
    <col min="9717" max="9717" width="0.140625" style="55" customWidth="1"/>
    <col min="9718" max="9718" width="2.5703125" style="55" customWidth="1"/>
    <col min="9719" max="9719" width="18.5703125" style="55" customWidth="1"/>
    <col min="9720" max="9720" width="1.42578125" style="55" customWidth="1"/>
    <col min="9721" max="9721" width="30.5703125" style="55" customWidth="1"/>
    <col min="9722" max="9726" width="10.5703125" style="55" customWidth="1"/>
    <col min="9727" max="9972" width="11.42578125" style="55"/>
    <col min="9973" max="9973" width="0.140625" style="55" customWidth="1"/>
    <col min="9974" max="9974" width="2.5703125" style="55" customWidth="1"/>
    <col min="9975" max="9975" width="18.5703125" style="55" customWidth="1"/>
    <col min="9976" max="9976" width="1.42578125" style="55" customWidth="1"/>
    <col min="9977" max="9977" width="30.5703125" style="55" customWidth="1"/>
    <col min="9978" max="9982" width="10.5703125" style="55" customWidth="1"/>
    <col min="9983" max="10228" width="11.42578125" style="55"/>
    <col min="10229" max="10229" width="0.140625" style="55" customWidth="1"/>
    <col min="10230" max="10230" width="2.5703125" style="55" customWidth="1"/>
    <col min="10231" max="10231" width="18.5703125" style="55" customWidth="1"/>
    <col min="10232" max="10232" width="1.42578125" style="55" customWidth="1"/>
    <col min="10233" max="10233" width="30.5703125" style="55" customWidth="1"/>
    <col min="10234" max="10238" width="10.5703125" style="55" customWidth="1"/>
    <col min="10239" max="10484" width="11.42578125" style="55"/>
    <col min="10485" max="10485" width="0.140625" style="55" customWidth="1"/>
    <col min="10486" max="10486" width="2.5703125" style="55" customWidth="1"/>
    <col min="10487" max="10487" width="18.5703125" style="55" customWidth="1"/>
    <col min="10488" max="10488" width="1.42578125" style="55" customWidth="1"/>
    <col min="10489" max="10489" width="30.5703125" style="55" customWidth="1"/>
    <col min="10490" max="10494" width="10.5703125" style="55" customWidth="1"/>
    <col min="10495" max="10740" width="11.42578125" style="55"/>
    <col min="10741" max="10741" width="0.140625" style="55" customWidth="1"/>
    <col min="10742" max="10742" width="2.5703125" style="55" customWidth="1"/>
    <col min="10743" max="10743" width="18.5703125" style="55" customWidth="1"/>
    <col min="10744" max="10744" width="1.42578125" style="55" customWidth="1"/>
    <col min="10745" max="10745" width="30.5703125" style="55" customWidth="1"/>
    <col min="10746" max="10750" width="10.5703125" style="55" customWidth="1"/>
    <col min="10751" max="10996" width="11.42578125" style="55"/>
    <col min="10997" max="10997" width="0.140625" style="55" customWidth="1"/>
    <col min="10998" max="10998" width="2.5703125" style="55" customWidth="1"/>
    <col min="10999" max="10999" width="18.5703125" style="55" customWidth="1"/>
    <col min="11000" max="11000" width="1.42578125" style="55" customWidth="1"/>
    <col min="11001" max="11001" width="30.5703125" style="55" customWidth="1"/>
    <col min="11002" max="11006" width="10.5703125" style="55" customWidth="1"/>
    <col min="11007" max="11252" width="11.42578125" style="55"/>
    <col min="11253" max="11253" width="0.140625" style="55" customWidth="1"/>
    <col min="11254" max="11254" width="2.5703125" style="55" customWidth="1"/>
    <col min="11255" max="11255" width="18.5703125" style="55" customWidth="1"/>
    <col min="11256" max="11256" width="1.42578125" style="55" customWidth="1"/>
    <col min="11257" max="11257" width="30.5703125" style="55" customWidth="1"/>
    <col min="11258" max="11262" width="10.5703125" style="55" customWidth="1"/>
    <col min="11263" max="11508" width="11.42578125" style="55"/>
    <col min="11509" max="11509" width="0.140625" style="55" customWidth="1"/>
    <col min="11510" max="11510" width="2.5703125" style="55" customWidth="1"/>
    <col min="11511" max="11511" width="18.5703125" style="55" customWidth="1"/>
    <col min="11512" max="11512" width="1.42578125" style="55" customWidth="1"/>
    <col min="11513" max="11513" width="30.5703125" style="55" customWidth="1"/>
    <col min="11514" max="11518" width="10.5703125" style="55" customWidth="1"/>
    <col min="11519" max="11764" width="11.42578125" style="55"/>
    <col min="11765" max="11765" width="0.140625" style="55" customWidth="1"/>
    <col min="11766" max="11766" width="2.5703125" style="55" customWidth="1"/>
    <col min="11767" max="11767" width="18.5703125" style="55" customWidth="1"/>
    <col min="11768" max="11768" width="1.42578125" style="55" customWidth="1"/>
    <col min="11769" max="11769" width="30.5703125" style="55" customWidth="1"/>
    <col min="11770" max="11774" width="10.5703125" style="55" customWidth="1"/>
    <col min="11775" max="12020" width="11.42578125" style="55"/>
    <col min="12021" max="12021" width="0.140625" style="55" customWidth="1"/>
    <col min="12022" max="12022" width="2.5703125" style="55" customWidth="1"/>
    <col min="12023" max="12023" width="18.5703125" style="55" customWidth="1"/>
    <col min="12024" max="12024" width="1.42578125" style="55" customWidth="1"/>
    <col min="12025" max="12025" width="30.5703125" style="55" customWidth="1"/>
    <col min="12026" max="12030" width="10.5703125" style="55" customWidth="1"/>
    <col min="12031" max="12276" width="11.42578125" style="55"/>
    <col min="12277" max="12277" width="0.140625" style="55" customWidth="1"/>
    <col min="12278" max="12278" width="2.5703125" style="55" customWidth="1"/>
    <col min="12279" max="12279" width="18.5703125" style="55" customWidth="1"/>
    <col min="12280" max="12280" width="1.42578125" style="55" customWidth="1"/>
    <col min="12281" max="12281" width="30.5703125" style="55" customWidth="1"/>
    <col min="12282" max="12286" width="10.5703125" style="55" customWidth="1"/>
    <col min="12287" max="12532" width="11.42578125" style="55"/>
    <col min="12533" max="12533" width="0.140625" style="55" customWidth="1"/>
    <col min="12534" max="12534" width="2.5703125" style="55" customWidth="1"/>
    <col min="12535" max="12535" width="18.5703125" style="55" customWidth="1"/>
    <col min="12536" max="12536" width="1.42578125" style="55" customWidth="1"/>
    <col min="12537" max="12537" width="30.5703125" style="55" customWidth="1"/>
    <col min="12538" max="12542" width="10.5703125" style="55" customWidth="1"/>
    <col min="12543" max="12788" width="11.42578125" style="55"/>
    <col min="12789" max="12789" width="0.140625" style="55" customWidth="1"/>
    <col min="12790" max="12790" width="2.5703125" style="55" customWidth="1"/>
    <col min="12791" max="12791" width="18.5703125" style="55" customWidth="1"/>
    <col min="12792" max="12792" width="1.42578125" style="55" customWidth="1"/>
    <col min="12793" max="12793" width="30.5703125" style="55" customWidth="1"/>
    <col min="12794" max="12798" width="10.5703125" style="55" customWidth="1"/>
    <col min="12799" max="13044" width="11.42578125" style="55"/>
    <col min="13045" max="13045" width="0.140625" style="55" customWidth="1"/>
    <col min="13046" max="13046" width="2.5703125" style="55" customWidth="1"/>
    <col min="13047" max="13047" width="18.5703125" style="55" customWidth="1"/>
    <col min="13048" max="13048" width="1.42578125" style="55" customWidth="1"/>
    <col min="13049" max="13049" width="30.5703125" style="55" customWidth="1"/>
    <col min="13050" max="13054" width="10.5703125" style="55" customWidth="1"/>
    <col min="13055" max="13300" width="11.42578125" style="55"/>
    <col min="13301" max="13301" width="0.140625" style="55" customWidth="1"/>
    <col min="13302" max="13302" width="2.5703125" style="55" customWidth="1"/>
    <col min="13303" max="13303" width="18.5703125" style="55" customWidth="1"/>
    <col min="13304" max="13304" width="1.42578125" style="55" customWidth="1"/>
    <col min="13305" max="13305" width="30.5703125" style="55" customWidth="1"/>
    <col min="13306" max="13310" width="10.5703125" style="55" customWidth="1"/>
    <col min="13311" max="13556" width="11.42578125" style="55"/>
    <col min="13557" max="13557" width="0.140625" style="55" customWidth="1"/>
    <col min="13558" max="13558" width="2.5703125" style="55" customWidth="1"/>
    <col min="13559" max="13559" width="18.5703125" style="55" customWidth="1"/>
    <col min="13560" max="13560" width="1.42578125" style="55" customWidth="1"/>
    <col min="13561" max="13561" width="30.5703125" style="55" customWidth="1"/>
    <col min="13562" max="13566" width="10.5703125" style="55" customWidth="1"/>
    <col min="13567" max="13812" width="11.42578125" style="55"/>
    <col min="13813" max="13813" width="0.140625" style="55" customWidth="1"/>
    <col min="13814" max="13814" width="2.5703125" style="55" customWidth="1"/>
    <col min="13815" max="13815" width="18.5703125" style="55" customWidth="1"/>
    <col min="13816" max="13816" width="1.42578125" style="55" customWidth="1"/>
    <col min="13817" max="13817" width="30.5703125" style="55" customWidth="1"/>
    <col min="13818" max="13822" width="10.5703125" style="55" customWidth="1"/>
    <col min="13823" max="14068" width="11.42578125" style="55"/>
    <col min="14069" max="14069" width="0.140625" style="55" customWidth="1"/>
    <col min="14070" max="14070" width="2.5703125" style="55" customWidth="1"/>
    <col min="14071" max="14071" width="18.5703125" style="55" customWidth="1"/>
    <col min="14072" max="14072" width="1.42578125" style="55" customWidth="1"/>
    <col min="14073" max="14073" width="30.5703125" style="55" customWidth="1"/>
    <col min="14074" max="14078" width="10.5703125" style="55" customWidth="1"/>
    <col min="14079" max="14324" width="11.42578125" style="55"/>
    <col min="14325" max="14325" width="0.140625" style="55" customWidth="1"/>
    <col min="14326" max="14326" width="2.5703125" style="55" customWidth="1"/>
    <col min="14327" max="14327" width="18.5703125" style="55" customWidth="1"/>
    <col min="14328" max="14328" width="1.42578125" style="55" customWidth="1"/>
    <col min="14329" max="14329" width="30.5703125" style="55" customWidth="1"/>
    <col min="14330" max="14334" width="10.5703125" style="55" customWidth="1"/>
    <col min="14335" max="14580" width="11.42578125" style="55"/>
    <col min="14581" max="14581" width="0.140625" style="55" customWidth="1"/>
    <col min="14582" max="14582" width="2.5703125" style="55" customWidth="1"/>
    <col min="14583" max="14583" width="18.5703125" style="55" customWidth="1"/>
    <col min="14584" max="14584" width="1.42578125" style="55" customWidth="1"/>
    <col min="14585" max="14585" width="30.5703125" style="55" customWidth="1"/>
    <col min="14586" max="14590" width="10.5703125" style="55" customWidth="1"/>
    <col min="14591" max="14836" width="11.42578125" style="55"/>
    <col min="14837" max="14837" width="0.140625" style="55" customWidth="1"/>
    <col min="14838" max="14838" width="2.5703125" style="55" customWidth="1"/>
    <col min="14839" max="14839" width="18.5703125" style="55" customWidth="1"/>
    <col min="14840" max="14840" width="1.42578125" style="55" customWidth="1"/>
    <col min="14841" max="14841" width="30.5703125" style="55" customWidth="1"/>
    <col min="14842" max="14846" width="10.5703125" style="55" customWidth="1"/>
    <col min="14847" max="15092" width="11.42578125" style="55"/>
    <col min="15093" max="15093" width="0.140625" style="55" customWidth="1"/>
    <col min="15094" max="15094" width="2.5703125" style="55" customWidth="1"/>
    <col min="15095" max="15095" width="18.5703125" style="55" customWidth="1"/>
    <col min="15096" max="15096" width="1.42578125" style="55" customWidth="1"/>
    <col min="15097" max="15097" width="30.5703125" style="55" customWidth="1"/>
    <col min="15098" max="15102" width="10.5703125" style="55" customWidth="1"/>
    <col min="15103" max="15348" width="11.42578125" style="55"/>
    <col min="15349" max="15349" width="0.140625" style="55" customWidth="1"/>
    <col min="15350" max="15350" width="2.5703125" style="55" customWidth="1"/>
    <col min="15351" max="15351" width="18.5703125" style="55" customWidth="1"/>
    <col min="15352" max="15352" width="1.42578125" style="55" customWidth="1"/>
    <col min="15353" max="15353" width="30.5703125" style="55" customWidth="1"/>
    <col min="15354" max="15358" width="10.5703125" style="55" customWidth="1"/>
    <col min="15359" max="15604" width="11.42578125" style="55"/>
    <col min="15605" max="15605" width="0.140625" style="55" customWidth="1"/>
    <col min="15606" max="15606" width="2.5703125" style="55" customWidth="1"/>
    <col min="15607" max="15607" width="18.5703125" style="55" customWidth="1"/>
    <col min="15608" max="15608" width="1.42578125" style="55" customWidth="1"/>
    <col min="15609" max="15609" width="30.5703125" style="55" customWidth="1"/>
    <col min="15610" max="15614" width="10.5703125" style="55" customWidth="1"/>
    <col min="15615" max="15860" width="11.42578125" style="55"/>
    <col min="15861" max="15861" width="0.140625" style="55" customWidth="1"/>
    <col min="15862" max="15862" width="2.5703125" style="55" customWidth="1"/>
    <col min="15863" max="15863" width="18.5703125" style="55" customWidth="1"/>
    <col min="15864" max="15864" width="1.42578125" style="55" customWidth="1"/>
    <col min="15865" max="15865" width="30.5703125" style="55" customWidth="1"/>
    <col min="15866" max="15870" width="10.5703125" style="55" customWidth="1"/>
    <col min="15871" max="16116" width="11.42578125" style="55"/>
    <col min="16117" max="16117" width="0.140625" style="55" customWidth="1"/>
    <col min="16118" max="16118" width="2.5703125" style="55" customWidth="1"/>
    <col min="16119" max="16119" width="18.5703125" style="55" customWidth="1"/>
    <col min="16120" max="16120" width="1.42578125" style="55" customWidth="1"/>
    <col min="16121" max="16121" width="30.5703125" style="55" customWidth="1"/>
    <col min="16122" max="16126" width="10.570312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Mayo 2022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32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88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105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H11" sqref="H11"/>
    </sheetView>
  </sheetViews>
  <sheetFormatPr baseColWidth="10" defaultRowHeight="12.75"/>
  <cols>
    <col min="1" max="1" width="0.140625" style="36" customWidth="1"/>
    <col min="2" max="2" width="2.5703125" style="36" customWidth="1"/>
    <col min="3" max="3" width="23.5703125" style="36" customWidth="1"/>
    <col min="4" max="4" width="1.425781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5703125" style="35" customWidth="1"/>
    <col min="256" max="256" width="18.5703125" style="35" customWidth="1"/>
    <col min="257" max="257" width="1.425781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5703125" style="35" customWidth="1"/>
    <col min="512" max="512" width="18.5703125" style="35" customWidth="1"/>
    <col min="513" max="513" width="1.425781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5703125" style="35" customWidth="1"/>
    <col min="768" max="768" width="18.5703125" style="35" customWidth="1"/>
    <col min="769" max="769" width="1.425781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5703125" style="35" customWidth="1"/>
    <col min="1024" max="1024" width="18.5703125" style="35" customWidth="1"/>
    <col min="1025" max="1025" width="1.425781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5703125" style="35" customWidth="1"/>
    <col min="1280" max="1280" width="18.5703125" style="35" customWidth="1"/>
    <col min="1281" max="1281" width="1.425781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5703125" style="35" customWidth="1"/>
    <col min="1536" max="1536" width="18.5703125" style="35" customWidth="1"/>
    <col min="1537" max="1537" width="1.425781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5703125" style="35" customWidth="1"/>
    <col min="1792" max="1792" width="18.5703125" style="35" customWidth="1"/>
    <col min="1793" max="1793" width="1.425781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5703125" style="35" customWidth="1"/>
    <col min="2048" max="2048" width="18.5703125" style="35" customWidth="1"/>
    <col min="2049" max="2049" width="1.425781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5703125" style="35" customWidth="1"/>
    <col min="2304" max="2304" width="18.5703125" style="35" customWidth="1"/>
    <col min="2305" max="2305" width="1.425781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5703125" style="35" customWidth="1"/>
    <col min="2560" max="2560" width="18.5703125" style="35" customWidth="1"/>
    <col min="2561" max="2561" width="1.425781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5703125" style="35" customWidth="1"/>
    <col min="2816" max="2816" width="18.5703125" style="35" customWidth="1"/>
    <col min="2817" max="2817" width="1.425781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5703125" style="35" customWidth="1"/>
    <col min="3072" max="3072" width="18.5703125" style="35" customWidth="1"/>
    <col min="3073" max="3073" width="1.425781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5703125" style="35" customWidth="1"/>
    <col min="3328" max="3328" width="18.5703125" style="35" customWidth="1"/>
    <col min="3329" max="3329" width="1.425781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5703125" style="35" customWidth="1"/>
    <col min="3584" max="3584" width="18.5703125" style="35" customWidth="1"/>
    <col min="3585" max="3585" width="1.425781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5703125" style="35" customWidth="1"/>
    <col min="3840" max="3840" width="18.5703125" style="35" customWidth="1"/>
    <col min="3841" max="3841" width="1.425781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5703125" style="35" customWidth="1"/>
    <col min="4096" max="4096" width="18.5703125" style="35" customWidth="1"/>
    <col min="4097" max="4097" width="1.425781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5703125" style="35" customWidth="1"/>
    <col min="4352" max="4352" width="18.5703125" style="35" customWidth="1"/>
    <col min="4353" max="4353" width="1.425781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5703125" style="35" customWidth="1"/>
    <col min="4608" max="4608" width="18.5703125" style="35" customWidth="1"/>
    <col min="4609" max="4609" width="1.425781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5703125" style="35" customWidth="1"/>
    <col min="4864" max="4864" width="18.5703125" style="35" customWidth="1"/>
    <col min="4865" max="4865" width="1.425781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5703125" style="35" customWidth="1"/>
    <col min="5120" max="5120" width="18.5703125" style="35" customWidth="1"/>
    <col min="5121" max="5121" width="1.425781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5703125" style="35" customWidth="1"/>
    <col min="5376" max="5376" width="18.5703125" style="35" customWidth="1"/>
    <col min="5377" max="5377" width="1.425781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5703125" style="35" customWidth="1"/>
    <col min="5632" max="5632" width="18.5703125" style="35" customWidth="1"/>
    <col min="5633" max="5633" width="1.425781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5703125" style="35" customWidth="1"/>
    <col min="5888" max="5888" width="18.5703125" style="35" customWidth="1"/>
    <col min="5889" max="5889" width="1.425781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5703125" style="35" customWidth="1"/>
    <col min="6144" max="6144" width="18.5703125" style="35" customWidth="1"/>
    <col min="6145" max="6145" width="1.425781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5703125" style="35" customWidth="1"/>
    <col min="6400" max="6400" width="18.5703125" style="35" customWidth="1"/>
    <col min="6401" max="6401" width="1.425781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5703125" style="35" customWidth="1"/>
    <col min="6656" max="6656" width="18.5703125" style="35" customWidth="1"/>
    <col min="6657" max="6657" width="1.425781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5703125" style="35" customWidth="1"/>
    <col min="6912" max="6912" width="18.5703125" style="35" customWidth="1"/>
    <col min="6913" max="6913" width="1.425781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5703125" style="35" customWidth="1"/>
    <col min="7168" max="7168" width="18.5703125" style="35" customWidth="1"/>
    <col min="7169" max="7169" width="1.425781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5703125" style="35" customWidth="1"/>
    <col min="7424" max="7424" width="18.5703125" style="35" customWidth="1"/>
    <col min="7425" max="7425" width="1.425781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5703125" style="35" customWidth="1"/>
    <col min="7680" max="7680" width="18.5703125" style="35" customWidth="1"/>
    <col min="7681" max="7681" width="1.425781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5703125" style="35" customWidth="1"/>
    <col min="7936" max="7936" width="18.5703125" style="35" customWidth="1"/>
    <col min="7937" max="7937" width="1.425781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5703125" style="35" customWidth="1"/>
    <col min="8192" max="8192" width="18.5703125" style="35" customWidth="1"/>
    <col min="8193" max="8193" width="1.425781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5703125" style="35" customWidth="1"/>
    <col min="8448" max="8448" width="18.5703125" style="35" customWidth="1"/>
    <col min="8449" max="8449" width="1.425781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5703125" style="35" customWidth="1"/>
    <col min="8704" max="8704" width="18.5703125" style="35" customWidth="1"/>
    <col min="8705" max="8705" width="1.425781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5703125" style="35" customWidth="1"/>
    <col min="8960" max="8960" width="18.5703125" style="35" customWidth="1"/>
    <col min="8961" max="8961" width="1.425781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5703125" style="35" customWidth="1"/>
    <col min="9216" max="9216" width="18.5703125" style="35" customWidth="1"/>
    <col min="9217" max="9217" width="1.425781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5703125" style="35" customWidth="1"/>
    <col min="9472" max="9472" width="18.5703125" style="35" customWidth="1"/>
    <col min="9473" max="9473" width="1.425781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5703125" style="35" customWidth="1"/>
    <col min="9728" max="9728" width="18.5703125" style="35" customWidth="1"/>
    <col min="9729" max="9729" width="1.425781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5703125" style="35" customWidth="1"/>
    <col min="9984" max="9984" width="18.5703125" style="35" customWidth="1"/>
    <col min="9985" max="9985" width="1.425781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5703125" style="35" customWidth="1"/>
    <col min="10240" max="10240" width="18.5703125" style="35" customWidth="1"/>
    <col min="10241" max="10241" width="1.425781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5703125" style="35" customWidth="1"/>
    <col min="10496" max="10496" width="18.5703125" style="35" customWidth="1"/>
    <col min="10497" max="10497" width="1.425781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5703125" style="35" customWidth="1"/>
    <col min="10752" max="10752" width="18.5703125" style="35" customWidth="1"/>
    <col min="10753" max="10753" width="1.425781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5703125" style="35" customWidth="1"/>
    <col min="11008" max="11008" width="18.5703125" style="35" customWidth="1"/>
    <col min="11009" max="11009" width="1.425781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5703125" style="35" customWidth="1"/>
    <col min="11264" max="11264" width="18.5703125" style="35" customWidth="1"/>
    <col min="11265" max="11265" width="1.425781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5703125" style="35" customWidth="1"/>
    <col min="11520" max="11520" width="18.5703125" style="35" customWidth="1"/>
    <col min="11521" max="11521" width="1.425781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5703125" style="35" customWidth="1"/>
    <col min="11776" max="11776" width="18.5703125" style="35" customWidth="1"/>
    <col min="11777" max="11777" width="1.425781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5703125" style="35" customWidth="1"/>
    <col min="12032" max="12032" width="18.5703125" style="35" customWidth="1"/>
    <col min="12033" max="12033" width="1.425781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5703125" style="35" customWidth="1"/>
    <col min="12288" max="12288" width="18.5703125" style="35" customWidth="1"/>
    <col min="12289" max="12289" width="1.425781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5703125" style="35" customWidth="1"/>
    <col min="12544" max="12544" width="18.5703125" style="35" customWidth="1"/>
    <col min="12545" max="12545" width="1.425781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5703125" style="35" customWidth="1"/>
    <col min="12800" max="12800" width="18.5703125" style="35" customWidth="1"/>
    <col min="12801" max="12801" width="1.425781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5703125" style="35" customWidth="1"/>
    <col min="13056" max="13056" width="18.5703125" style="35" customWidth="1"/>
    <col min="13057" max="13057" width="1.425781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5703125" style="35" customWidth="1"/>
    <col min="13312" max="13312" width="18.5703125" style="35" customWidth="1"/>
    <col min="13313" max="13313" width="1.425781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5703125" style="35" customWidth="1"/>
    <col min="13568" max="13568" width="18.5703125" style="35" customWidth="1"/>
    <col min="13569" max="13569" width="1.425781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5703125" style="35" customWidth="1"/>
    <col min="13824" max="13824" width="18.5703125" style="35" customWidth="1"/>
    <col min="13825" max="13825" width="1.425781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5703125" style="35" customWidth="1"/>
    <col min="14080" max="14080" width="18.5703125" style="35" customWidth="1"/>
    <col min="14081" max="14081" width="1.425781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5703125" style="35" customWidth="1"/>
    <col min="14336" max="14336" width="18.5703125" style="35" customWidth="1"/>
    <col min="14337" max="14337" width="1.425781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5703125" style="35" customWidth="1"/>
    <col min="14592" max="14592" width="18.5703125" style="35" customWidth="1"/>
    <col min="14593" max="14593" width="1.425781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5703125" style="35" customWidth="1"/>
    <col min="14848" max="14848" width="18.5703125" style="35" customWidth="1"/>
    <col min="14849" max="14849" width="1.425781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5703125" style="35" customWidth="1"/>
    <col min="15104" max="15104" width="18.5703125" style="35" customWidth="1"/>
    <col min="15105" max="15105" width="1.425781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5703125" style="35" customWidth="1"/>
    <col min="15360" max="15360" width="18.5703125" style="35" customWidth="1"/>
    <col min="15361" max="15361" width="1.425781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5703125" style="35" customWidth="1"/>
    <col min="15616" max="15616" width="18.5703125" style="35" customWidth="1"/>
    <col min="15617" max="15617" width="1.425781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5703125" style="35" customWidth="1"/>
    <col min="15872" max="15872" width="18.5703125" style="35" customWidth="1"/>
    <col min="15873" max="15873" width="1.425781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5703125" style="35" customWidth="1"/>
    <col min="16128" max="16128" width="18.5703125" style="35" customWidth="1"/>
    <col min="16129" max="16129" width="1.425781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Mayo 2022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35</v>
      </c>
      <c r="D7" s="44"/>
      <c r="E7" s="48"/>
    </row>
    <row r="8" spans="2:12" s="38" customFormat="1" ht="12.75" customHeight="1">
      <c r="B8" s="46"/>
      <c r="C8" s="204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4" t="s">
        <v>49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C23" sqref="C23"/>
    </sheetView>
  </sheetViews>
  <sheetFormatPr baseColWidth="10" defaultRowHeight="15"/>
  <cols>
    <col min="1" max="1" width="0.140625" style="56" customWidth="1"/>
    <col min="2" max="2" width="2.5703125" style="56" customWidth="1"/>
    <col min="3" max="3" width="23.5703125" style="56" customWidth="1"/>
    <col min="4" max="4" width="1.42578125" style="56" customWidth="1"/>
    <col min="5" max="5" width="105.5703125" style="56" customWidth="1"/>
    <col min="6" max="6" width="10.570312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5703125" style="55" customWidth="1"/>
    <col min="247" max="247" width="18.5703125" style="55" customWidth="1"/>
    <col min="248" max="248" width="1.42578125" style="55" customWidth="1"/>
    <col min="249" max="249" width="30.5703125" style="55" customWidth="1"/>
    <col min="250" max="254" width="10.5703125" style="55" customWidth="1"/>
    <col min="255" max="500" width="11.42578125" style="55"/>
    <col min="501" max="501" width="0.140625" style="55" customWidth="1"/>
    <col min="502" max="502" width="2.5703125" style="55" customWidth="1"/>
    <col min="503" max="503" width="18.5703125" style="55" customWidth="1"/>
    <col min="504" max="504" width="1.42578125" style="55" customWidth="1"/>
    <col min="505" max="505" width="30.5703125" style="55" customWidth="1"/>
    <col min="506" max="510" width="10.5703125" style="55" customWidth="1"/>
    <col min="511" max="756" width="11.42578125" style="55"/>
    <col min="757" max="757" width="0.140625" style="55" customWidth="1"/>
    <col min="758" max="758" width="2.5703125" style="55" customWidth="1"/>
    <col min="759" max="759" width="18.5703125" style="55" customWidth="1"/>
    <col min="760" max="760" width="1.42578125" style="55" customWidth="1"/>
    <col min="761" max="761" width="30.5703125" style="55" customWidth="1"/>
    <col min="762" max="766" width="10.5703125" style="55" customWidth="1"/>
    <col min="767" max="1012" width="11.42578125" style="55"/>
    <col min="1013" max="1013" width="0.140625" style="55" customWidth="1"/>
    <col min="1014" max="1014" width="2.5703125" style="55" customWidth="1"/>
    <col min="1015" max="1015" width="18.5703125" style="55" customWidth="1"/>
    <col min="1016" max="1016" width="1.42578125" style="55" customWidth="1"/>
    <col min="1017" max="1017" width="30.5703125" style="55" customWidth="1"/>
    <col min="1018" max="1022" width="10.5703125" style="55" customWidth="1"/>
    <col min="1023" max="1268" width="11.42578125" style="55"/>
    <col min="1269" max="1269" width="0.140625" style="55" customWidth="1"/>
    <col min="1270" max="1270" width="2.5703125" style="55" customWidth="1"/>
    <col min="1271" max="1271" width="18.5703125" style="55" customWidth="1"/>
    <col min="1272" max="1272" width="1.42578125" style="55" customWidth="1"/>
    <col min="1273" max="1273" width="30.5703125" style="55" customWidth="1"/>
    <col min="1274" max="1278" width="10.5703125" style="55" customWidth="1"/>
    <col min="1279" max="1524" width="11.42578125" style="55"/>
    <col min="1525" max="1525" width="0.140625" style="55" customWidth="1"/>
    <col min="1526" max="1526" width="2.5703125" style="55" customWidth="1"/>
    <col min="1527" max="1527" width="18.5703125" style="55" customWidth="1"/>
    <col min="1528" max="1528" width="1.42578125" style="55" customWidth="1"/>
    <col min="1529" max="1529" width="30.5703125" style="55" customWidth="1"/>
    <col min="1530" max="1534" width="10.5703125" style="55" customWidth="1"/>
    <col min="1535" max="1780" width="11.42578125" style="55"/>
    <col min="1781" max="1781" width="0.140625" style="55" customWidth="1"/>
    <col min="1782" max="1782" width="2.5703125" style="55" customWidth="1"/>
    <col min="1783" max="1783" width="18.5703125" style="55" customWidth="1"/>
    <col min="1784" max="1784" width="1.42578125" style="55" customWidth="1"/>
    <col min="1785" max="1785" width="30.5703125" style="55" customWidth="1"/>
    <col min="1786" max="1790" width="10.5703125" style="55" customWidth="1"/>
    <col min="1791" max="2036" width="11.42578125" style="55"/>
    <col min="2037" max="2037" width="0.140625" style="55" customWidth="1"/>
    <col min="2038" max="2038" width="2.5703125" style="55" customWidth="1"/>
    <col min="2039" max="2039" width="18.5703125" style="55" customWidth="1"/>
    <col min="2040" max="2040" width="1.42578125" style="55" customWidth="1"/>
    <col min="2041" max="2041" width="30.5703125" style="55" customWidth="1"/>
    <col min="2042" max="2046" width="10.5703125" style="55" customWidth="1"/>
    <col min="2047" max="2292" width="11.42578125" style="55"/>
    <col min="2293" max="2293" width="0.140625" style="55" customWidth="1"/>
    <col min="2294" max="2294" width="2.5703125" style="55" customWidth="1"/>
    <col min="2295" max="2295" width="18.5703125" style="55" customWidth="1"/>
    <col min="2296" max="2296" width="1.42578125" style="55" customWidth="1"/>
    <col min="2297" max="2297" width="30.5703125" style="55" customWidth="1"/>
    <col min="2298" max="2302" width="10.5703125" style="55" customWidth="1"/>
    <col min="2303" max="2548" width="11.42578125" style="55"/>
    <col min="2549" max="2549" width="0.140625" style="55" customWidth="1"/>
    <col min="2550" max="2550" width="2.5703125" style="55" customWidth="1"/>
    <col min="2551" max="2551" width="18.5703125" style="55" customWidth="1"/>
    <col min="2552" max="2552" width="1.42578125" style="55" customWidth="1"/>
    <col min="2553" max="2553" width="30.5703125" style="55" customWidth="1"/>
    <col min="2554" max="2558" width="10.5703125" style="55" customWidth="1"/>
    <col min="2559" max="2804" width="11.42578125" style="55"/>
    <col min="2805" max="2805" width="0.140625" style="55" customWidth="1"/>
    <col min="2806" max="2806" width="2.5703125" style="55" customWidth="1"/>
    <col min="2807" max="2807" width="18.5703125" style="55" customWidth="1"/>
    <col min="2808" max="2808" width="1.42578125" style="55" customWidth="1"/>
    <col min="2809" max="2809" width="30.5703125" style="55" customWidth="1"/>
    <col min="2810" max="2814" width="10.5703125" style="55" customWidth="1"/>
    <col min="2815" max="3060" width="11.42578125" style="55"/>
    <col min="3061" max="3061" width="0.140625" style="55" customWidth="1"/>
    <col min="3062" max="3062" width="2.5703125" style="55" customWidth="1"/>
    <col min="3063" max="3063" width="18.5703125" style="55" customWidth="1"/>
    <col min="3064" max="3064" width="1.42578125" style="55" customWidth="1"/>
    <col min="3065" max="3065" width="30.5703125" style="55" customWidth="1"/>
    <col min="3066" max="3070" width="10.5703125" style="55" customWidth="1"/>
    <col min="3071" max="3316" width="11.42578125" style="55"/>
    <col min="3317" max="3317" width="0.140625" style="55" customWidth="1"/>
    <col min="3318" max="3318" width="2.5703125" style="55" customWidth="1"/>
    <col min="3319" max="3319" width="18.5703125" style="55" customWidth="1"/>
    <col min="3320" max="3320" width="1.42578125" style="55" customWidth="1"/>
    <col min="3321" max="3321" width="30.5703125" style="55" customWidth="1"/>
    <col min="3322" max="3326" width="10.5703125" style="55" customWidth="1"/>
    <col min="3327" max="3572" width="11.42578125" style="55"/>
    <col min="3573" max="3573" width="0.140625" style="55" customWidth="1"/>
    <col min="3574" max="3574" width="2.5703125" style="55" customWidth="1"/>
    <col min="3575" max="3575" width="18.5703125" style="55" customWidth="1"/>
    <col min="3576" max="3576" width="1.42578125" style="55" customWidth="1"/>
    <col min="3577" max="3577" width="30.5703125" style="55" customWidth="1"/>
    <col min="3578" max="3582" width="10.5703125" style="55" customWidth="1"/>
    <col min="3583" max="3828" width="11.42578125" style="55"/>
    <col min="3829" max="3829" width="0.140625" style="55" customWidth="1"/>
    <col min="3830" max="3830" width="2.5703125" style="55" customWidth="1"/>
    <col min="3831" max="3831" width="18.5703125" style="55" customWidth="1"/>
    <col min="3832" max="3832" width="1.42578125" style="55" customWidth="1"/>
    <col min="3833" max="3833" width="30.5703125" style="55" customWidth="1"/>
    <col min="3834" max="3838" width="10.5703125" style="55" customWidth="1"/>
    <col min="3839" max="4084" width="11.42578125" style="55"/>
    <col min="4085" max="4085" width="0.140625" style="55" customWidth="1"/>
    <col min="4086" max="4086" width="2.5703125" style="55" customWidth="1"/>
    <col min="4087" max="4087" width="18.5703125" style="55" customWidth="1"/>
    <col min="4088" max="4088" width="1.42578125" style="55" customWidth="1"/>
    <col min="4089" max="4089" width="30.5703125" style="55" customWidth="1"/>
    <col min="4090" max="4094" width="10.5703125" style="55" customWidth="1"/>
    <col min="4095" max="4340" width="11.42578125" style="55"/>
    <col min="4341" max="4341" width="0.140625" style="55" customWidth="1"/>
    <col min="4342" max="4342" width="2.5703125" style="55" customWidth="1"/>
    <col min="4343" max="4343" width="18.5703125" style="55" customWidth="1"/>
    <col min="4344" max="4344" width="1.42578125" style="55" customWidth="1"/>
    <col min="4345" max="4345" width="30.5703125" style="55" customWidth="1"/>
    <col min="4346" max="4350" width="10.5703125" style="55" customWidth="1"/>
    <col min="4351" max="4596" width="11.42578125" style="55"/>
    <col min="4597" max="4597" width="0.140625" style="55" customWidth="1"/>
    <col min="4598" max="4598" width="2.5703125" style="55" customWidth="1"/>
    <col min="4599" max="4599" width="18.5703125" style="55" customWidth="1"/>
    <col min="4600" max="4600" width="1.42578125" style="55" customWidth="1"/>
    <col min="4601" max="4601" width="30.5703125" style="55" customWidth="1"/>
    <col min="4602" max="4606" width="10.5703125" style="55" customWidth="1"/>
    <col min="4607" max="4852" width="11.42578125" style="55"/>
    <col min="4853" max="4853" width="0.140625" style="55" customWidth="1"/>
    <col min="4854" max="4854" width="2.5703125" style="55" customWidth="1"/>
    <col min="4855" max="4855" width="18.5703125" style="55" customWidth="1"/>
    <col min="4856" max="4856" width="1.42578125" style="55" customWidth="1"/>
    <col min="4857" max="4857" width="30.5703125" style="55" customWidth="1"/>
    <col min="4858" max="4862" width="10.5703125" style="55" customWidth="1"/>
    <col min="4863" max="5108" width="11.42578125" style="55"/>
    <col min="5109" max="5109" width="0.140625" style="55" customWidth="1"/>
    <col min="5110" max="5110" width="2.5703125" style="55" customWidth="1"/>
    <col min="5111" max="5111" width="18.5703125" style="55" customWidth="1"/>
    <col min="5112" max="5112" width="1.42578125" style="55" customWidth="1"/>
    <col min="5113" max="5113" width="30.5703125" style="55" customWidth="1"/>
    <col min="5114" max="5118" width="10.5703125" style="55" customWidth="1"/>
    <col min="5119" max="5364" width="11.42578125" style="55"/>
    <col min="5365" max="5365" width="0.140625" style="55" customWidth="1"/>
    <col min="5366" max="5366" width="2.5703125" style="55" customWidth="1"/>
    <col min="5367" max="5367" width="18.5703125" style="55" customWidth="1"/>
    <col min="5368" max="5368" width="1.42578125" style="55" customWidth="1"/>
    <col min="5369" max="5369" width="30.5703125" style="55" customWidth="1"/>
    <col min="5370" max="5374" width="10.5703125" style="55" customWidth="1"/>
    <col min="5375" max="5620" width="11.42578125" style="55"/>
    <col min="5621" max="5621" width="0.140625" style="55" customWidth="1"/>
    <col min="5622" max="5622" width="2.5703125" style="55" customWidth="1"/>
    <col min="5623" max="5623" width="18.5703125" style="55" customWidth="1"/>
    <col min="5624" max="5624" width="1.42578125" style="55" customWidth="1"/>
    <col min="5625" max="5625" width="30.5703125" style="55" customWidth="1"/>
    <col min="5626" max="5630" width="10.5703125" style="55" customWidth="1"/>
    <col min="5631" max="5876" width="11.42578125" style="55"/>
    <col min="5877" max="5877" width="0.140625" style="55" customWidth="1"/>
    <col min="5878" max="5878" width="2.5703125" style="55" customWidth="1"/>
    <col min="5879" max="5879" width="18.5703125" style="55" customWidth="1"/>
    <col min="5880" max="5880" width="1.42578125" style="55" customWidth="1"/>
    <col min="5881" max="5881" width="30.5703125" style="55" customWidth="1"/>
    <col min="5882" max="5886" width="10.5703125" style="55" customWidth="1"/>
    <col min="5887" max="6132" width="11.42578125" style="55"/>
    <col min="6133" max="6133" width="0.140625" style="55" customWidth="1"/>
    <col min="6134" max="6134" width="2.5703125" style="55" customWidth="1"/>
    <col min="6135" max="6135" width="18.5703125" style="55" customWidth="1"/>
    <col min="6136" max="6136" width="1.42578125" style="55" customWidth="1"/>
    <col min="6137" max="6137" width="30.5703125" style="55" customWidth="1"/>
    <col min="6138" max="6142" width="10.5703125" style="55" customWidth="1"/>
    <col min="6143" max="6388" width="11.42578125" style="55"/>
    <col min="6389" max="6389" width="0.140625" style="55" customWidth="1"/>
    <col min="6390" max="6390" width="2.5703125" style="55" customWidth="1"/>
    <col min="6391" max="6391" width="18.5703125" style="55" customWidth="1"/>
    <col min="6392" max="6392" width="1.42578125" style="55" customWidth="1"/>
    <col min="6393" max="6393" width="30.5703125" style="55" customWidth="1"/>
    <col min="6394" max="6398" width="10.5703125" style="55" customWidth="1"/>
    <col min="6399" max="6644" width="11.42578125" style="55"/>
    <col min="6645" max="6645" width="0.140625" style="55" customWidth="1"/>
    <col min="6646" max="6646" width="2.5703125" style="55" customWidth="1"/>
    <col min="6647" max="6647" width="18.5703125" style="55" customWidth="1"/>
    <col min="6648" max="6648" width="1.42578125" style="55" customWidth="1"/>
    <col min="6649" max="6649" width="30.5703125" style="55" customWidth="1"/>
    <col min="6650" max="6654" width="10.5703125" style="55" customWidth="1"/>
    <col min="6655" max="6900" width="11.42578125" style="55"/>
    <col min="6901" max="6901" width="0.140625" style="55" customWidth="1"/>
    <col min="6902" max="6902" width="2.5703125" style="55" customWidth="1"/>
    <col min="6903" max="6903" width="18.5703125" style="55" customWidth="1"/>
    <col min="6904" max="6904" width="1.42578125" style="55" customWidth="1"/>
    <col min="6905" max="6905" width="30.5703125" style="55" customWidth="1"/>
    <col min="6906" max="6910" width="10.5703125" style="55" customWidth="1"/>
    <col min="6911" max="7156" width="11.42578125" style="55"/>
    <col min="7157" max="7157" width="0.140625" style="55" customWidth="1"/>
    <col min="7158" max="7158" width="2.5703125" style="55" customWidth="1"/>
    <col min="7159" max="7159" width="18.5703125" style="55" customWidth="1"/>
    <col min="7160" max="7160" width="1.42578125" style="55" customWidth="1"/>
    <col min="7161" max="7161" width="30.5703125" style="55" customWidth="1"/>
    <col min="7162" max="7166" width="10.5703125" style="55" customWidth="1"/>
    <col min="7167" max="7412" width="11.42578125" style="55"/>
    <col min="7413" max="7413" width="0.140625" style="55" customWidth="1"/>
    <col min="7414" max="7414" width="2.5703125" style="55" customWidth="1"/>
    <col min="7415" max="7415" width="18.5703125" style="55" customWidth="1"/>
    <col min="7416" max="7416" width="1.42578125" style="55" customWidth="1"/>
    <col min="7417" max="7417" width="30.5703125" style="55" customWidth="1"/>
    <col min="7418" max="7422" width="10.5703125" style="55" customWidth="1"/>
    <col min="7423" max="7668" width="11.42578125" style="55"/>
    <col min="7669" max="7669" width="0.140625" style="55" customWidth="1"/>
    <col min="7670" max="7670" width="2.5703125" style="55" customWidth="1"/>
    <col min="7671" max="7671" width="18.5703125" style="55" customWidth="1"/>
    <col min="7672" max="7672" width="1.42578125" style="55" customWidth="1"/>
    <col min="7673" max="7673" width="30.5703125" style="55" customWidth="1"/>
    <col min="7674" max="7678" width="10.5703125" style="55" customWidth="1"/>
    <col min="7679" max="7924" width="11.42578125" style="55"/>
    <col min="7925" max="7925" width="0.140625" style="55" customWidth="1"/>
    <col min="7926" max="7926" width="2.5703125" style="55" customWidth="1"/>
    <col min="7927" max="7927" width="18.5703125" style="55" customWidth="1"/>
    <col min="7928" max="7928" width="1.42578125" style="55" customWidth="1"/>
    <col min="7929" max="7929" width="30.5703125" style="55" customWidth="1"/>
    <col min="7930" max="7934" width="10.5703125" style="55" customWidth="1"/>
    <col min="7935" max="8180" width="11.42578125" style="55"/>
    <col min="8181" max="8181" width="0.140625" style="55" customWidth="1"/>
    <col min="8182" max="8182" width="2.5703125" style="55" customWidth="1"/>
    <col min="8183" max="8183" width="18.5703125" style="55" customWidth="1"/>
    <col min="8184" max="8184" width="1.42578125" style="55" customWidth="1"/>
    <col min="8185" max="8185" width="30.5703125" style="55" customWidth="1"/>
    <col min="8186" max="8190" width="10.5703125" style="55" customWidth="1"/>
    <col min="8191" max="8436" width="11.42578125" style="55"/>
    <col min="8437" max="8437" width="0.140625" style="55" customWidth="1"/>
    <col min="8438" max="8438" width="2.5703125" style="55" customWidth="1"/>
    <col min="8439" max="8439" width="18.5703125" style="55" customWidth="1"/>
    <col min="8440" max="8440" width="1.42578125" style="55" customWidth="1"/>
    <col min="8441" max="8441" width="30.5703125" style="55" customWidth="1"/>
    <col min="8442" max="8446" width="10.5703125" style="55" customWidth="1"/>
    <col min="8447" max="8692" width="11.42578125" style="55"/>
    <col min="8693" max="8693" width="0.140625" style="55" customWidth="1"/>
    <col min="8694" max="8694" width="2.5703125" style="55" customWidth="1"/>
    <col min="8695" max="8695" width="18.5703125" style="55" customWidth="1"/>
    <col min="8696" max="8696" width="1.42578125" style="55" customWidth="1"/>
    <col min="8697" max="8697" width="30.5703125" style="55" customWidth="1"/>
    <col min="8698" max="8702" width="10.5703125" style="55" customWidth="1"/>
    <col min="8703" max="8948" width="11.42578125" style="55"/>
    <col min="8949" max="8949" width="0.140625" style="55" customWidth="1"/>
    <col min="8950" max="8950" width="2.5703125" style="55" customWidth="1"/>
    <col min="8951" max="8951" width="18.5703125" style="55" customWidth="1"/>
    <col min="8952" max="8952" width="1.42578125" style="55" customWidth="1"/>
    <col min="8953" max="8953" width="30.5703125" style="55" customWidth="1"/>
    <col min="8954" max="8958" width="10.5703125" style="55" customWidth="1"/>
    <col min="8959" max="9204" width="11.42578125" style="55"/>
    <col min="9205" max="9205" width="0.140625" style="55" customWidth="1"/>
    <col min="9206" max="9206" width="2.5703125" style="55" customWidth="1"/>
    <col min="9207" max="9207" width="18.5703125" style="55" customWidth="1"/>
    <col min="9208" max="9208" width="1.42578125" style="55" customWidth="1"/>
    <col min="9209" max="9209" width="30.5703125" style="55" customWidth="1"/>
    <col min="9210" max="9214" width="10.5703125" style="55" customWidth="1"/>
    <col min="9215" max="9460" width="11.42578125" style="55"/>
    <col min="9461" max="9461" width="0.140625" style="55" customWidth="1"/>
    <col min="9462" max="9462" width="2.5703125" style="55" customWidth="1"/>
    <col min="9463" max="9463" width="18.5703125" style="55" customWidth="1"/>
    <col min="9464" max="9464" width="1.42578125" style="55" customWidth="1"/>
    <col min="9465" max="9465" width="30.5703125" style="55" customWidth="1"/>
    <col min="9466" max="9470" width="10.5703125" style="55" customWidth="1"/>
    <col min="9471" max="9716" width="11.42578125" style="55"/>
    <col min="9717" max="9717" width="0.140625" style="55" customWidth="1"/>
    <col min="9718" max="9718" width="2.5703125" style="55" customWidth="1"/>
    <col min="9719" max="9719" width="18.5703125" style="55" customWidth="1"/>
    <col min="9720" max="9720" width="1.42578125" style="55" customWidth="1"/>
    <col min="9721" max="9721" width="30.5703125" style="55" customWidth="1"/>
    <col min="9722" max="9726" width="10.5703125" style="55" customWidth="1"/>
    <col min="9727" max="9972" width="11.42578125" style="55"/>
    <col min="9973" max="9973" width="0.140625" style="55" customWidth="1"/>
    <col min="9974" max="9974" width="2.5703125" style="55" customWidth="1"/>
    <col min="9975" max="9975" width="18.5703125" style="55" customWidth="1"/>
    <col min="9976" max="9976" width="1.42578125" style="55" customWidth="1"/>
    <col min="9977" max="9977" width="30.5703125" style="55" customWidth="1"/>
    <col min="9978" max="9982" width="10.5703125" style="55" customWidth="1"/>
    <col min="9983" max="10228" width="11.42578125" style="55"/>
    <col min="10229" max="10229" width="0.140625" style="55" customWidth="1"/>
    <col min="10230" max="10230" width="2.5703125" style="55" customWidth="1"/>
    <col min="10231" max="10231" width="18.5703125" style="55" customWidth="1"/>
    <col min="10232" max="10232" width="1.42578125" style="55" customWidth="1"/>
    <col min="10233" max="10233" width="30.5703125" style="55" customWidth="1"/>
    <col min="10234" max="10238" width="10.5703125" style="55" customWidth="1"/>
    <col min="10239" max="10484" width="11.42578125" style="55"/>
    <col min="10485" max="10485" width="0.140625" style="55" customWidth="1"/>
    <col min="10486" max="10486" width="2.5703125" style="55" customWidth="1"/>
    <col min="10487" max="10487" width="18.5703125" style="55" customWidth="1"/>
    <col min="10488" max="10488" width="1.42578125" style="55" customWidth="1"/>
    <col min="10489" max="10489" width="30.5703125" style="55" customWidth="1"/>
    <col min="10490" max="10494" width="10.5703125" style="55" customWidth="1"/>
    <col min="10495" max="10740" width="11.42578125" style="55"/>
    <col min="10741" max="10741" width="0.140625" style="55" customWidth="1"/>
    <col min="10742" max="10742" width="2.5703125" style="55" customWidth="1"/>
    <col min="10743" max="10743" width="18.5703125" style="55" customWidth="1"/>
    <col min="10744" max="10744" width="1.42578125" style="55" customWidth="1"/>
    <col min="10745" max="10745" width="30.5703125" style="55" customWidth="1"/>
    <col min="10746" max="10750" width="10.5703125" style="55" customWidth="1"/>
    <col min="10751" max="10996" width="11.42578125" style="55"/>
    <col min="10997" max="10997" width="0.140625" style="55" customWidth="1"/>
    <col min="10998" max="10998" width="2.5703125" style="55" customWidth="1"/>
    <col min="10999" max="10999" width="18.5703125" style="55" customWidth="1"/>
    <col min="11000" max="11000" width="1.42578125" style="55" customWidth="1"/>
    <col min="11001" max="11001" width="30.5703125" style="55" customWidth="1"/>
    <col min="11002" max="11006" width="10.5703125" style="55" customWidth="1"/>
    <col min="11007" max="11252" width="11.42578125" style="55"/>
    <col min="11253" max="11253" width="0.140625" style="55" customWidth="1"/>
    <col min="11254" max="11254" width="2.5703125" style="55" customWidth="1"/>
    <col min="11255" max="11255" width="18.5703125" style="55" customWidth="1"/>
    <col min="11256" max="11256" width="1.42578125" style="55" customWidth="1"/>
    <col min="11257" max="11257" width="30.5703125" style="55" customWidth="1"/>
    <col min="11258" max="11262" width="10.5703125" style="55" customWidth="1"/>
    <col min="11263" max="11508" width="11.42578125" style="55"/>
    <col min="11509" max="11509" width="0.140625" style="55" customWidth="1"/>
    <col min="11510" max="11510" width="2.5703125" style="55" customWidth="1"/>
    <col min="11511" max="11511" width="18.5703125" style="55" customWidth="1"/>
    <col min="11512" max="11512" width="1.42578125" style="55" customWidth="1"/>
    <col min="11513" max="11513" width="30.5703125" style="55" customWidth="1"/>
    <col min="11514" max="11518" width="10.5703125" style="55" customWidth="1"/>
    <col min="11519" max="11764" width="11.42578125" style="55"/>
    <col min="11765" max="11765" width="0.140625" style="55" customWidth="1"/>
    <col min="11766" max="11766" width="2.5703125" style="55" customWidth="1"/>
    <col min="11767" max="11767" width="18.5703125" style="55" customWidth="1"/>
    <col min="11768" max="11768" width="1.42578125" style="55" customWidth="1"/>
    <col min="11769" max="11769" width="30.5703125" style="55" customWidth="1"/>
    <col min="11770" max="11774" width="10.5703125" style="55" customWidth="1"/>
    <col min="11775" max="12020" width="11.42578125" style="55"/>
    <col min="12021" max="12021" width="0.140625" style="55" customWidth="1"/>
    <col min="12022" max="12022" width="2.5703125" style="55" customWidth="1"/>
    <col min="12023" max="12023" width="18.5703125" style="55" customWidth="1"/>
    <col min="12024" max="12024" width="1.42578125" style="55" customWidth="1"/>
    <col min="12025" max="12025" width="30.5703125" style="55" customWidth="1"/>
    <col min="12026" max="12030" width="10.5703125" style="55" customWidth="1"/>
    <col min="12031" max="12276" width="11.42578125" style="55"/>
    <col min="12277" max="12277" width="0.140625" style="55" customWidth="1"/>
    <col min="12278" max="12278" width="2.5703125" style="55" customWidth="1"/>
    <col min="12279" max="12279" width="18.5703125" style="55" customWidth="1"/>
    <col min="12280" max="12280" width="1.42578125" style="55" customWidth="1"/>
    <col min="12281" max="12281" width="30.5703125" style="55" customWidth="1"/>
    <col min="12282" max="12286" width="10.5703125" style="55" customWidth="1"/>
    <col min="12287" max="12532" width="11.42578125" style="55"/>
    <col min="12533" max="12533" width="0.140625" style="55" customWidth="1"/>
    <col min="12534" max="12534" width="2.5703125" style="55" customWidth="1"/>
    <col min="12535" max="12535" width="18.5703125" style="55" customWidth="1"/>
    <col min="12536" max="12536" width="1.42578125" style="55" customWidth="1"/>
    <col min="12537" max="12537" width="30.5703125" style="55" customWidth="1"/>
    <col min="12538" max="12542" width="10.5703125" style="55" customWidth="1"/>
    <col min="12543" max="12788" width="11.42578125" style="55"/>
    <col min="12789" max="12789" width="0.140625" style="55" customWidth="1"/>
    <col min="12790" max="12790" width="2.5703125" style="55" customWidth="1"/>
    <col min="12791" max="12791" width="18.5703125" style="55" customWidth="1"/>
    <col min="12792" max="12792" width="1.42578125" style="55" customWidth="1"/>
    <col min="12793" max="12793" width="30.5703125" style="55" customWidth="1"/>
    <col min="12794" max="12798" width="10.5703125" style="55" customWidth="1"/>
    <col min="12799" max="13044" width="11.42578125" style="55"/>
    <col min="13045" max="13045" width="0.140625" style="55" customWidth="1"/>
    <col min="13046" max="13046" width="2.5703125" style="55" customWidth="1"/>
    <col min="13047" max="13047" width="18.5703125" style="55" customWidth="1"/>
    <col min="13048" max="13048" width="1.42578125" style="55" customWidth="1"/>
    <col min="13049" max="13049" width="30.5703125" style="55" customWidth="1"/>
    <col min="13050" max="13054" width="10.5703125" style="55" customWidth="1"/>
    <col min="13055" max="13300" width="11.42578125" style="55"/>
    <col min="13301" max="13301" width="0.140625" style="55" customWidth="1"/>
    <col min="13302" max="13302" width="2.5703125" style="55" customWidth="1"/>
    <col min="13303" max="13303" width="18.5703125" style="55" customWidth="1"/>
    <col min="13304" max="13304" width="1.42578125" style="55" customWidth="1"/>
    <col min="13305" max="13305" width="30.5703125" style="55" customWidth="1"/>
    <col min="13306" max="13310" width="10.5703125" style="55" customWidth="1"/>
    <col min="13311" max="13556" width="11.42578125" style="55"/>
    <col min="13557" max="13557" width="0.140625" style="55" customWidth="1"/>
    <col min="13558" max="13558" width="2.5703125" style="55" customWidth="1"/>
    <col min="13559" max="13559" width="18.5703125" style="55" customWidth="1"/>
    <col min="13560" max="13560" width="1.42578125" style="55" customWidth="1"/>
    <col min="13561" max="13561" width="30.5703125" style="55" customWidth="1"/>
    <col min="13562" max="13566" width="10.5703125" style="55" customWidth="1"/>
    <col min="13567" max="13812" width="11.42578125" style="55"/>
    <col min="13813" max="13813" width="0.140625" style="55" customWidth="1"/>
    <col min="13814" max="13814" width="2.5703125" style="55" customWidth="1"/>
    <col min="13815" max="13815" width="18.5703125" style="55" customWidth="1"/>
    <col min="13816" max="13816" width="1.42578125" style="55" customWidth="1"/>
    <col min="13817" max="13817" width="30.5703125" style="55" customWidth="1"/>
    <col min="13818" max="13822" width="10.5703125" style="55" customWidth="1"/>
    <col min="13823" max="14068" width="11.42578125" style="55"/>
    <col min="14069" max="14069" width="0.140625" style="55" customWidth="1"/>
    <col min="14070" max="14070" width="2.5703125" style="55" customWidth="1"/>
    <col min="14071" max="14071" width="18.5703125" style="55" customWidth="1"/>
    <col min="14072" max="14072" width="1.42578125" style="55" customWidth="1"/>
    <col min="14073" max="14073" width="30.5703125" style="55" customWidth="1"/>
    <col min="14074" max="14078" width="10.5703125" style="55" customWidth="1"/>
    <col min="14079" max="14324" width="11.42578125" style="55"/>
    <col min="14325" max="14325" width="0.140625" style="55" customWidth="1"/>
    <col min="14326" max="14326" width="2.5703125" style="55" customWidth="1"/>
    <col min="14327" max="14327" width="18.5703125" style="55" customWidth="1"/>
    <col min="14328" max="14328" width="1.42578125" style="55" customWidth="1"/>
    <col min="14329" max="14329" width="30.5703125" style="55" customWidth="1"/>
    <col min="14330" max="14334" width="10.5703125" style="55" customWidth="1"/>
    <col min="14335" max="14580" width="11.42578125" style="55"/>
    <col min="14581" max="14581" width="0.140625" style="55" customWidth="1"/>
    <col min="14582" max="14582" width="2.5703125" style="55" customWidth="1"/>
    <col min="14583" max="14583" width="18.5703125" style="55" customWidth="1"/>
    <col min="14584" max="14584" width="1.42578125" style="55" customWidth="1"/>
    <col min="14585" max="14585" width="30.5703125" style="55" customWidth="1"/>
    <col min="14586" max="14590" width="10.5703125" style="55" customWidth="1"/>
    <col min="14591" max="14836" width="11.42578125" style="55"/>
    <col min="14837" max="14837" width="0.140625" style="55" customWidth="1"/>
    <col min="14838" max="14838" width="2.5703125" style="55" customWidth="1"/>
    <col min="14839" max="14839" width="18.5703125" style="55" customWidth="1"/>
    <col min="14840" max="14840" width="1.42578125" style="55" customWidth="1"/>
    <col min="14841" max="14841" width="30.5703125" style="55" customWidth="1"/>
    <col min="14842" max="14846" width="10.5703125" style="55" customWidth="1"/>
    <col min="14847" max="15092" width="11.42578125" style="55"/>
    <col min="15093" max="15093" width="0.140625" style="55" customWidth="1"/>
    <col min="15094" max="15094" width="2.5703125" style="55" customWidth="1"/>
    <col min="15095" max="15095" width="18.5703125" style="55" customWidth="1"/>
    <col min="15096" max="15096" width="1.42578125" style="55" customWidth="1"/>
    <col min="15097" max="15097" width="30.5703125" style="55" customWidth="1"/>
    <col min="15098" max="15102" width="10.5703125" style="55" customWidth="1"/>
    <col min="15103" max="15348" width="11.42578125" style="55"/>
    <col min="15349" max="15349" width="0.140625" style="55" customWidth="1"/>
    <col min="15350" max="15350" width="2.5703125" style="55" customWidth="1"/>
    <col min="15351" max="15351" width="18.5703125" style="55" customWidth="1"/>
    <col min="15352" max="15352" width="1.42578125" style="55" customWidth="1"/>
    <col min="15353" max="15353" width="30.5703125" style="55" customWidth="1"/>
    <col min="15354" max="15358" width="10.5703125" style="55" customWidth="1"/>
    <col min="15359" max="15604" width="11.42578125" style="55"/>
    <col min="15605" max="15605" width="0.140625" style="55" customWidth="1"/>
    <col min="15606" max="15606" width="2.5703125" style="55" customWidth="1"/>
    <col min="15607" max="15607" width="18.5703125" style="55" customWidth="1"/>
    <col min="15608" max="15608" width="1.42578125" style="55" customWidth="1"/>
    <col min="15609" max="15609" width="30.5703125" style="55" customWidth="1"/>
    <col min="15610" max="15614" width="10.5703125" style="55" customWidth="1"/>
    <col min="15615" max="15860" width="11.42578125" style="55"/>
    <col min="15861" max="15861" width="0.140625" style="55" customWidth="1"/>
    <col min="15862" max="15862" width="2.5703125" style="55" customWidth="1"/>
    <col min="15863" max="15863" width="18.5703125" style="55" customWidth="1"/>
    <col min="15864" max="15864" width="1.42578125" style="55" customWidth="1"/>
    <col min="15865" max="15865" width="30.5703125" style="55" customWidth="1"/>
    <col min="15866" max="15870" width="10.5703125" style="55" customWidth="1"/>
    <col min="15871" max="16116" width="11.42578125" style="55"/>
    <col min="16117" max="16117" width="0.140625" style="55" customWidth="1"/>
    <col min="16118" max="16118" width="2.5703125" style="55" customWidth="1"/>
    <col min="16119" max="16119" width="18.5703125" style="55" customWidth="1"/>
    <col min="16120" max="16120" width="1.42578125" style="55" customWidth="1"/>
    <col min="16121" max="16121" width="30.5703125" style="55" customWidth="1"/>
    <col min="16122" max="16126" width="10.570312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Mayo 2022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36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89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105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2022-06-15T13:57:14Z</dcterms:modified>
</cp:coreProperties>
</file>