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R\INF_ELABORADA\"/>
    </mc:Choice>
  </mc:AlternateContent>
  <xr:revisionPtr revIDLastSave="0" documentId="13_ncr:1_{158058B1-373F-44FA-B1EA-5995FB47DF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Dat_01!$A$85:$R$114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2" l="1"/>
  <c r="G13" i="22"/>
  <c r="R26" i="18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8" i="18" l="1"/>
  <c r="D69" i="18"/>
  <c r="D75" i="18"/>
  <c r="D70" i="18"/>
  <c r="D76" i="18"/>
  <c r="D71" i="18"/>
  <c r="D73" i="18"/>
  <c r="D77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<sst xmlns="http://schemas.openxmlformats.org/spreadsheetml/2006/main" count="425" uniqueCount="129">
  <si>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</si>
  <si>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</si>
  <si>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</si>
  <si>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</si>
  <si>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</si>
  <si>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</si>
  <si>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</si>
  <si>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</si>
  <si>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</si>
  <si>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</si>
  <si>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</si>
  <si>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</si>
  <si>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</si>
  <si>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</si>
  <si>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</si>
  <si>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</si>
  <si>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</si>
  <si>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</si>
  <si>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</si>
  <si>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</si>
  <si>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</si>
  <si>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</si>
  <si>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</si>
  <si>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</si>
  <si>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</si>
  <si>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</si>
  <si>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</si>
  <si>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</si>
  <si>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</si>
  <si>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</si>
  <si>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</si>
  <si>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</si>
  <si>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</si>
  <si>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</si>
  <si>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</si>
  <si>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</si>
  <si>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</si>
  <si>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</si>
  <si>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</si>
  <si>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</si>
  <si>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</si>
  <si>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</si>
  <si>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</si>
  <si>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</si>
  <si>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</si>
  <si>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</si>
  <si>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</si>
  <si>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</si>
  <si>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</si>
  <si>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</si>
  <si>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</si>
  <si>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</si>
  <si>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</si>
  <si>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</si>
  <si>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</si>
  <si>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</si>
  <si>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</si>
  <si>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</si>
  <si>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</si>
  <si>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</si>
  <si>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</si>
  <si>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</si>
  <si>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</si>
  <si>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</si>
  <si>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</si>
  <si>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</si>
  <si>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</si>
  <si>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</si>
  <si>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</si>
  <si>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</si>
  <si>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</si>
  <si>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</si>
  <si>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</si>
  <si>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</si>
  <si>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</si>
  <si>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</si>
  <si>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</si>
  <si>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</si>
  <si>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</si>
  <si>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</si>
  <si>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</si>
  <si>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</si>
  <si>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</si>
  <si>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</si>
  <si>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</si>
  <si>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</si>
  <si>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</si>
  <si>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</si>
  <si>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</si>
  <si>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</si>
  <si>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</si>
  <si>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</si>
  <si>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</si>
  <si>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</si>
  <si>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</si>
  <si>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</si>
  <si>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</si>
  <si>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</si>
  <si>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</si>
  <si>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</si>
  <si>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</si>
  <si>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</si>
  <si>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</si>
  <si>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</si>
  <si>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</si>
  <si>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</si>
  <si>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</si>
  <si>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</si>
  <si>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</si>
  <si>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</si>
  <si>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</si>
  <si>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</si>
  <si>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</si>
  <si>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</si>
  <si>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</si>
  <si>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</si>
  <si>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</si>
  <si>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</si>
  <si>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</si>
  <si>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</si>
  <si>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</si>
  <si>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31/03/2024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</si>
  <si>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ut="04/10/2024 06:07:08" si="2.000000019e2e3f0661cf83fa64e5883ee2e3b2b732d00798f198c66f2d9a6761d5d25bbf318ff1429a06a49152d380026f7f9ee9d51f886f7b8fdee396ee06ba045e2bad1714b94663011b945d68d8a974208b4bac8ceb35cf3b4cad38146eac52aa0ef9cd1ea14e80a07f70b49c19b73d01e3ccd1f114aae001772ef14e140c5ffccd9e21ae2a80f23f5e88c0354aae3baf5fcf36d76443819c8bf6a70e4913ea57.p.3082.0.1.Europe/Madrid.upriv*_1*_pidn2*_72*_session*-lat*_1.000000017c908fd7cc69bda4a46c298294783886bc6025e0b34ca87fc30e0f5910820bec9326acd2f47be6b0c483571731a0f00047301028.00000001bbd2b8d9e9601eee22d05567faf6693bbc6025e0c0cf502f3a27e7791e90665e2b1a1c53fc4cc38dd233197b05d07fea4c6d66d2.0.1.1.BDEbi.D066E1C611E6257C10D00080EF253B44.0-3082.1.1_-0.1.0_-3082.1.1_5.5.0.*0.000000012934c255bec51362f355341575334f59c911585ae439d225436e8dba4f82f2363e63ce10.0.23.11*.2*.0400*.31152J.e.0000000135261ae3ff147665dbe90993a8dd2aefc911585aa1e216ad942a0f7eda9f2474dc8831b6.0.10*.131*.122*.122.0.0" msgID="8A52518A11EEF70081490080EFA50402"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</si>
  <si>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ut="04/10/2024 06:11:04" si="2.000000019e2e3f0661cf83fa64e5883ee2e3b2b732d00798f198c66f2d9a6761d5d25bbf318ff1429a06a49152d380026f7f9ee9d51f886f7b8fdee396ee06ba045e2bad1714b94663011b945d68d8a974208b4bac8ceb35cf3b4cad38146eac52aa0ef9cd1ea14e80a07f70b49c19b73d01e3ccd1f114aae001772ef14e140c5ffccd9e21ae2a80f23f5e88c0354aae3baf5fcf36d76443819c8bf6a70e4913ea57.p.3082.0.1.Europe/Madrid.upriv*_1*_pidn2*_72*_session*-lat*_1.000000017c908fd7cc69bda4a46c298294783886bc6025e0b34ca87fc30e0f5910820bec9326acd2f47be6b0c483571731a0f00047301028.00000001bbd2b8d9e9601eee22d05567faf6693bbc6025e0c0cf502f3a27e7791e90665e2b1a1c53fc4cc38dd233197b05d07fea4c6d66d2.0.1.1.BDEbi.D066E1C611E6257C10D00080EF253B44.0-3082.1.1_-0.1.0_-3082.1.1_5.5.0.*0.000000012934c255bec51362f355341575334f59c911585ae439d225436e8dba4f82f2363e63ce10.0.23.11*.2*.0400*.31152J.e.0000000135261ae3ff147665dbe90993a8dd2aefc911585aa1e216ad942a0f7eda9f2474dc8831b6.0.10*.131*.122*.122.0.0" msgID="9DDA9E9C11EEF70081490080EFD56502"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nrr="1530" nrc="2880"&gt;&lt;pg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</si>
  <si>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Abril 2024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</si>
  <si>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ut="04/10/2024 08:11:32" si="2.000000019e2e3f0661cf83fa64e5883ee2e3b2b732d00798f198c66f2d9a6761d5d25bbf318ff1429a06a49152d380026f7f9ee9d51f886f7b8fdee396ee06ba045e2bad1714b94663011b945d68d8a974208b4bac8ceb35cf3b4cad38146eac52aa0ef9cd1ea14e80a07f70b49c19b73d01e3ccd1f114aae001772ef14e140c5ffccd9e21ae2a80f23f5e88c0354aae3baf5fcf36d76443819c8bf6a70e4913ea57.p.3082.0.1.Europe/Madrid.upriv*_1*_pidn2*_72*_session*-lat*_1.000000017c908fd7cc69bda4a46c298294783886bc6025e0b34ca87fc30e0f5910820bec9326acd2f47be6b0c483571731a0f00047301028.00000001bbd2b8d9e9601eee22d05567faf6693bbc6025e0c0cf502f3a27e7791e90665e2b1a1c53fc4cc38dd233197b05d07fea4c6d66d2.0.1.1.BDEbi.D066E1C611E6257C10D00080EF253B44.0-3082.1.1_-0.1.0_-3082.1.1_5.5.0.*0.000000012934c255bec51362f355341575334f59c911585ae439d225436e8dba4f82f2363e63ce10.0.23.11*.2*.0400*.31152J.e.0000000135261ae3ff147665dbe90993a8dd2aefc911585aa1e216ad942a0f7eda9f2474dc8831b6.0.10*.131*.122*.122.0.0" msgID="7342257211EEF71181490080EF658504"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cols="18" /&gt;&lt;esdo ews="" ece="" ptn="" /&gt;&lt;/excel&gt;&lt;pgs&gt;&lt;pg rows="27" cols="16" nrr="2223" nrc="1695"&gt;&lt;pg /&gt;&lt;bls&gt;&lt;bl sr="1" sc="1" rfetch="27" cfetch="16" posid="1" darows="0" dacols="1"&gt;&lt;excel&gt;&lt;epo ews="Dat_01" ece="A85" enr="MSTR.Serie_Balance_B.C._Mensual_Baleares_y_Canarias" ptn="" qtn="" rows="30" cols="18" /&gt;&lt;esdo ews="" ece="" ptn="" /&gt;&lt;/excel&gt;&lt;gridRng&gt;&lt;sect id="TITLE_AREA" rngprop="1:1:3:2" /&gt;&lt;sect id="ROWHEADERS_AREA" rngprop="4:1:27:2" /&gt;&lt;sect id="COLUMNHEADERS_AREA" rngprop="1:3:3:16" /&gt;&lt;sect id="DATA_AREA" rngprop="4:3:27:16"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</si>
  <si>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ut="04/10/2024 08:13:10" si="2.00000001453a17ba93e6c54d2e10f7d39ee0395dfdd88ebbc55be9e432367f67128db11b369b683d2281992a0cbf8de725e1d9c61c128d1aefa9c2e012fb2a0169f3cf3b79088ea423d564251cd2955230c56bb2952bd19aa0c20e26bd1a43977321f09be69b5faccfb97943fab4ec9edaa2a4e8c62ef765c471d246c76d45b1b1855fbd59c2eba7eb7fa0306196bf713dc46bbf5247ae168bebd554414c5b748912.p.3082.0.1.Europe/Madrid.upriv*_1*_pidn2*_69*_session*-lat*_1.000000012d23a4ea3114c1198bb0fb5102f6cea2bc6025e004c7dbdc9b7b608c25dc2d01474ff50a2dfa32014d8474f854c5281282cabe40.00000001e5644478a5bea0a1553fc7495cd3bef4bc6025e00da141b78c690c3708c19c7b6cdd892517ebaf392ee7bb1b8b132b07fc9e5e4a.0.1.1.BDEbi.D066E1C611E6257C10D00080EF253B44.0-3082.1.1_-0.1.0_-3082.1.1_5.5.0.*0.000000017b6834c4ac832bc893327e12c9112624c911585a64384179777e4ff9dd6b66f14ce9e429.0.23.11*.2*.0400*.31152J.e.00000001c30e137c1128faa43f67133bef3edd05c911585ab9e9239ed62f5a0cf258026a728fab75.0.10*.131*.122*.122.0.0" msgID="23F7F81111EEF71281490080EFA50606"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nrr="116" nrc="828"&gt;&lt;pg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</si>
  <si>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726848442fa5401289d9be5ec77b7b51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</si>
  <si>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ut="04/10/2024 08:13:53" si="2.00000001453a17ba93e6c54d2e10f7d39ee0395dfdd88ebbc55be9e432367f67128db11b369b683d2281992a0cbf8de725e1d9c61c128d1aefa9c2e012fb2a0169f3cf3b79088ea423d564251cd2955230c56bb2952bd19aa0c20e26bd1a43977321f09be69b5faccfb97943fab4ec9edaa2a4e8c62ef765c471d246c76d45b1b1855fbd59c2eba7eb7fa0306196bf713dc46bbf5247ae168bebd554414c5b748912.p.3082.0.1.Europe/Madrid.upriv*_1*_pidn2*_69*_session*-lat*_1.000000012d23a4ea3114c1198bb0fb5102f6cea2bc6025e004c7dbdc9b7b608c25dc2d01474ff50a2dfa32014d8474f854c5281282cabe40.00000001e5644478a5bea0a1553fc7495cd3bef4bc6025e00da141b78c690c3708c19c7b6cdd892517ebaf392ee7bb1b8b132b07fc9e5e4a.0.1.1.BDEbi.D066E1C611E6257C10D00080EF253B44.0-3082.1.1_-0.1.0_-3082.1.1_5.5.0.*0.000000017b6834c4ac832bc893327e12c9112624c911585a64384179777e4ff9dd6b66f14ce9e429.0.23.11*.2*.0400*.31152J.e.00000001c30e137c1128faa43f67133bef3edd05c911585ab9e9239ed62f5a0cf258026a728fab75.0.10*.131*.122*.122.0.0" msgID="3DC80B3711EEF71281490080EFD56706"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nrr="72" nrc="876"&gt;&lt;pg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</si>
</sst>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168" fontId="51" fillId="0" borderId="0" xfId="0" applyNumberFormat="1" applyFont="1"/>
    <xf numFmtId="0" fontId="51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910569105691045"/>
                  <c:y val="-8.6966141732283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162601626016249"/>
                  <c:y val="-1.2614443415161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308930286153254"/>
                  <c:y val="0.21656850393700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749619102490236"/>
                  <c:y val="-2.7772440944881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8699186991869918"/>
                  <c:y val="-0.107824803149606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7216208949491063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1.2670436169512247</c:v>
                </c:pt>
                <c:pt idx="2">
                  <c:v>5.8130025121601721</c:v>
                </c:pt>
                <c:pt idx="3">
                  <c:v>49.77667169953375</c:v>
                </c:pt>
                <c:pt idx="4">
                  <c:v>0</c:v>
                </c:pt>
                <c:pt idx="5">
                  <c:v>0.81235672790991886</c:v>
                </c:pt>
                <c:pt idx="6">
                  <c:v>2.9904440014381839</c:v>
                </c:pt>
                <c:pt idx="7">
                  <c:v>2.9904440014381839</c:v>
                </c:pt>
                <c:pt idx="8">
                  <c:v>0</c:v>
                </c:pt>
                <c:pt idx="9">
                  <c:v>10.544837018437077</c:v>
                </c:pt>
                <c:pt idx="10">
                  <c:v>9.3241875396622379E-3</c:v>
                </c:pt>
                <c:pt idx="11">
                  <c:v>25.79587623459182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10.807251044437136</c:v>
                </c:pt>
                <c:pt idx="1">
                  <c:v>6.2459817396125077</c:v>
                </c:pt>
                <c:pt idx="2">
                  <c:v>27.022608229270467</c:v>
                </c:pt>
                <c:pt idx="3">
                  <c:v>36.871006983695352</c:v>
                </c:pt>
                <c:pt idx="4">
                  <c:v>0</c:v>
                </c:pt>
                <c:pt idx="5">
                  <c:v>0.516301632607998</c:v>
                </c:pt>
                <c:pt idx="6">
                  <c:v>1.6757511984326239</c:v>
                </c:pt>
                <c:pt idx="7">
                  <c:v>1.6757511984326239</c:v>
                </c:pt>
                <c:pt idx="8">
                  <c:v>0.15984605348685524</c:v>
                </c:pt>
                <c:pt idx="9">
                  <c:v>14.930064752840957</c:v>
                </c:pt>
                <c:pt idx="10">
                  <c:v>9.5437167183462263E-2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-0.51834000000000002</c:v>
                </c:pt>
                <c:pt idx="1">
                  <c:v>-0.60865999999999998</c:v>
                </c:pt>
                <c:pt idx="2">
                  <c:v>-0.83296899999999996</c:v>
                </c:pt>
                <c:pt idx="3">
                  <c:v>3.1799559999999998</c:v>
                </c:pt>
                <c:pt idx="4">
                  <c:v>54.925434000000003</c:v>
                </c:pt>
                <c:pt idx="5">
                  <c:v>9.0232189999999992</c:v>
                </c:pt>
                <c:pt idx="6">
                  <c:v>-0.82337800000000005</c:v>
                </c:pt>
                <c:pt idx="7">
                  <c:v>-0.82724900000000001</c:v>
                </c:pt>
                <c:pt idx="8">
                  <c:v>-0.89542500000000003</c:v>
                </c:pt>
                <c:pt idx="9">
                  <c:v>-0.69586499999999996</c:v>
                </c:pt>
                <c:pt idx="10">
                  <c:v>-0.70605399999999996</c:v>
                </c:pt>
                <c:pt idx="11">
                  <c:v>-0.66276199999999996</c:v>
                </c:pt>
                <c:pt idx="12">
                  <c:v>-0.710283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40.752212</c:v>
                </c:pt>
                <c:pt idx="1">
                  <c:v>36.577028999999996</c:v>
                </c:pt>
                <c:pt idx="2">
                  <c:v>47.925082000000003</c:v>
                </c:pt>
                <c:pt idx="3">
                  <c:v>77.204378999999989</c:v>
                </c:pt>
                <c:pt idx="4">
                  <c:v>124.68270699999999</c:v>
                </c:pt>
                <c:pt idx="5">
                  <c:v>118.33977300000001</c:v>
                </c:pt>
                <c:pt idx="6">
                  <c:v>82.054295999999994</c:v>
                </c:pt>
                <c:pt idx="7">
                  <c:v>61.254111000000002</c:v>
                </c:pt>
                <c:pt idx="8">
                  <c:v>30.185099999999998</c:v>
                </c:pt>
                <c:pt idx="9">
                  <c:v>28.263148000000001</c:v>
                </c:pt>
                <c:pt idx="10">
                  <c:v>30.443576</c:v>
                </c:pt>
                <c:pt idx="11">
                  <c:v>28.621776999999998</c:v>
                </c:pt>
                <c:pt idx="12">
                  <c:v>30.374336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233.28242</c:v>
                </c:pt>
                <c:pt idx="1">
                  <c:v>207.738203</c:v>
                </c:pt>
                <c:pt idx="2">
                  <c:v>231.47546199999999</c:v>
                </c:pt>
                <c:pt idx="3">
                  <c:v>269.55010299999998</c:v>
                </c:pt>
                <c:pt idx="4">
                  <c:v>316.35504600000002</c:v>
                </c:pt>
                <c:pt idx="5">
                  <c:v>324.37696499999998</c:v>
                </c:pt>
                <c:pt idx="6">
                  <c:v>296.32292799999999</c:v>
                </c:pt>
                <c:pt idx="7">
                  <c:v>247.112684</c:v>
                </c:pt>
                <c:pt idx="8">
                  <c:v>224.26124200000001</c:v>
                </c:pt>
                <c:pt idx="9">
                  <c:v>233.91494</c:v>
                </c:pt>
                <c:pt idx="10">
                  <c:v>244.02029300000001</c:v>
                </c:pt>
                <c:pt idx="11">
                  <c:v>218.49136100000001</c:v>
                </c:pt>
                <c:pt idx="12">
                  <c:v>213.548517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0.20035</c:v>
                </c:pt>
                <c:pt idx="1">
                  <c:v>0.12734500000000001</c:v>
                </c:pt>
                <c:pt idx="2">
                  <c:v>0.24965100000000001</c:v>
                </c:pt>
                <c:pt idx="3">
                  <c:v>5.6180000000000001E-2</c:v>
                </c:pt>
                <c:pt idx="4">
                  <c:v>0.118565</c:v>
                </c:pt>
                <c:pt idx="5">
                  <c:v>9.7920999999999994E-2</c:v>
                </c:pt>
                <c:pt idx="6">
                  <c:v>0</c:v>
                </c:pt>
                <c:pt idx="7">
                  <c:v>1.0359999999999999E-2</c:v>
                </c:pt>
                <c:pt idx="8">
                  <c:v>8.7279999999999996E-3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35.774521</c:v>
                </c:pt>
                <c:pt idx="1">
                  <c:v>38.851148000000002</c:v>
                </c:pt>
                <c:pt idx="2">
                  <c:v>34.004562</c:v>
                </c:pt>
                <c:pt idx="3">
                  <c:v>36.423403999999998</c:v>
                </c:pt>
                <c:pt idx="4">
                  <c:v>41.343387999999997</c:v>
                </c:pt>
                <c:pt idx="5">
                  <c:v>44.372684</c:v>
                </c:pt>
                <c:pt idx="6">
                  <c:v>34.510787000000001</c:v>
                </c:pt>
                <c:pt idx="7">
                  <c:v>32.549160999999998</c:v>
                </c:pt>
                <c:pt idx="8">
                  <c:v>23.864156000000001</c:v>
                </c:pt>
                <c:pt idx="9">
                  <c:v>22.334897999999999</c:v>
                </c:pt>
                <c:pt idx="10">
                  <c:v>23.767339</c:v>
                </c:pt>
                <c:pt idx="11">
                  <c:v>30.739825</c:v>
                </c:pt>
                <c:pt idx="12">
                  <c:v>45.238748000000001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0.11230800000000001</c:v>
                </c:pt>
                <c:pt idx="1">
                  <c:v>7.399E-2</c:v>
                </c:pt>
                <c:pt idx="2">
                  <c:v>9.0162999999999993E-2</c:v>
                </c:pt>
                <c:pt idx="3">
                  <c:v>8.4139000000000005E-2</c:v>
                </c:pt>
                <c:pt idx="4">
                  <c:v>3.7238E-2</c:v>
                </c:pt>
                <c:pt idx="5">
                  <c:v>2.6629E-2</c:v>
                </c:pt>
                <c:pt idx="6">
                  <c:v>3.1858999999999998E-2</c:v>
                </c:pt>
                <c:pt idx="7">
                  <c:v>3.9587999999999998E-2</c:v>
                </c:pt>
                <c:pt idx="8">
                  <c:v>0.134767</c:v>
                </c:pt>
                <c:pt idx="9">
                  <c:v>0.12625700000000001</c:v>
                </c:pt>
                <c:pt idx="10">
                  <c:v>0.103766</c:v>
                </c:pt>
                <c:pt idx="11">
                  <c:v>3.9530000000000003E-2</c:v>
                </c:pt>
                <c:pt idx="12">
                  <c:v>4.0002000000000003E-2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3.577315</c:v>
                </c:pt>
                <c:pt idx="1">
                  <c:v>3.6179220000000001</c:v>
                </c:pt>
                <c:pt idx="2">
                  <c:v>3.5173019999999999</c:v>
                </c:pt>
                <c:pt idx="3">
                  <c:v>3.783118</c:v>
                </c:pt>
                <c:pt idx="4">
                  <c:v>3.2446030000000001</c:v>
                </c:pt>
                <c:pt idx="5">
                  <c:v>3.7400570000000002</c:v>
                </c:pt>
                <c:pt idx="6">
                  <c:v>3.104663</c:v>
                </c:pt>
                <c:pt idx="7">
                  <c:v>1.7294940000000001</c:v>
                </c:pt>
                <c:pt idx="8">
                  <c:v>2.8349500000000001</c:v>
                </c:pt>
                <c:pt idx="9">
                  <c:v>3.210191</c:v>
                </c:pt>
                <c:pt idx="10">
                  <c:v>3.9370180000000001</c:v>
                </c:pt>
                <c:pt idx="11">
                  <c:v>3.7397490000000002</c:v>
                </c:pt>
                <c:pt idx="12">
                  <c:v>3.4851179999999999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9.6378819999999994</c:v>
                </c:pt>
                <c:pt idx="1">
                  <c:v>10.65733</c:v>
                </c:pt>
                <c:pt idx="2">
                  <c:v>12.228600500000001</c:v>
                </c:pt>
                <c:pt idx="3">
                  <c:v>15.5976535</c:v>
                </c:pt>
                <c:pt idx="4">
                  <c:v>12.5411815</c:v>
                </c:pt>
                <c:pt idx="5">
                  <c:v>14.683114</c:v>
                </c:pt>
                <c:pt idx="6">
                  <c:v>9.9340825000000006</c:v>
                </c:pt>
                <c:pt idx="7">
                  <c:v>10.860910000000001</c:v>
                </c:pt>
                <c:pt idx="8">
                  <c:v>10.810193999999999</c:v>
                </c:pt>
                <c:pt idx="9">
                  <c:v>8.9918355000000005</c:v>
                </c:pt>
                <c:pt idx="10">
                  <c:v>10.485035</c:v>
                </c:pt>
                <c:pt idx="11">
                  <c:v>5.6085469999999997</c:v>
                </c:pt>
                <c:pt idx="12">
                  <c:v>12.829401000000001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9.6378819999999994</c:v>
                </c:pt>
                <c:pt idx="1">
                  <c:v>10.65733</c:v>
                </c:pt>
                <c:pt idx="2">
                  <c:v>12.228600500000001</c:v>
                </c:pt>
                <c:pt idx="3">
                  <c:v>15.5976535</c:v>
                </c:pt>
                <c:pt idx="4">
                  <c:v>12.5411815</c:v>
                </c:pt>
                <c:pt idx="5">
                  <c:v>14.683114</c:v>
                </c:pt>
                <c:pt idx="6">
                  <c:v>9.9340825000000006</c:v>
                </c:pt>
                <c:pt idx="7">
                  <c:v>10.860910000000001</c:v>
                </c:pt>
                <c:pt idx="8">
                  <c:v>10.810193999999999</c:v>
                </c:pt>
                <c:pt idx="9">
                  <c:v>8.9918355000000005</c:v>
                </c:pt>
                <c:pt idx="10">
                  <c:v>10.485035</c:v>
                </c:pt>
                <c:pt idx="11">
                  <c:v>5.6085469999999997</c:v>
                </c:pt>
                <c:pt idx="12">
                  <c:v>12.829401000000001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82.194308000000007</c:v>
                </c:pt>
                <c:pt idx="1">
                  <c:v>98.033413999999993</c:v>
                </c:pt>
                <c:pt idx="2">
                  <c:v>118.762416</c:v>
                </c:pt>
                <c:pt idx="3">
                  <c:v>124.350134</c:v>
                </c:pt>
                <c:pt idx="4">
                  <c:v>168.54782399999999</c:v>
                </c:pt>
                <c:pt idx="5">
                  <c:v>175.00929099999999</c:v>
                </c:pt>
                <c:pt idx="6">
                  <c:v>130.854702</c:v>
                </c:pt>
                <c:pt idx="7">
                  <c:v>131.44748999999999</c:v>
                </c:pt>
                <c:pt idx="8">
                  <c:v>70.767787999999996</c:v>
                </c:pt>
                <c:pt idx="9">
                  <c:v>112.440268</c:v>
                </c:pt>
                <c:pt idx="10">
                  <c:v>122.760274</c:v>
                </c:pt>
                <c:pt idx="11">
                  <c:v>114.74408200000001</c:v>
                </c:pt>
                <c:pt idx="12">
                  <c:v>110.667727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14.75724889213163</c:v>
                </c:pt>
                <c:pt idx="1">
                  <c:v>15.759243213390098</c:v>
                </c:pt>
                <c:pt idx="2">
                  <c:v>14.605935947211899</c:v>
                </c:pt>
                <c:pt idx="3">
                  <c:v>26.189244506707233</c:v>
                </c:pt>
                <c:pt idx="4">
                  <c:v>1.1560308991867532</c:v>
                </c:pt>
                <c:pt idx="5">
                  <c:v>4.599913525559856E-2</c:v>
                </c:pt>
                <c:pt idx="6">
                  <c:v>0.34257250729827343</c:v>
                </c:pt>
                <c:pt idx="7">
                  <c:v>19.510291117950256</c:v>
                </c:pt>
                <c:pt idx="8">
                  <c:v>7.4084011691836249</c:v>
                </c:pt>
                <c:pt idx="9">
                  <c:v>0.22503261168462557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629921258925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7398668459125535"/>
                  <c:y val="9.911751968503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7886178861788621"/>
                  <c:y val="-5.2786614173228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00813008130081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8536598169131285"/>
                  <c:y val="-0.122548826617261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21.545723234906468</c:v>
                </c:pt>
                <c:pt idx="1">
                  <c:v>3.1452220377296323</c:v>
                </c:pt>
                <c:pt idx="2">
                  <c:v>16.022651906837876</c:v>
                </c:pt>
                <c:pt idx="3">
                  <c:v>42.244284300257235</c:v>
                </c:pt>
                <c:pt idx="4">
                  <c:v>0</c:v>
                </c:pt>
                <c:pt idx="5">
                  <c:v>3.76821006005746E-2</c:v>
                </c:pt>
                <c:pt idx="6">
                  <c:v>0.2194116258735257</c:v>
                </c:pt>
                <c:pt idx="7">
                  <c:v>12.327029636376221</c:v>
                </c:pt>
                <c:pt idx="8">
                  <c:v>4.3781376676756594</c:v>
                </c:pt>
                <c:pt idx="9">
                  <c:v>7.985748974281319E-2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0.28212599999999999</c:v>
                </c:pt>
                <c:pt idx="1">
                  <c:v>0.27610800000000002</c:v>
                </c:pt>
                <c:pt idx="2">
                  <c:v>0.29790899999999998</c:v>
                </c:pt>
                <c:pt idx="3">
                  <c:v>0.28383700000000001</c:v>
                </c:pt>
                <c:pt idx="4">
                  <c:v>0.30198999999999998</c:v>
                </c:pt>
                <c:pt idx="5">
                  <c:v>0.28963</c:v>
                </c:pt>
                <c:pt idx="6">
                  <c:v>0.28927700000000001</c:v>
                </c:pt>
                <c:pt idx="7">
                  <c:v>0.30293500000000001</c:v>
                </c:pt>
                <c:pt idx="8">
                  <c:v>0.28046900000000002</c:v>
                </c:pt>
                <c:pt idx="9">
                  <c:v>0.30561100000000002</c:v>
                </c:pt>
                <c:pt idx="10">
                  <c:v>0.29624200000000001</c:v>
                </c:pt>
                <c:pt idx="11">
                  <c:v>0.28508299999999998</c:v>
                </c:pt>
                <c:pt idx="12">
                  <c:v>0.272924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261.84115199999997</c:v>
                </c:pt>
                <c:pt idx="1">
                  <c:v>260.1001</c:v>
                </c:pt>
                <c:pt idx="2">
                  <c:v>261.00792300000001</c:v>
                </c:pt>
                <c:pt idx="3">
                  <c:v>265.32891099999995</c:v>
                </c:pt>
                <c:pt idx="4">
                  <c:v>263.81678599999998</c:v>
                </c:pt>
                <c:pt idx="5">
                  <c:v>280.24951799999997</c:v>
                </c:pt>
                <c:pt idx="6">
                  <c:v>278.46901400000002</c:v>
                </c:pt>
                <c:pt idx="7">
                  <c:v>329.85294699999997</c:v>
                </c:pt>
                <c:pt idx="8">
                  <c:v>283.46044599999999</c:v>
                </c:pt>
                <c:pt idx="9">
                  <c:v>293.933269</c:v>
                </c:pt>
                <c:pt idx="10">
                  <c:v>313.17357400000003</c:v>
                </c:pt>
                <c:pt idx="11">
                  <c:v>271.07811399999997</c:v>
                </c:pt>
                <c:pt idx="12">
                  <c:v>294.88053000000002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284.83144399999998</c:v>
                </c:pt>
                <c:pt idx="1">
                  <c:v>279.54366599999997</c:v>
                </c:pt>
                <c:pt idx="2">
                  <c:v>275.34098399999999</c:v>
                </c:pt>
                <c:pt idx="3">
                  <c:v>351.45923099999999</c:v>
                </c:pt>
                <c:pt idx="4">
                  <c:v>250.52108799999999</c:v>
                </c:pt>
                <c:pt idx="5">
                  <c:v>306.93109600000003</c:v>
                </c:pt>
                <c:pt idx="6">
                  <c:v>329.65078499999998</c:v>
                </c:pt>
                <c:pt idx="7">
                  <c:v>385.37423100000001</c:v>
                </c:pt>
                <c:pt idx="8">
                  <c:v>320.60776499999997</c:v>
                </c:pt>
                <c:pt idx="9">
                  <c:v>343.70541600000001</c:v>
                </c:pt>
                <c:pt idx="10">
                  <c:v>348.60822999999999</c:v>
                </c:pt>
                <c:pt idx="11">
                  <c:v>282.95672999999999</c:v>
                </c:pt>
                <c:pt idx="12">
                  <c:v>305.966994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1.5724450000000001</c:v>
                </c:pt>
                <c:pt idx="1">
                  <c:v>1.573337</c:v>
                </c:pt>
                <c:pt idx="2">
                  <c:v>2.0671949999999999</c:v>
                </c:pt>
                <c:pt idx="3">
                  <c:v>0.80873799999999996</c:v>
                </c:pt>
                <c:pt idx="4">
                  <c:v>2.7590569999999999</c:v>
                </c:pt>
                <c:pt idx="5">
                  <c:v>2.6998280000000001</c:v>
                </c:pt>
                <c:pt idx="6">
                  <c:v>1.3149919999999999</c:v>
                </c:pt>
                <c:pt idx="7">
                  <c:v>0.44324000000000002</c:v>
                </c:pt>
                <c:pt idx="8">
                  <c:v>1.0899650000000001</c:v>
                </c:pt>
                <c:pt idx="9">
                  <c:v>0.66913</c:v>
                </c:pt>
                <c:pt idx="10">
                  <c:v>0.66808100000000004</c:v>
                </c:pt>
                <c:pt idx="11">
                  <c:v>1.414679</c:v>
                </c:pt>
                <c:pt idx="12">
                  <c:v>1.5891550000000001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130.23741999999999</c:v>
                </c:pt>
                <c:pt idx="1">
                  <c:v>103.685765</c:v>
                </c:pt>
                <c:pt idx="2">
                  <c:v>131.84913700000001</c:v>
                </c:pt>
                <c:pt idx="3">
                  <c:v>63.874986999999997</c:v>
                </c:pt>
                <c:pt idx="4">
                  <c:v>209.60142099999999</c:v>
                </c:pt>
                <c:pt idx="5">
                  <c:v>178.40248800000001</c:v>
                </c:pt>
                <c:pt idx="6">
                  <c:v>103.232878</c:v>
                </c:pt>
                <c:pt idx="7">
                  <c:v>57.758575</c:v>
                </c:pt>
                <c:pt idx="8">
                  <c:v>99.872924999999995</c:v>
                </c:pt>
                <c:pt idx="9">
                  <c:v>70.816050000000004</c:v>
                </c:pt>
                <c:pt idx="10">
                  <c:v>53.196173999999999</c:v>
                </c:pt>
                <c:pt idx="11">
                  <c:v>108.751811</c:v>
                </c:pt>
                <c:pt idx="12">
                  <c:v>89.282236999999995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32.428702000000001</c:v>
                </c:pt>
                <c:pt idx="1">
                  <c:v>30.033574000000002</c:v>
                </c:pt>
                <c:pt idx="2">
                  <c:v>30.564440999999999</c:v>
                </c:pt>
                <c:pt idx="3">
                  <c:v>30.691880000000001</c:v>
                </c:pt>
                <c:pt idx="4">
                  <c:v>35.002752999999998</c:v>
                </c:pt>
                <c:pt idx="5">
                  <c:v>33.602015999999999</c:v>
                </c:pt>
                <c:pt idx="6">
                  <c:v>31.322213000000001</c:v>
                </c:pt>
                <c:pt idx="7">
                  <c:v>29.6997</c:v>
                </c:pt>
                <c:pt idx="8">
                  <c:v>24.842165000000001</c:v>
                </c:pt>
                <c:pt idx="9">
                  <c:v>23.549019999999999</c:v>
                </c:pt>
                <c:pt idx="10">
                  <c:v>24.433125</c:v>
                </c:pt>
                <c:pt idx="11">
                  <c:v>26.306543000000001</c:v>
                </c:pt>
                <c:pt idx="12">
                  <c:v>31.709985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mar.-23</c:v>
                </c:pt>
                <c:pt idx="1">
                  <c:v>abr.-23</c:v>
                </c:pt>
                <c:pt idx="2">
                  <c:v>may.-23</c:v>
                </c:pt>
                <c:pt idx="3">
                  <c:v>jun.-23</c:v>
                </c:pt>
                <c:pt idx="4">
                  <c:v>jul.-23</c:v>
                </c:pt>
                <c:pt idx="5">
                  <c:v>ago.-23</c:v>
                </c:pt>
                <c:pt idx="6">
                  <c:v>sep.-23</c:v>
                </c:pt>
                <c:pt idx="7">
                  <c:v>oct.-23</c:v>
                </c:pt>
                <c:pt idx="8">
                  <c:v>nov.-23</c:v>
                </c:pt>
                <c:pt idx="9">
                  <c:v>dic.-23</c:v>
                </c:pt>
                <c:pt idx="10">
                  <c:v>ene.-24</c:v>
                </c:pt>
                <c:pt idx="11">
                  <c:v>feb.-24</c:v>
                </c:pt>
                <c:pt idx="12">
                  <c:v>mar.-24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0.73842799999999997</c:v>
                </c:pt>
                <c:pt idx="1">
                  <c:v>0.63095199999999996</c:v>
                </c:pt>
                <c:pt idx="2">
                  <c:v>0.65055600000000002</c:v>
                </c:pt>
                <c:pt idx="3">
                  <c:v>0.66513100000000003</c:v>
                </c:pt>
                <c:pt idx="4">
                  <c:v>0.64607300000000001</c:v>
                </c:pt>
                <c:pt idx="5">
                  <c:v>0.37482700000000002</c:v>
                </c:pt>
                <c:pt idx="6">
                  <c:v>0.37211699999999998</c:v>
                </c:pt>
                <c:pt idx="7">
                  <c:v>0.52430399999999999</c:v>
                </c:pt>
                <c:pt idx="8">
                  <c:v>0.42454199999999997</c:v>
                </c:pt>
                <c:pt idx="9">
                  <c:v>0.44537900000000002</c:v>
                </c:pt>
                <c:pt idx="10">
                  <c:v>0.50013399999999997</c:v>
                </c:pt>
                <c:pt idx="11">
                  <c:v>0.49944300000000003</c:v>
                </c:pt>
                <c:pt idx="12">
                  <c:v>0.57839200000000002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Marzo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Normal="100" workbookViewId="0"/>
  </sheetViews>
  <sheetFormatPr baseColWidth="10" defaultColWidth="11.42578125" defaultRowHeight="12"/>
  <cols>
    <col min="1" max="1" width="9.140625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120</v>
      </c>
      <c r="B2" s="133" t="s">
        <v>121</v>
      </c>
    </row>
    <row r="4" spans="1:33" ht="15">
      <c r="A4" s="134" t="s">
        <v>67</v>
      </c>
      <c r="B4" s="199" t="s">
        <v>120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15" t="s">
        <v>15</v>
      </c>
      <c r="C5" s="216"/>
      <c r="D5" s="216"/>
      <c r="E5" s="216"/>
      <c r="F5" s="216"/>
      <c r="G5" s="216"/>
      <c r="H5" s="216"/>
      <c r="I5" s="217"/>
      <c r="J5" s="215" t="s">
        <v>14</v>
      </c>
      <c r="K5" s="216"/>
      <c r="L5" s="216"/>
      <c r="M5" s="216"/>
      <c r="N5" s="216"/>
      <c r="O5" s="216"/>
      <c r="P5" s="216"/>
      <c r="Q5" s="217"/>
      <c r="R5" s="215" t="s">
        <v>57</v>
      </c>
      <c r="S5" s="216"/>
      <c r="T5" s="216"/>
      <c r="U5" s="216"/>
      <c r="V5" s="216"/>
      <c r="W5" s="216"/>
      <c r="X5" s="216"/>
      <c r="Y5" s="217"/>
      <c r="Z5" s="215" t="s">
        <v>58</v>
      </c>
      <c r="AA5" s="216"/>
      <c r="AB5" s="216"/>
      <c r="AC5" s="216"/>
      <c r="AD5" s="216"/>
      <c r="AE5" s="216"/>
      <c r="AF5" s="216"/>
      <c r="AG5" s="216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272.92399999999998</v>
      </c>
      <c r="AA8" s="169">
        <v>282.12599999999998</v>
      </c>
      <c r="AB8" s="170">
        <v>-3.2616632299999997E-2</v>
      </c>
      <c r="AC8" s="169">
        <v>854.24900000000002</v>
      </c>
      <c r="AD8" s="169">
        <v>811.52599999999995</v>
      </c>
      <c r="AE8" s="170">
        <v>5.2645263400000003E-2</v>
      </c>
      <c r="AF8" s="169">
        <v>3482.0149999999999</v>
      </c>
      <c r="AG8" s="170">
        <v>2.35861814E-2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-710.28300000000002</v>
      </c>
      <c r="S9" s="169">
        <v>-518.34</v>
      </c>
      <c r="T9" s="170">
        <v>0.3703032758</v>
      </c>
      <c r="U9" s="169">
        <v>-2079.0990000000002</v>
      </c>
      <c r="V9" s="169">
        <v>-1953.0309999999999</v>
      </c>
      <c r="W9" s="170">
        <v>6.4549922699999998E-2</v>
      </c>
      <c r="X9" s="169">
        <v>60365.964</v>
      </c>
      <c r="Y9" s="170">
        <v>-0.2317471009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15261.883</v>
      </c>
      <c r="C10" s="169">
        <v>15377.986999999999</v>
      </c>
      <c r="D10" s="170">
        <v>-7.5500128999999999E-3</v>
      </c>
      <c r="E10" s="169">
        <v>45847.618000000002</v>
      </c>
      <c r="F10" s="169">
        <v>47705.849000000002</v>
      </c>
      <c r="G10" s="170">
        <v>-3.8951848400000003E-2</v>
      </c>
      <c r="H10" s="169">
        <v>184417.66200000001</v>
      </c>
      <c r="I10" s="170">
        <v>-4.4716045400000001E-2</v>
      </c>
      <c r="J10" s="169">
        <v>14486.001</v>
      </c>
      <c r="K10" s="169">
        <v>14303.125</v>
      </c>
      <c r="L10" s="170">
        <v>1.27857374E-2</v>
      </c>
      <c r="M10" s="169">
        <v>44151.500999999997</v>
      </c>
      <c r="N10" s="169">
        <v>43630.635999999999</v>
      </c>
      <c r="O10" s="170">
        <v>1.19380566E-2</v>
      </c>
      <c r="P10" s="169">
        <v>191607.087</v>
      </c>
      <c r="Q10" s="170">
        <v>4.3812018500000001E-2</v>
      </c>
      <c r="R10" s="169">
        <v>5435.7849999999999</v>
      </c>
      <c r="S10" s="169">
        <v>6219.2920000000004</v>
      </c>
      <c r="T10" s="170">
        <v>-0.1259800955</v>
      </c>
      <c r="U10" s="169">
        <v>15548.598</v>
      </c>
      <c r="V10" s="169">
        <v>26245.948</v>
      </c>
      <c r="W10" s="170">
        <v>-0.40758101019999998</v>
      </c>
      <c r="X10" s="169">
        <v>240106.74600000001</v>
      </c>
      <c r="Y10" s="170">
        <v>-0.2975596841</v>
      </c>
      <c r="Z10" s="169">
        <v>156051.41099999999</v>
      </c>
      <c r="AA10" s="169">
        <v>141362.58799999999</v>
      </c>
      <c r="AB10" s="170">
        <v>0.1039088433</v>
      </c>
      <c r="AC10" s="169">
        <v>470418.29700000002</v>
      </c>
      <c r="AD10" s="169">
        <v>442208.15700000001</v>
      </c>
      <c r="AE10" s="170">
        <v>6.3793802900000002E-2</v>
      </c>
      <c r="AF10" s="169">
        <v>1911369.1470000001</v>
      </c>
      <c r="AG10" s="170">
        <v>7.7218823300000003E-2</v>
      </c>
    </row>
    <row r="11" spans="1:33">
      <c r="A11" s="133" t="s">
        <v>9</v>
      </c>
      <c r="B11" s="169">
        <v>86.876000000000005</v>
      </c>
      <c r="C11" s="169">
        <v>8.3480000000000008</v>
      </c>
      <c r="D11" s="170">
        <v>9.4068040248999996</v>
      </c>
      <c r="E11" s="169">
        <v>90.534999999999997</v>
      </c>
      <c r="F11" s="169">
        <v>22.960999999999999</v>
      </c>
      <c r="G11" s="170">
        <v>2.9429902878999998</v>
      </c>
      <c r="H11" s="169">
        <v>320.81299999999999</v>
      </c>
      <c r="I11" s="170">
        <v>-0.30292291180000003</v>
      </c>
      <c r="J11" s="169">
        <v>1.7270000000000001</v>
      </c>
      <c r="K11" s="169">
        <v>2.1070000000000002</v>
      </c>
      <c r="L11" s="170">
        <v>-0.18035121030000001</v>
      </c>
      <c r="M11" s="169">
        <v>5.9370000000000003</v>
      </c>
      <c r="N11" s="169">
        <v>7.6420000000000003</v>
      </c>
      <c r="O11" s="170">
        <v>-0.22310913369999999</v>
      </c>
      <c r="P11" s="169">
        <v>42.430999999999997</v>
      </c>
      <c r="Q11" s="170">
        <v>-0.58492134920000005</v>
      </c>
      <c r="R11" s="169">
        <v>24938.550999999999</v>
      </c>
      <c r="S11" s="169">
        <v>34532.92</v>
      </c>
      <c r="T11" s="170">
        <v>-0.27783254359999998</v>
      </c>
      <c r="U11" s="169">
        <v>73891.091</v>
      </c>
      <c r="V11" s="169">
        <v>116246.447</v>
      </c>
      <c r="W11" s="170">
        <v>-0.36435828440000001</v>
      </c>
      <c r="X11" s="169">
        <v>455818.56800000003</v>
      </c>
      <c r="Y11" s="170">
        <v>-2.8642946499999999E-2</v>
      </c>
      <c r="Z11" s="169">
        <v>22780.221000000001</v>
      </c>
      <c r="AA11" s="169">
        <v>16813.075000000001</v>
      </c>
      <c r="AB11" s="170">
        <v>0.3549110439</v>
      </c>
      <c r="AC11" s="169">
        <v>74113.620999999999</v>
      </c>
      <c r="AD11" s="169">
        <v>58564.061999999998</v>
      </c>
      <c r="AE11" s="170">
        <v>0.26551366949999999</v>
      </c>
      <c r="AF11" s="169">
        <v>271521.78700000001</v>
      </c>
      <c r="AG11" s="170">
        <v>6.5376246599999993E-2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116048.898</v>
      </c>
      <c r="AA12" s="169">
        <v>103679.242</v>
      </c>
      <c r="AB12" s="170">
        <v>0.1193069679</v>
      </c>
      <c r="AC12" s="169">
        <v>334600.3</v>
      </c>
      <c r="AD12" s="169">
        <v>339761.68</v>
      </c>
      <c r="AE12" s="170">
        <v>-1.51911775E-2</v>
      </c>
      <c r="AF12" s="169">
        <v>1212488.6159999999</v>
      </c>
      <c r="AG12" s="170">
        <v>-2.86336757385442E-5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213548.51699999999</v>
      </c>
      <c r="S13" s="169">
        <v>233282.42</v>
      </c>
      <c r="T13" s="170">
        <v>-8.4592327999999994E-2</v>
      </c>
      <c r="U13" s="169">
        <v>676060.17099999997</v>
      </c>
      <c r="V13" s="169">
        <v>720124.05200000003</v>
      </c>
      <c r="W13" s="170">
        <v>-6.1189292100000001E-2</v>
      </c>
      <c r="X13" s="169">
        <v>3027167.7439999999</v>
      </c>
      <c r="Y13" s="170">
        <v>-0.18757609210000001</v>
      </c>
      <c r="Z13" s="169">
        <v>305966.99400000001</v>
      </c>
      <c r="AA13" s="169">
        <v>284831.44400000002</v>
      </c>
      <c r="AB13" s="170">
        <v>7.4203710500000006E-2</v>
      </c>
      <c r="AC13" s="169">
        <v>937531.95400000003</v>
      </c>
      <c r="AD13" s="169">
        <v>853583.38899999997</v>
      </c>
      <c r="AE13" s="170">
        <v>9.8348405200000003E-2</v>
      </c>
      <c r="AF13" s="169">
        <v>3780666.216</v>
      </c>
      <c r="AG13" s="170">
        <v>7.4237348199999997E-2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-1</v>
      </c>
      <c r="Z14" s="169">
        <v>0</v>
      </c>
      <c r="AA14" s="169">
        <v>-13.753</v>
      </c>
      <c r="AB14" s="170">
        <v>-1</v>
      </c>
      <c r="AC14" s="169">
        <v>0</v>
      </c>
      <c r="AD14" s="169">
        <v>-37.57</v>
      </c>
      <c r="AE14" s="170">
        <v>-1</v>
      </c>
      <c r="AF14" s="169">
        <v>-28.417999999999999</v>
      </c>
      <c r="AG14" s="170">
        <v>-0.72474380579999997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1589.155</v>
      </c>
      <c r="AA15" s="169">
        <v>1572.4449999999999</v>
      </c>
      <c r="AB15" s="170">
        <v>1.06267628E-2</v>
      </c>
      <c r="AC15" s="169">
        <v>3671.915</v>
      </c>
      <c r="AD15" s="169">
        <v>4051.29</v>
      </c>
      <c r="AE15" s="170">
        <v>-9.3643012499999997E-2</v>
      </c>
      <c r="AF15" s="169">
        <v>17097.397000000001</v>
      </c>
      <c r="AG15" s="170">
        <v>-0.2302925109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200.35</v>
      </c>
      <c r="T16" s="170">
        <v>-1</v>
      </c>
      <c r="U16" s="169">
        <v>0</v>
      </c>
      <c r="V16" s="169">
        <v>599.32000000000005</v>
      </c>
      <c r="W16" s="170">
        <v>-1</v>
      </c>
      <c r="X16" s="169">
        <v>668.75</v>
      </c>
      <c r="Y16" s="170">
        <v>-0.47190828460000001</v>
      </c>
      <c r="Z16" s="169">
        <v>89282.236999999994</v>
      </c>
      <c r="AA16" s="169">
        <v>130237.42</v>
      </c>
      <c r="AB16" s="170">
        <v>-0.31446555840000001</v>
      </c>
      <c r="AC16" s="169">
        <v>251230.22200000001</v>
      </c>
      <c r="AD16" s="169">
        <v>305636.09600000002</v>
      </c>
      <c r="AE16" s="170">
        <v>-0.1780086669</v>
      </c>
      <c r="AF16" s="169">
        <v>1270324.4480000001</v>
      </c>
      <c r="AG16" s="170">
        <v>-0.1055595734</v>
      </c>
    </row>
    <row r="17" spans="1:33">
      <c r="A17" s="133" t="s">
        <v>4</v>
      </c>
      <c r="B17" s="169">
        <v>0</v>
      </c>
      <c r="C17" s="169">
        <v>0</v>
      </c>
      <c r="D17" s="170">
        <v>0</v>
      </c>
      <c r="E17" s="169">
        <v>0</v>
      </c>
      <c r="F17" s="169">
        <v>0</v>
      </c>
      <c r="G17" s="170">
        <v>0</v>
      </c>
      <c r="H17" s="169">
        <v>0</v>
      </c>
      <c r="I17" s="170">
        <v>0</v>
      </c>
      <c r="J17" s="169">
        <v>5.8650000000000002</v>
      </c>
      <c r="K17" s="169">
        <v>7.6130000000000004</v>
      </c>
      <c r="L17" s="170">
        <v>-0.2296072508</v>
      </c>
      <c r="M17" s="169">
        <v>14.231</v>
      </c>
      <c r="N17" s="169">
        <v>16.242999999999999</v>
      </c>
      <c r="O17" s="170">
        <v>-0.1238687435</v>
      </c>
      <c r="P17" s="169">
        <v>74.515000000000001</v>
      </c>
      <c r="Q17" s="170">
        <v>9.9894276999999993E-3</v>
      </c>
      <c r="R17" s="169">
        <v>45238.748</v>
      </c>
      <c r="S17" s="169">
        <v>35774.521000000001</v>
      </c>
      <c r="T17" s="170">
        <v>0.26455216549999999</v>
      </c>
      <c r="U17" s="169">
        <v>99745.911999999997</v>
      </c>
      <c r="V17" s="169">
        <v>76807.796000000002</v>
      </c>
      <c r="W17" s="170">
        <v>0.29864307000000001</v>
      </c>
      <c r="X17" s="169">
        <v>408000.1</v>
      </c>
      <c r="Y17" s="170">
        <v>0.3588033544</v>
      </c>
      <c r="Z17" s="169">
        <v>31709.985000000001</v>
      </c>
      <c r="AA17" s="169">
        <v>32428.702000000001</v>
      </c>
      <c r="AB17" s="170">
        <v>-2.2162990099999998E-2</v>
      </c>
      <c r="AC17" s="169">
        <v>82449.653000000006</v>
      </c>
      <c r="AD17" s="169">
        <v>74933.081999999995</v>
      </c>
      <c r="AE17" s="170">
        <v>0.1003104477</v>
      </c>
      <c r="AF17" s="169">
        <v>351757.41499999998</v>
      </c>
      <c r="AG17" s="170">
        <v>7.4238716999999996E-2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40.002000000000002</v>
      </c>
      <c r="S18" s="169">
        <v>112.30800000000001</v>
      </c>
      <c r="T18" s="170">
        <v>-0.64381878410000004</v>
      </c>
      <c r="U18" s="169">
        <v>183.298</v>
      </c>
      <c r="V18" s="169">
        <v>341.91500000000002</v>
      </c>
      <c r="W18" s="170">
        <v>-0.46390769640000001</v>
      </c>
      <c r="X18" s="169">
        <v>827.928</v>
      </c>
      <c r="Y18" s="170">
        <v>-0.34661472799999998</v>
      </c>
      <c r="Z18" s="169">
        <v>578.39200000000005</v>
      </c>
      <c r="AA18" s="169">
        <v>738.428</v>
      </c>
      <c r="AB18" s="170">
        <v>-0.2167252596</v>
      </c>
      <c r="AC18" s="169">
        <v>1577.9690000000001</v>
      </c>
      <c r="AD18" s="169">
        <v>2233.6480000000001</v>
      </c>
      <c r="AE18" s="170">
        <v>-0.2935462526</v>
      </c>
      <c r="AF18" s="169">
        <v>6311.85</v>
      </c>
      <c r="AG18" s="170">
        <v>-0.27147999150000002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3485.1179999999999</v>
      </c>
      <c r="S19" s="169">
        <v>3577.3150000000001</v>
      </c>
      <c r="T19" s="170">
        <v>-2.5772681499999998E-2</v>
      </c>
      <c r="U19" s="169">
        <v>11161.885</v>
      </c>
      <c r="V19" s="169">
        <v>9627.0499999999993</v>
      </c>
      <c r="W19" s="170">
        <v>0.1594294202</v>
      </c>
      <c r="X19" s="169">
        <v>39944.184999999998</v>
      </c>
      <c r="Y19" s="170">
        <v>0.56466031429999997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504.22449999999998</v>
      </c>
      <c r="K20" s="169">
        <v>443.90100000000001</v>
      </c>
      <c r="L20" s="170">
        <v>0.1358940394</v>
      </c>
      <c r="M20" s="169">
        <v>1454.7394999999999</v>
      </c>
      <c r="N20" s="169">
        <v>1352.5364999999999</v>
      </c>
      <c r="O20" s="170">
        <v>7.5563949699999994E-2</v>
      </c>
      <c r="P20" s="169">
        <v>5515.9780000000001</v>
      </c>
      <c r="Q20" s="170">
        <v>-2.7279745000000001E-2</v>
      </c>
      <c r="R20" s="169">
        <v>12829.401</v>
      </c>
      <c r="S20" s="169">
        <v>9637.8819999999996</v>
      </c>
      <c r="T20" s="170">
        <v>0.331143191</v>
      </c>
      <c r="U20" s="169">
        <v>28922.983</v>
      </c>
      <c r="V20" s="169">
        <v>26829.592499999999</v>
      </c>
      <c r="W20" s="170">
        <v>7.8025430300000004E-2</v>
      </c>
      <c r="X20" s="169">
        <v>135227.88449999999</v>
      </c>
      <c r="Y20" s="170">
        <v>2.3193683000000001E-3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504.22449999999998</v>
      </c>
      <c r="K21" s="169">
        <v>443.90100000000001</v>
      </c>
      <c r="L21" s="170">
        <v>0.1358940394</v>
      </c>
      <c r="M21" s="169">
        <v>1454.7394999999999</v>
      </c>
      <c r="N21" s="169">
        <v>1352.5364999999999</v>
      </c>
      <c r="O21" s="170">
        <v>7.5563949699999994E-2</v>
      </c>
      <c r="P21" s="169">
        <v>5515.9780000000001</v>
      </c>
      <c r="Q21" s="170">
        <v>-2.7279745000000001E-2</v>
      </c>
      <c r="R21" s="169">
        <v>12829.401</v>
      </c>
      <c r="S21" s="169">
        <v>9637.8819999999996</v>
      </c>
      <c r="T21" s="170">
        <v>0.331143191</v>
      </c>
      <c r="U21" s="169">
        <v>28922.983</v>
      </c>
      <c r="V21" s="169">
        <v>26829.592499999999</v>
      </c>
      <c r="W21" s="170">
        <v>7.8025430300000004E-2</v>
      </c>
      <c r="X21" s="169">
        <v>135227.88449999999</v>
      </c>
      <c r="Y21" s="170">
        <v>2.3193683000000001E-3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15348.759</v>
      </c>
      <c r="C22" s="171">
        <v>15386.334999999999</v>
      </c>
      <c r="D22" s="172">
        <v>-2.4421669999999999E-3</v>
      </c>
      <c r="E22" s="171">
        <v>45938.152999999998</v>
      </c>
      <c r="F22" s="171">
        <v>47728.81</v>
      </c>
      <c r="G22" s="172">
        <v>-3.7517319200000003E-2</v>
      </c>
      <c r="H22" s="171">
        <v>184738.47500000001</v>
      </c>
      <c r="I22" s="172">
        <v>-4.5330139399999997E-2</v>
      </c>
      <c r="J22" s="171">
        <v>15502.041999999999</v>
      </c>
      <c r="K22" s="171">
        <v>15200.647000000001</v>
      </c>
      <c r="L22" s="172">
        <v>1.9827774400000001E-2</v>
      </c>
      <c r="M22" s="171">
        <v>47081.148000000001</v>
      </c>
      <c r="N22" s="171">
        <v>46359.593999999997</v>
      </c>
      <c r="O22" s="172">
        <v>1.55642864E-2</v>
      </c>
      <c r="P22" s="171">
        <v>202755.989</v>
      </c>
      <c r="Q22" s="172">
        <v>3.9336757799999997E-2</v>
      </c>
      <c r="R22" s="171">
        <v>317635.24</v>
      </c>
      <c r="S22" s="171">
        <v>332456.55</v>
      </c>
      <c r="T22" s="172">
        <v>-4.4581194099999999E-2</v>
      </c>
      <c r="U22" s="171">
        <v>932357.82200000004</v>
      </c>
      <c r="V22" s="171">
        <v>1001698.682</v>
      </c>
      <c r="W22" s="172">
        <v>-6.9223271700000005E-2</v>
      </c>
      <c r="X22" s="171">
        <v>4503355.7539999997</v>
      </c>
      <c r="Y22" s="172">
        <v>-0.13828215569999999</v>
      </c>
      <c r="Z22" s="171">
        <v>724280.21699999995</v>
      </c>
      <c r="AA22" s="171">
        <v>711931.71699999995</v>
      </c>
      <c r="AB22" s="172">
        <v>1.7345062299999998E-2</v>
      </c>
      <c r="AC22" s="171">
        <v>2156448.1800000002</v>
      </c>
      <c r="AD22" s="171">
        <v>2081745.36</v>
      </c>
      <c r="AE22" s="172">
        <v>3.5884705900000001E-2</v>
      </c>
      <c r="AF22" s="171">
        <v>8824990.4729999993</v>
      </c>
      <c r="AG22" s="172">
        <v>3.3008032800000003E-2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110667.727</v>
      </c>
      <c r="S23" s="169">
        <v>82194.308000000005</v>
      </c>
      <c r="T23" s="170">
        <v>0.34641594650000002</v>
      </c>
      <c r="U23" s="169">
        <v>348172.08299999998</v>
      </c>
      <c r="V23" s="169">
        <v>295878.701</v>
      </c>
      <c r="W23" s="170">
        <v>0.17673925779999999</v>
      </c>
      <c r="X23" s="169">
        <v>1478385.41</v>
      </c>
      <c r="Y23" s="170">
        <v>0.82683323799999997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15348.759</v>
      </c>
      <c r="C24" s="171">
        <v>15386.334999999999</v>
      </c>
      <c r="D24" s="172">
        <v>-2.4421669999999999E-3</v>
      </c>
      <c r="E24" s="171">
        <v>45938.152999999998</v>
      </c>
      <c r="F24" s="171">
        <v>47728.81</v>
      </c>
      <c r="G24" s="172">
        <v>-3.7517319200000003E-2</v>
      </c>
      <c r="H24" s="171">
        <v>184738.47500000001</v>
      </c>
      <c r="I24" s="172">
        <v>-4.5330139399999997E-2</v>
      </c>
      <c r="J24" s="171">
        <v>15502.041999999999</v>
      </c>
      <c r="K24" s="171">
        <v>15200.647000000001</v>
      </c>
      <c r="L24" s="172">
        <v>1.9827774400000001E-2</v>
      </c>
      <c r="M24" s="171">
        <v>47081.148000000001</v>
      </c>
      <c r="N24" s="171">
        <v>46359.593999999997</v>
      </c>
      <c r="O24" s="172">
        <v>1.55642864E-2</v>
      </c>
      <c r="P24" s="171">
        <v>202755.989</v>
      </c>
      <c r="Q24" s="172">
        <v>3.9336757799999997E-2</v>
      </c>
      <c r="R24" s="171">
        <v>428302.967</v>
      </c>
      <c r="S24" s="171">
        <v>414650.85800000001</v>
      </c>
      <c r="T24" s="172">
        <v>3.2924347600000001E-2</v>
      </c>
      <c r="U24" s="171">
        <v>1280529.905</v>
      </c>
      <c r="V24" s="171">
        <v>1297577.3829999999</v>
      </c>
      <c r="W24" s="172">
        <v>-1.3137927799999999E-2</v>
      </c>
      <c r="X24" s="171">
        <v>5981741.1639999999</v>
      </c>
      <c r="Y24" s="172">
        <v>-8.8713917E-3</v>
      </c>
      <c r="Z24" s="171">
        <v>724280.21699999995</v>
      </c>
      <c r="AA24" s="171">
        <v>711931.71699999995</v>
      </c>
      <c r="AB24" s="172">
        <v>1.7345062299999998E-2</v>
      </c>
      <c r="AC24" s="171">
        <v>2156448.1800000002</v>
      </c>
      <c r="AD24" s="171">
        <v>2081745.36</v>
      </c>
      <c r="AE24" s="172">
        <v>3.5884705900000001E-2</v>
      </c>
      <c r="AF24" s="171">
        <v>8824990.4729999993</v>
      </c>
      <c r="AG24" s="172">
        <v>3.3008032800000003E-2</v>
      </c>
    </row>
    <row r="25" spans="1:33">
      <c r="R25" s="162">
        <f>SUM(R10,R14)</f>
        <v>5435.7849999999999</v>
      </c>
      <c r="S25" s="162">
        <f>SUM(S10,S14)</f>
        <v>6219.2920000000004</v>
      </c>
      <c r="T25" s="163">
        <f>((R25/S25)-1)*100</f>
        <v>-12.598009548353739</v>
      </c>
    </row>
    <row r="26" spans="1:33">
      <c r="A26" s="102" t="s">
        <v>103</v>
      </c>
      <c r="B26" s="162">
        <f>SUM(B24,J24,R24,Z24)</f>
        <v>1183433.9849999999</v>
      </c>
      <c r="C26" s="162">
        <f>SUM(C24,K24,S24,AA24)</f>
        <v>1157169.557</v>
      </c>
      <c r="D26" s="163">
        <f>((B26/C26)-1)*100</f>
        <v>2.2697130114700981</v>
      </c>
      <c r="R26" s="179">
        <f>R23/R24</f>
        <v>0.2583865523397133</v>
      </c>
      <c r="S26" s="179">
        <f>S23/S24</f>
        <v>0.19822534166804981</v>
      </c>
      <c r="Z26" s="163"/>
    </row>
    <row r="29" spans="1:33" ht="15">
      <c r="A29" s="134" t="s">
        <v>67</v>
      </c>
      <c r="B29" s="199" t="str">
        <f>A2</f>
        <v>Marzo 2024</v>
      </c>
      <c r="C29" s="200"/>
    </row>
    <row r="30" spans="1:33" ht="15">
      <c r="A30" s="134" t="s">
        <v>69</v>
      </c>
      <c r="B30" s="210" t="s">
        <v>72</v>
      </c>
      <c r="C30" s="211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644.70000000000005</v>
      </c>
      <c r="D41" s="167"/>
    </row>
    <row r="42" spans="1:4">
      <c r="A42" s="133" t="s">
        <v>4</v>
      </c>
      <c r="B42" s="176">
        <v>333.21439500000002</v>
      </c>
      <c r="C42" s="176">
        <v>244.803945</v>
      </c>
      <c r="D42" s="167"/>
    </row>
    <row r="43" spans="1:4">
      <c r="A43" s="133" t="s">
        <v>22</v>
      </c>
      <c r="B43" s="176">
        <v>2.13</v>
      </c>
      <c r="C43" s="176">
        <v>7.4359999999999999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2231.8348950000004</v>
      </c>
      <c r="C47" s="177">
        <f>SUM(C33:C46)</f>
        <v>3304.4099450000003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10.807251044437136</v>
      </c>
      <c r="D52" s="165"/>
      <c r="F52" s="105" t="s">
        <v>10</v>
      </c>
      <c r="G52" s="106">
        <f>C35</f>
        <v>487.64</v>
      </c>
      <c r="H52" s="107">
        <f>G52/$G$62*100</f>
        <v>14.75724889213163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6.2459817396125077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15.759243213390098</v>
      </c>
    </row>
    <row r="54" spans="1:8">
      <c r="A54" s="105" t="s">
        <v>9</v>
      </c>
      <c r="B54" s="106">
        <f t="shared" si="1"/>
        <v>603.1</v>
      </c>
      <c r="C54" s="107">
        <f t="shared" si="0"/>
        <v>27.022608229270467</v>
      </c>
      <c r="D54" s="165"/>
      <c r="F54" s="105" t="s">
        <v>8</v>
      </c>
      <c r="G54" s="106">
        <f>C37</f>
        <v>482.64</v>
      </c>
      <c r="H54" s="107">
        <f t="shared" si="2"/>
        <v>14.605935947211899</v>
      </c>
    </row>
    <row r="55" spans="1:8">
      <c r="A55" s="105" t="s">
        <v>25</v>
      </c>
      <c r="B55" s="106">
        <f>B38</f>
        <v>822.9</v>
      </c>
      <c r="C55" s="107">
        <f t="shared" si="0"/>
        <v>36.871006983695352</v>
      </c>
      <c r="D55" s="165"/>
      <c r="F55" s="105" t="s">
        <v>25</v>
      </c>
      <c r="G55" s="106">
        <f>C38</f>
        <v>865.4</v>
      </c>
      <c r="H55" s="107">
        <f t="shared" si="2"/>
        <v>26.189244506707233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1.1560308991867532</v>
      </c>
    </row>
    <row r="57" spans="1:8">
      <c r="A57" s="105" t="s">
        <v>23</v>
      </c>
      <c r="B57" s="106">
        <f>B44</f>
        <v>11.523</v>
      </c>
      <c r="C57" s="107">
        <f t="shared" si="0"/>
        <v>0.516301632607998</v>
      </c>
      <c r="D57" s="165"/>
      <c r="F57" s="105" t="s">
        <v>12</v>
      </c>
      <c r="G57" s="107">
        <f>C33</f>
        <v>1.52</v>
      </c>
      <c r="H57" s="107">
        <f t="shared" si="2"/>
        <v>4.599913525559856E-2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1.6757511984326239</v>
      </c>
      <c r="D58" s="165"/>
      <c r="F58" s="105" t="s">
        <v>6</v>
      </c>
      <c r="G58" s="106">
        <f>C40</f>
        <v>11.32</v>
      </c>
      <c r="H58" s="107">
        <f t="shared" si="2"/>
        <v>0.34257250729827343</v>
      </c>
    </row>
    <row r="59" spans="1:8">
      <c r="A59" s="105" t="s">
        <v>54</v>
      </c>
      <c r="B59" s="106">
        <f>B45</f>
        <v>37.4</v>
      </c>
      <c r="C59" s="107">
        <f t="shared" si="3"/>
        <v>1.6757511984326239</v>
      </c>
      <c r="D59" s="165"/>
      <c r="F59" s="105" t="s">
        <v>5</v>
      </c>
      <c r="G59" s="106">
        <f>C41</f>
        <v>644.70000000000005</v>
      </c>
      <c r="H59" s="107">
        <f t="shared" si="2"/>
        <v>19.510291117950256</v>
      </c>
    </row>
    <row r="60" spans="1:8">
      <c r="A60" s="105" t="s">
        <v>5</v>
      </c>
      <c r="B60" s="106">
        <f>B41</f>
        <v>3.5674999999999999</v>
      </c>
      <c r="C60" s="107">
        <f t="shared" si="3"/>
        <v>0.15984605348685524</v>
      </c>
      <c r="D60" s="165"/>
      <c r="F60" s="105" t="s">
        <v>4</v>
      </c>
      <c r="G60" s="106">
        <f>C42</f>
        <v>244.803945</v>
      </c>
      <c r="H60" s="107">
        <f t="shared" si="2"/>
        <v>7.4084011691836249</v>
      </c>
    </row>
    <row r="61" spans="1:8">
      <c r="A61" s="105" t="s">
        <v>4</v>
      </c>
      <c r="B61" s="106">
        <f>B42</f>
        <v>333.21439500000002</v>
      </c>
      <c r="C61" s="107">
        <f t="shared" si="3"/>
        <v>14.930064752840957</v>
      </c>
      <c r="D61" s="165"/>
      <c r="F61" s="105" t="s">
        <v>22</v>
      </c>
      <c r="G61" s="106">
        <f>C43</f>
        <v>7.4359999999999999</v>
      </c>
      <c r="H61" s="107">
        <f t="shared" si="2"/>
        <v>0.22503261168462557</v>
      </c>
    </row>
    <row r="62" spans="1:8">
      <c r="A62" s="105" t="s">
        <v>22</v>
      </c>
      <c r="B62" s="106">
        <f>B43</f>
        <v>2.13</v>
      </c>
      <c r="C62" s="107">
        <f t="shared" si="3"/>
        <v>9.5437167183462263E-2</v>
      </c>
      <c r="D62" s="165"/>
      <c r="F62" s="108" t="s">
        <v>20</v>
      </c>
      <c r="G62" s="109">
        <f>SUM(G52:G61)</f>
        <v>3304.4099450000003</v>
      </c>
      <c r="H62" s="110">
        <f>SUM(H52:H61)</f>
        <v>100</v>
      </c>
    </row>
    <row r="63" spans="1:8">
      <c r="A63" s="108" t="s">
        <v>20</v>
      </c>
      <c r="B63" s="109">
        <f>SUM(B52:B62)</f>
        <v>2231.8348950000004</v>
      </c>
      <c r="C63" s="110">
        <f>SUM(C52:C62)</f>
        <v>99.999999999999986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80">
        <f>(C68/SUM($C$68:$C$78))*100</f>
        <v>0</v>
      </c>
      <c r="F68" s="105" t="s">
        <v>10</v>
      </c>
      <c r="G68" s="107">
        <f>SUM(Z10,Z14)/Z$24*100</f>
        <v>21.545723234906468</v>
      </c>
    </row>
    <row r="69" spans="1:7">
      <c r="A69" s="105" t="s">
        <v>10</v>
      </c>
      <c r="B69" s="107">
        <f t="shared" ref="B69:B78" si="4">C69/$C$80*100</f>
        <v>1.2670436169512247</v>
      </c>
      <c r="C69" s="106">
        <f>R10</f>
        <v>5435.7849999999999</v>
      </c>
      <c r="D69" s="180">
        <f t="shared" ref="D69:D78" si="5">(C69/SUM($C$68:$C$78))*100</f>
        <v>1.707511055526922</v>
      </c>
      <c r="F69" s="105" t="s">
        <v>9</v>
      </c>
      <c r="G69" s="107">
        <f>Z11/Z$24*100</f>
        <v>3.1452220377296323</v>
      </c>
    </row>
    <row r="70" spans="1:7">
      <c r="A70" s="105" t="s">
        <v>9</v>
      </c>
      <c r="B70" s="107">
        <f t="shared" si="4"/>
        <v>5.8130025121601721</v>
      </c>
      <c r="C70" s="106">
        <f>R11</f>
        <v>24938.550999999999</v>
      </c>
      <c r="D70" s="180">
        <f t="shared" si="5"/>
        <v>7.8337998175648922</v>
      </c>
      <c r="F70" s="105" t="s">
        <v>8</v>
      </c>
      <c r="G70" s="107">
        <f>Z12/Z$24*100</f>
        <v>16.022651906837876</v>
      </c>
    </row>
    <row r="71" spans="1:7">
      <c r="A71" s="105" t="s">
        <v>25</v>
      </c>
      <c r="B71" s="107">
        <f t="shared" si="4"/>
        <v>49.77667169953375</v>
      </c>
      <c r="C71" s="106">
        <f>R13</f>
        <v>213548.51699999999</v>
      </c>
      <c r="D71" s="180">
        <f>(C71/SUM($C$68:$C$78))*100</f>
        <v>67.080735104291065</v>
      </c>
      <c r="F71" s="105" t="s">
        <v>25</v>
      </c>
      <c r="G71" s="107">
        <f>Z13/Z$24*100</f>
        <v>42.244284300257235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1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0.81235672790991886</v>
      </c>
      <c r="C73" s="106">
        <f>R19</f>
        <v>3485.1179999999999</v>
      </c>
      <c r="D73" s="180">
        <f t="shared" si="5"/>
        <v>1.0947595452755905</v>
      </c>
      <c r="F73" s="105" t="s">
        <v>12</v>
      </c>
      <c r="G73" s="107">
        <f>Z8/Z$24*100</f>
        <v>3.76821006005746E-2</v>
      </c>
    </row>
    <row r="74" spans="1:7">
      <c r="A74" s="105" t="s">
        <v>55</v>
      </c>
      <c r="B74" s="107">
        <f t="shared" si="4"/>
        <v>2.9904440014381839</v>
      </c>
      <c r="C74" s="106">
        <f>R21</f>
        <v>12829.401</v>
      </c>
      <c r="D74" s="180">
        <f t="shared" si="5"/>
        <v>4.0300240063372907</v>
      </c>
      <c r="F74" s="105" t="s">
        <v>6</v>
      </c>
      <c r="G74" s="107">
        <f>Z15/Z$24*100</f>
        <v>0.2194116258735257</v>
      </c>
    </row>
    <row r="75" spans="1:7">
      <c r="A75" s="105" t="s">
        <v>54</v>
      </c>
      <c r="B75" s="107">
        <f t="shared" si="4"/>
        <v>2.9904440014381839</v>
      </c>
      <c r="C75" s="106">
        <f>R20</f>
        <v>12829.401</v>
      </c>
      <c r="D75" s="180">
        <f t="shared" si="5"/>
        <v>4.0300240063372907</v>
      </c>
      <c r="F75" s="105" t="s">
        <v>5</v>
      </c>
      <c r="G75" s="107">
        <f>Z16/Z$24*100</f>
        <v>12.327029636376221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0">
        <f t="shared" si="5"/>
        <v>0</v>
      </c>
      <c r="F76" s="105" t="s">
        <v>4</v>
      </c>
      <c r="G76" s="107">
        <f>Z17/Z$24*100</f>
        <v>4.3781376676756594</v>
      </c>
    </row>
    <row r="77" spans="1:7">
      <c r="A77" s="105" t="s">
        <v>4</v>
      </c>
      <c r="B77" s="107">
        <f t="shared" si="4"/>
        <v>10.544837018437077</v>
      </c>
      <c r="C77" s="106">
        <f>R17</f>
        <v>45238.748</v>
      </c>
      <c r="D77" s="180">
        <f t="shared" si="5"/>
        <v>14.210580872532013</v>
      </c>
      <c r="F77" s="105" t="s">
        <v>22</v>
      </c>
      <c r="G77" s="107">
        <f>Z18/Z$24*100</f>
        <v>7.985748974281319E-2</v>
      </c>
    </row>
    <row r="78" spans="1:7">
      <c r="A78" s="105" t="s">
        <v>22</v>
      </c>
      <c r="B78" s="107">
        <f t="shared" si="4"/>
        <v>9.3241875396622379E-3</v>
      </c>
      <c r="C78" s="106">
        <f>R18</f>
        <v>40.002000000000002</v>
      </c>
      <c r="D78" s="180">
        <f t="shared" si="5"/>
        <v>1.2565592134933213E-2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25.79587623459182</v>
      </c>
      <c r="C79" s="106">
        <f>R23</f>
        <v>110667.727</v>
      </c>
      <c r="D79" s="165"/>
    </row>
    <row r="80" spans="1:7">
      <c r="A80" s="108" t="s">
        <v>20</v>
      </c>
      <c r="B80" s="110">
        <f>SUM(B68:B79)</f>
        <v>99.999999999999986</v>
      </c>
      <c r="C80" s="109">
        <f>SUM(C68:C79)</f>
        <v>429013.25</v>
      </c>
      <c r="D80" s="165"/>
    </row>
    <row r="85" spans="1:26" ht="15">
      <c r="A85" s="134"/>
      <c r="B85" s="134" t="s">
        <v>69</v>
      </c>
      <c r="C85" s="213" t="s">
        <v>13</v>
      </c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214"/>
      <c r="S85"/>
      <c r="T85"/>
      <c r="U85"/>
      <c r="V85"/>
      <c r="W85"/>
      <c r="X85"/>
      <c r="Y85"/>
      <c r="Z85"/>
    </row>
    <row r="86" spans="1:26" ht="15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124</v>
      </c>
      <c r="S86"/>
      <c r="T86"/>
      <c r="U86"/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/>
      <c r="T87"/>
      <c r="U87"/>
      <c r="V87"/>
      <c r="W87"/>
      <c r="X87"/>
      <c r="Y87"/>
      <c r="Z87"/>
    </row>
    <row r="88" spans="1:26" ht="15">
      <c r="A88" s="207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-0.66276199999999996</v>
      </c>
      <c r="Q88" s="173">
        <v>-0.710283</v>
      </c>
      <c r="R88" s="173">
        <v>0</v>
      </c>
      <c r="S88"/>
      <c r="T88"/>
      <c r="U88"/>
      <c r="V88"/>
      <c r="W88"/>
      <c r="X88"/>
      <c r="Y88"/>
      <c r="Z88"/>
    </row>
    <row r="89" spans="1:26" ht="15">
      <c r="A89" s="208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5.6586610000000004</v>
      </c>
      <c r="O89" s="173">
        <v>5.2892989999999998</v>
      </c>
      <c r="P89" s="173">
        <v>4.8235140000000003</v>
      </c>
      <c r="Q89" s="173">
        <v>5.4357850000000001</v>
      </c>
      <c r="R89" s="173">
        <v>5.873685</v>
      </c>
      <c r="S89"/>
      <c r="T89"/>
      <c r="U89"/>
      <c r="V89"/>
      <c r="W89"/>
      <c r="X89"/>
      <c r="Y89"/>
      <c r="Z89"/>
    </row>
    <row r="90" spans="1:26" ht="15">
      <c r="A90" s="208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23.798262999999999</v>
      </c>
      <c r="Q90" s="173">
        <v>24.938551</v>
      </c>
      <c r="R90" s="173">
        <v>6.6235989999999996</v>
      </c>
      <c r="S90"/>
      <c r="T90"/>
      <c r="U90"/>
      <c r="V90"/>
      <c r="W90"/>
      <c r="X90"/>
      <c r="Y90"/>
      <c r="Z90"/>
    </row>
    <row r="91" spans="1:26" ht="15">
      <c r="A91" s="208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218.49136100000001</v>
      </c>
      <c r="Q91" s="173">
        <v>213.548517</v>
      </c>
      <c r="R91" s="173">
        <v>63.997793999999999</v>
      </c>
      <c r="S91"/>
      <c r="T91"/>
      <c r="U91"/>
      <c r="V91"/>
      <c r="W91"/>
      <c r="X91"/>
      <c r="Y91"/>
      <c r="Z91"/>
    </row>
    <row r="92" spans="1:26" ht="15">
      <c r="A92" s="208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/>
      <c r="T92"/>
      <c r="U92"/>
      <c r="V92"/>
      <c r="W92"/>
      <c r="X92"/>
      <c r="Y92"/>
      <c r="Z92"/>
    </row>
    <row r="93" spans="1:26" ht="15">
      <c r="A93" s="208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/>
      <c r="T93"/>
      <c r="U93"/>
      <c r="V93"/>
      <c r="W93"/>
      <c r="X93"/>
      <c r="Y93"/>
      <c r="Z93"/>
    </row>
    <row r="94" spans="1:26" ht="15">
      <c r="A94" s="208"/>
      <c r="B94" s="133" t="s">
        <v>4</v>
      </c>
      <c r="C94" s="173">
        <v>18.539918</v>
      </c>
      <c r="D94" s="173">
        <v>22.493357</v>
      </c>
      <c r="E94" s="173">
        <v>35.774521</v>
      </c>
      <c r="F94" s="173">
        <v>38.851148000000002</v>
      </c>
      <c r="G94" s="173">
        <v>34.004562</v>
      </c>
      <c r="H94" s="173">
        <v>36.423403999999998</v>
      </c>
      <c r="I94" s="173">
        <v>41.343387999999997</v>
      </c>
      <c r="J94" s="173">
        <v>44.372684</v>
      </c>
      <c r="K94" s="173">
        <v>34.510787000000001</v>
      </c>
      <c r="L94" s="173">
        <v>32.549160999999998</v>
      </c>
      <c r="M94" s="173">
        <v>23.864156000000001</v>
      </c>
      <c r="N94" s="173">
        <v>22.334897999999999</v>
      </c>
      <c r="O94" s="173">
        <v>23.767339</v>
      </c>
      <c r="P94" s="173">
        <v>30.739825</v>
      </c>
      <c r="Q94" s="173">
        <v>45.238748000000001</v>
      </c>
      <c r="R94" s="173">
        <v>17.251958999999999</v>
      </c>
      <c r="S94"/>
      <c r="T94"/>
      <c r="U94"/>
      <c r="V94"/>
      <c r="W94"/>
      <c r="X94"/>
      <c r="Y94"/>
      <c r="Z94"/>
    </row>
    <row r="95" spans="1:26" ht="15">
      <c r="A95" s="208"/>
      <c r="B95" s="133" t="s">
        <v>22</v>
      </c>
      <c r="C95" s="173">
        <v>9.3608999999999998E-2</v>
      </c>
      <c r="D95" s="173">
        <v>0.13599800000000001</v>
      </c>
      <c r="E95" s="173">
        <v>0.11230800000000001</v>
      </c>
      <c r="F95" s="173">
        <v>7.399E-2</v>
      </c>
      <c r="G95" s="173">
        <v>9.0162999999999993E-2</v>
      </c>
      <c r="H95" s="173">
        <v>8.4139000000000005E-2</v>
      </c>
      <c r="I95" s="173">
        <v>3.7238E-2</v>
      </c>
      <c r="J95" s="173">
        <v>2.6629E-2</v>
      </c>
      <c r="K95" s="173">
        <v>3.1858999999999998E-2</v>
      </c>
      <c r="L95" s="173">
        <v>3.9587999999999998E-2</v>
      </c>
      <c r="M95" s="173">
        <v>0.134767</v>
      </c>
      <c r="N95" s="173">
        <v>0.12625700000000001</v>
      </c>
      <c r="O95" s="173">
        <v>0.103766</v>
      </c>
      <c r="P95" s="173">
        <v>3.9530000000000003E-2</v>
      </c>
      <c r="Q95" s="173">
        <v>4.0002000000000003E-2</v>
      </c>
      <c r="R95" s="173">
        <v>0</v>
      </c>
      <c r="S95"/>
      <c r="T95"/>
      <c r="U95"/>
      <c r="V95"/>
      <c r="W95"/>
      <c r="X95"/>
      <c r="Y95"/>
      <c r="Z95"/>
    </row>
    <row r="96" spans="1:26" ht="15">
      <c r="A96" s="208"/>
      <c r="B96" s="133" t="s">
        <v>23</v>
      </c>
      <c r="C96" s="173">
        <v>3.048152</v>
      </c>
      <c r="D96" s="173">
        <v>3.0015830000000001</v>
      </c>
      <c r="E96" s="173">
        <v>3.577315</v>
      </c>
      <c r="F96" s="173">
        <v>3.6179220000000001</v>
      </c>
      <c r="G96" s="173">
        <v>3.5173019999999999</v>
      </c>
      <c r="H96" s="173">
        <v>3.783118</v>
      </c>
      <c r="I96" s="173">
        <v>3.2446030000000001</v>
      </c>
      <c r="J96" s="173">
        <v>3.7400570000000002</v>
      </c>
      <c r="K96" s="173">
        <v>3.104663</v>
      </c>
      <c r="L96" s="173">
        <v>1.7294940000000001</v>
      </c>
      <c r="M96" s="173">
        <v>2.8349500000000001</v>
      </c>
      <c r="N96" s="173">
        <v>3.210191</v>
      </c>
      <c r="O96" s="173">
        <v>3.9370180000000001</v>
      </c>
      <c r="P96" s="173">
        <v>3.7397490000000002</v>
      </c>
      <c r="Q96" s="173">
        <v>3.4851179999999999</v>
      </c>
      <c r="R96" s="173">
        <v>0.85911999999999999</v>
      </c>
      <c r="S96"/>
      <c r="T96"/>
      <c r="U96"/>
      <c r="V96"/>
      <c r="W96"/>
      <c r="X96"/>
      <c r="Y96"/>
      <c r="Z96"/>
    </row>
    <row r="97" spans="1:26" ht="15">
      <c r="A97" s="208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12.5411815</v>
      </c>
      <c r="J97" s="173">
        <v>14.683114</v>
      </c>
      <c r="K97" s="173">
        <v>9.9340825000000006</v>
      </c>
      <c r="L97" s="173">
        <v>10.860910000000001</v>
      </c>
      <c r="M97" s="173">
        <v>10.810193999999999</v>
      </c>
      <c r="N97" s="173">
        <v>8.9918355000000005</v>
      </c>
      <c r="O97" s="173">
        <v>10.485035</v>
      </c>
      <c r="P97" s="173">
        <v>5.6085469999999997</v>
      </c>
      <c r="Q97" s="173">
        <v>12.829401000000001</v>
      </c>
      <c r="R97" s="173">
        <v>4.9915000000000003</v>
      </c>
      <c r="S97"/>
      <c r="T97"/>
      <c r="U97"/>
      <c r="V97"/>
      <c r="W97"/>
      <c r="X97"/>
      <c r="Y97"/>
      <c r="Z97"/>
    </row>
    <row r="98" spans="1:26" ht="15">
      <c r="A98" s="208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12.5411815</v>
      </c>
      <c r="J98" s="173">
        <v>14.683114</v>
      </c>
      <c r="K98" s="173">
        <v>9.9340825000000006</v>
      </c>
      <c r="L98" s="173">
        <v>10.860910000000001</v>
      </c>
      <c r="M98" s="173">
        <v>10.810193999999999</v>
      </c>
      <c r="N98" s="173">
        <v>8.9918355000000005</v>
      </c>
      <c r="O98" s="173">
        <v>10.485035</v>
      </c>
      <c r="P98" s="173">
        <v>5.6085469999999997</v>
      </c>
      <c r="Q98" s="173">
        <v>12.829401000000001</v>
      </c>
      <c r="R98" s="173">
        <v>4.9915000000000003</v>
      </c>
      <c r="S98"/>
      <c r="T98"/>
      <c r="U98"/>
      <c r="V98"/>
      <c r="W98"/>
      <c r="X98"/>
      <c r="Y98"/>
      <c r="Z98"/>
    </row>
    <row r="99" spans="1:26" ht="15">
      <c r="A99" s="208"/>
      <c r="B99" s="137" t="s">
        <v>2</v>
      </c>
      <c r="C99" s="174">
        <v>326.63051000000002</v>
      </c>
      <c r="D99" s="174">
        <v>342.61162200000001</v>
      </c>
      <c r="E99" s="174">
        <v>332.45654999999999</v>
      </c>
      <c r="F99" s="174">
        <v>307.69163700000001</v>
      </c>
      <c r="G99" s="174">
        <v>340.88645400000001</v>
      </c>
      <c r="H99" s="174">
        <v>421.476586</v>
      </c>
      <c r="I99" s="174">
        <v>565.78934400000003</v>
      </c>
      <c r="J99" s="174">
        <v>529.34347600000001</v>
      </c>
      <c r="K99" s="174">
        <v>435.06932</v>
      </c>
      <c r="L99" s="174">
        <v>363.589969</v>
      </c>
      <c r="M99" s="174">
        <v>302.01390600000002</v>
      </c>
      <c r="N99" s="174">
        <v>305.13724000000002</v>
      </c>
      <c r="O99" s="174">
        <v>322.53600799999998</v>
      </c>
      <c r="P99" s="174">
        <v>292.18657400000001</v>
      </c>
      <c r="Q99" s="174">
        <v>317.63524000000001</v>
      </c>
      <c r="R99" s="174">
        <v>104.589157</v>
      </c>
      <c r="S99"/>
      <c r="T99"/>
      <c r="U99"/>
      <c r="V99"/>
      <c r="W99"/>
      <c r="X99"/>
      <c r="Y99"/>
      <c r="Z99"/>
    </row>
    <row r="100" spans="1:26" ht="15">
      <c r="A100" s="208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70.767787999999996</v>
      </c>
      <c r="N100" s="173">
        <v>112.440268</v>
      </c>
      <c r="O100" s="173">
        <v>122.760274</v>
      </c>
      <c r="P100" s="173">
        <v>114.74408200000001</v>
      </c>
      <c r="Q100" s="173">
        <v>110.667727</v>
      </c>
      <c r="R100" s="173">
        <v>34.408999999999999</v>
      </c>
      <c r="S100"/>
      <c r="T100"/>
      <c r="U100"/>
      <c r="V100"/>
      <c r="W100"/>
      <c r="X100"/>
      <c r="Y100"/>
      <c r="Z100"/>
    </row>
    <row r="101" spans="1:26" ht="15">
      <c r="A101" s="209"/>
      <c r="B101" s="137" t="s">
        <v>79</v>
      </c>
      <c r="C101" s="174">
        <v>450.58064100000001</v>
      </c>
      <c r="D101" s="174">
        <v>432.34588400000001</v>
      </c>
      <c r="E101" s="174">
        <v>414.65085800000003</v>
      </c>
      <c r="F101" s="174">
        <v>405.72505100000001</v>
      </c>
      <c r="G101" s="174">
        <v>459.64886999999999</v>
      </c>
      <c r="H101" s="174">
        <v>545.82672000000002</v>
      </c>
      <c r="I101" s="174">
        <v>734.33716800000002</v>
      </c>
      <c r="J101" s="174">
        <v>704.35276699999997</v>
      </c>
      <c r="K101" s="174">
        <v>565.92402200000004</v>
      </c>
      <c r="L101" s="174">
        <v>495.03745900000001</v>
      </c>
      <c r="M101" s="174">
        <v>372.78169400000002</v>
      </c>
      <c r="N101" s="174">
        <v>417.57750800000002</v>
      </c>
      <c r="O101" s="174">
        <v>445.29628200000002</v>
      </c>
      <c r="P101" s="174">
        <v>406.930656</v>
      </c>
      <c r="Q101" s="174">
        <v>428.30296700000002</v>
      </c>
      <c r="R101" s="174">
        <v>138.99815699999999</v>
      </c>
      <c r="S101"/>
      <c r="T101"/>
      <c r="U101"/>
      <c r="V101"/>
      <c r="W101"/>
      <c r="X101"/>
      <c r="Y101"/>
      <c r="Z101"/>
    </row>
    <row r="102" spans="1:26" ht="15">
      <c r="A102" s="212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0.28212599999999999</v>
      </c>
      <c r="F102" s="173">
        <v>0.27610800000000002</v>
      </c>
      <c r="G102" s="173">
        <v>0.29790899999999998</v>
      </c>
      <c r="H102" s="173">
        <v>0.28383700000000001</v>
      </c>
      <c r="I102" s="173">
        <v>0.30198999999999998</v>
      </c>
      <c r="J102" s="173">
        <v>0.28963</v>
      </c>
      <c r="K102" s="173">
        <v>0.28927700000000001</v>
      </c>
      <c r="L102" s="173">
        <v>0.30293500000000001</v>
      </c>
      <c r="M102" s="173">
        <v>0.28046900000000002</v>
      </c>
      <c r="N102" s="173">
        <v>0.30561100000000002</v>
      </c>
      <c r="O102" s="173">
        <v>0.29624200000000001</v>
      </c>
      <c r="P102" s="173">
        <v>0.28508299999999998</v>
      </c>
      <c r="Q102" s="173">
        <v>0.272924</v>
      </c>
      <c r="R102" s="173">
        <v>0</v>
      </c>
      <c r="S102"/>
      <c r="T102"/>
      <c r="U102"/>
      <c r="V102"/>
      <c r="W102"/>
      <c r="X102"/>
      <c r="Y102"/>
      <c r="Z102"/>
    </row>
    <row r="103" spans="1:26" ht="15">
      <c r="A103" s="208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152.672844</v>
      </c>
      <c r="H103" s="173">
        <v>159.427877</v>
      </c>
      <c r="I103" s="173">
        <v>147.371253</v>
      </c>
      <c r="J103" s="173">
        <v>158.13818499999999</v>
      </c>
      <c r="K103" s="173">
        <v>154.76962499999999</v>
      </c>
      <c r="L103" s="173">
        <v>179.46748099999999</v>
      </c>
      <c r="M103" s="173">
        <v>168.212242</v>
      </c>
      <c r="N103" s="173">
        <v>171.03556599999999</v>
      </c>
      <c r="O103" s="173">
        <v>166.77709300000001</v>
      </c>
      <c r="P103" s="173">
        <v>147.58979299999999</v>
      </c>
      <c r="Q103" s="173">
        <v>156.051411</v>
      </c>
      <c r="R103" s="173">
        <v>49.643053000000002</v>
      </c>
      <c r="S103"/>
      <c r="T103"/>
      <c r="U103"/>
      <c r="V103"/>
      <c r="W103"/>
      <c r="X103"/>
      <c r="Y103"/>
      <c r="Z103"/>
    </row>
    <row r="104" spans="1:26" ht="15">
      <c r="A104" s="208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23.301389</v>
      </c>
      <c r="Q104" s="173">
        <v>22.780221000000001</v>
      </c>
      <c r="R104" s="173">
        <v>4.8413940000000002</v>
      </c>
      <c r="S104"/>
      <c r="T104"/>
      <c r="U104"/>
      <c r="V104"/>
      <c r="W104"/>
      <c r="X104"/>
      <c r="Y104"/>
      <c r="Z104"/>
    </row>
    <row r="105" spans="1:26" ht="15">
      <c r="A105" s="208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100.186932</v>
      </c>
      <c r="Q105" s="173">
        <v>116.04889799999999</v>
      </c>
      <c r="R105" s="173">
        <v>34.735438000000002</v>
      </c>
      <c r="S105"/>
      <c r="T105"/>
      <c r="U105"/>
      <c r="V105"/>
      <c r="W105"/>
      <c r="X105"/>
      <c r="Y105"/>
      <c r="Z105"/>
    </row>
    <row r="106" spans="1:26" ht="15">
      <c r="A106" s="208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282.95672999999999</v>
      </c>
      <c r="Q106" s="173">
        <v>305.966994</v>
      </c>
      <c r="R106" s="173">
        <v>107.505871</v>
      </c>
      <c r="S106"/>
      <c r="T106"/>
      <c r="U106"/>
      <c r="V106"/>
      <c r="W106"/>
      <c r="X106"/>
      <c r="Y106"/>
      <c r="Z106"/>
    </row>
    <row r="107" spans="1:26" ht="15">
      <c r="A107" s="208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/>
      <c r="T107"/>
      <c r="U107"/>
      <c r="V107"/>
      <c r="W107"/>
      <c r="X107"/>
      <c r="Y107"/>
      <c r="Z107"/>
    </row>
    <row r="108" spans="1:26" ht="15">
      <c r="A108" s="208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1.414679</v>
      </c>
      <c r="Q108" s="173">
        <v>1.5891550000000001</v>
      </c>
      <c r="R108" s="173">
        <v>0.87322100000000002</v>
      </c>
      <c r="S108"/>
      <c r="T108"/>
      <c r="U108"/>
      <c r="V108"/>
      <c r="W108"/>
      <c r="X108"/>
      <c r="Y108"/>
      <c r="Z108"/>
    </row>
    <row r="109" spans="1:26" ht="15">
      <c r="A109" s="208"/>
      <c r="B109" s="133" t="s">
        <v>5</v>
      </c>
      <c r="C109" s="173">
        <v>132.72816599999999</v>
      </c>
      <c r="D109" s="173">
        <v>42.67051</v>
      </c>
      <c r="E109" s="173">
        <v>130.23741999999999</v>
      </c>
      <c r="F109" s="173">
        <v>103.685765</v>
      </c>
      <c r="G109" s="173">
        <v>131.84913700000001</v>
      </c>
      <c r="H109" s="173">
        <v>63.874986999999997</v>
      </c>
      <c r="I109" s="173">
        <v>209.60142099999999</v>
      </c>
      <c r="J109" s="173">
        <v>178.40248800000001</v>
      </c>
      <c r="K109" s="173">
        <v>103.232878</v>
      </c>
      <c r="L109" s="173">
        <v>57.758575</v>
      </c>
      <c r="M109" s="173">
        <v>99.872924999999995</v>
      </c>
      <c r="N109" s="173">
        <v>70.816050000000004</v>
      </c>
      <c r="O109" s="173">
        <v>53.196173999999999</v>
      </c>
      <c r="P109" s="173">
        <v>108.751811</v>
      </c>
      <c r="Q109" s="173">
        <v>89.282236999999995</v>
      </c>
      <c r="R109" s="173">
        <v>31.323236999999999</v>
      </c>
      <c r="S109"/>
      <c r="T109"/>
      <c r="U109"/>
      <c r="V109"/>
      <c r="W109"/>
      <c r="X109"/>
      <c r="Y109"/>
      <c r="Z109"/>
    </row>
    <row r="110" spans="1:26" ht="15">
      <c r="A110" s="208"/>
      <c r="B110" s="133" t="s">
        <v>4</v>
      </c>
      <c r="C110" s="173">
        <v>22.121485</v>
      </c>
      <c r="D110" s="173">
        <v>20.382895000000001</v>
      </c>
      <c r="E110" s="173">
        <v>32.428702000000001</v>
      </c>
      <c r="F110" s="173">
        <v>30.033574000000002</v>
      </c>
      <c r="G110" s="173">
        <v>30.564440999999999</v>
      </c>
      <c r="H110" s="173">
        <v>30.691880000000001</v>
      </c>
      <c r="I110" s="173">
        <v>35.002752999999998</v>
      </c>
      <c r="J110" s="173">
        <v>33.602015999999999</v>
      </c>
      <c r="K110" s="173">
        <v>31.322213000000001</v>
      </c>
      <c r="L110" s="173">
        <v>29.6997</v>
      </c>
      <c r="M110" s="173">
        <v>24.842165000000001</v>
      </c>
      <c r="N110" s="173">
        <v>23.549019999999999</v>
      </c>
      <c r="O110" s="173">
        <v>24.433125</v>
      </c>
      <c r="P110" s="173">
        <v>26.306543000000001</v>
      </c>
      <c r="Q110" s="173">
        <v>31.709985</v>
      </c>
      <c r="R110" s="173">
        <v>9.8549199999999999</v>
      </c>
      <c r="S110"/>
      <c r="T110"/>
      <c r="U110"/>
      <c r="V110"/>
      <c r="W110"/>
      <c r="X110"/>
      <c r="Y110"/>
      <c r="Z110"/>
    </row>
    <row r="111" spans="1:26" ht="15">
      <c r="A111" s="208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0.52430399999999999</v>
      </c>
      <c r="M111" s="173">
        <v>0.42454199999999997</v>
      </c>
      <c r="N111" s="173">
        <v>0.44537900000000002</v>
      </c>
      <c r="O111" s="173">
        <v>0.50013399999999997</v>
      </c>
      <c r="P111" s="173">
        <v>0.49944300000000003</v>
      </c>
      <c r="Q111" s="173">
        <v>0.57839200000000002</v>
      </c>
      <c r="R111" s="173">
        <v>0</v>
      </c>
      <c r="S111"/>
      <c r="T111"/>
      <c r="U111"/>
      <c r="V111"/>
      <c r="W111"/>
      <c r="X111"/>
      <c r="Y111"/>
      <c r="Z111"/>
    </row>
    <row r="112" spans="1:26" ht="15">
      <c r="A112" s="208"/>
      <c r="B112" s="133" t="s">
        <v>23</v>
      </c>
      <c r="C112" s="173">
        <v>0</v>
      </c>
      <c r="D112" s="173">
        <v>0</v>
      </c>
      <c r="E112" s="173">
        <v>0</v>
      </c>
      <c r="F112" s="173">
        <v>0</v>
      </c>
      <c r="G112" s="173">
        <v>0</v>
      </c>
      <c r="H112" s="173">
        <v>0</v>
      </c>
      <c r="I112" s="173">
        <v>0</v>
      </c>
      <c r="J112" s="173">
        <v>0</v>
      </c>
      <c r="K112" s="173">
        <v>0</v>
      </c>
      <c r="L112" s="173">
        <v>0</v>
      </c>
      <c r="M112" s="173">
        <v>0</v>
      </c>
      <c r="N112" s="173">
        <v>0</v>
      </c>
      <c r="O112" s="173">
        <v>0</v>
      </c>
      <c r="P112" s="173">
        <v>0</v>
      </c>
      <c r="Q112" s="173">
        <v>0</v>
      </c>
      <c r="R112" s="173">
        <v>0</v>
      </c>
      <c r="S112"/>
      <c r="T112"/>
      <c r="U112"/>
      <c r="V112"/>
      <c r="W112"/>
      <c r="X112"/>
      <c r="Y112"/>
      <c r="Z112"/>
    </row>
    <row r="113" spans="1:26" ht="15">
      <c r="A113" s="208"/>
      <c r="B113" s="137" t="s">
        <v>2</v>
      </c>
      <c r="C113" s="174">
        <v>719.42066</v>
      </c>
      <c r="D113" s="174">
        <v>650.39298299999996</v>
      </c>
      <c r="E113" s="174">
        <v>711.93171700000005</v>
      </c>
      <c r="F113" s="174">
        <v>675.84350199999994</v>
      </c>
      <c r="G113" s="174">
        <v>701.77814499999999</v>
      </c>
      <c r="H113" s="174">
        <v>713.11271499999998</v>
      </c>
      <c r="I113" s="174">
        <v>762.64916800000003</v>
      </c>
      <c r="J113" s="174">
        <v>802.54940299999998</v>
      </c>
      <c r="K113" s="174">
        <v>744.65127600000005</v>
      </c>
      <c r="L113" s="174">
        <v>803.95593199999996</v>
      </c>
      <c r="M113" s="174">
        <v>730.57827699999996</v>
      </c>
      <c r="N113" s="174">
        <v>733.42387499999995</v>
      </c>
      <c r="O113" s="174">
        <v>740.87555999999995</v>
      </c>
      <c r="P113" s="174">
        <v>691.29240300000004</v>
      </c>
      <c r="Q113" s="174">
        <v>724.28021699999999</v>
      </c>
      <c r="R113" s="174">
        <v>238.77713399999999</v>
      </c>
      <c r="S113"/>
      <c r="T113"/>
      <c r="U113"/>
      <c r="V113"/>
      <c r="W113"/>
      <c r="X113"/>
      <c r="Y113"/>
      <c r="Z113"/>
    </row>
    <row r="114" spans="1:26" ht="15">
      <c r="A114" s="209"/>
      <c r="B114" s="137" t="s">
        <v>79</v>
      </c>
      <c r="C114" s="174">
        <v>719.42066</v>
      </c>
      <c r="D114" s="174">
        <v>650.39298299999996</v>
      </c>
      <c r="E114" s="174">
        <v>711.93171700000005</v>
      </c>
      <c r="F114" s="174">
        <v>675.84350199999994</v>
      </c>
      <c r="G114" s="174">
        <v>701.77814499999999</v>
      </c>
      <c r="H114" s="174">
        <v>713.11271499999998</v>
      </c>
      <c r="I114" s="174">
        <v>762.64916800000003</v>
      </c>
      <c r="J114" s="174">
        <v>802.54940299999998</v>
      </c>
      <c r="K114" s="174">
        <v>744.65127600000005</v>
      </c>
      <c r="L114" s="174">
        <v>803.95593199999996</v>
      </c>
      <c r="M114" s="174">
        <v>730.57827699999996</v>
      </c>
      <c r="N114" s="174">
        <v>733.42387499999995</v>
      </c>
      <c r="O114" s="174">
        <v>740.87555999999995</v>
      </c>
      <c r="P114" s="174">
        <v>691.29240300000004</v>
      </c>
      <c r="Q114" s="174">
        <v>724.28021699999999</v>
      </c>
      <c r="R114" s="174">
        <v>238.77713399999999</v>
      </c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5" t="s">
        <v>73</v>
      </c>
      <c r="C117" s="111" t="str">
        <f>TEXT(EDATE(D117,-1),"mmmm aaaa")</f>
        <v>marzo 2023</v>
      </c>
      <c r="D117" s="111" t="str">
        <f t="shared" ref="D117:M117" si="6">TEXT(EDATE(E117,-1),"mmmm aaaa")</f>
        <v>abril 2023</v>
      </c>
      <c r="E117" s="111" t="str">
        <f t="shared" si="6"/>
        <v>mayo 2023</v>
      </c>
      <c r="F117" s="111" t="str">
        <f t="shared" si="6"/>
        <v>junio 2023</v>
      </c>
      <c r="G117" s="111" t="str">
        <f t="shared" si="6"/>
        <v>julio 2023</v>
      </c>
      <c r="H117" s="111" t="str">
        <f t="shared" si="6"/>
        <v>agosto 2023</v>
      </c>
      <c r="I117" s="111" t="str">
        <f t="shared" si="6"/>
        <v>septiembre 2023</v>
      </c>
      <c r="J117" s="111" t="str">
        <f t="shared" si="6"/>
        <v>octubre 2023</v>
      </c>
      <c r="K117" s="111" t="str">
        <f t="shared" si="6"/>
        <v>noviembre 2023</v>
      </c>
      <c r="L117" s="111" t="str">
        <f t="shared" si="6"/>
        <v>diciembre 2023</v>
      </c>
      <c r="M117" s="111" t="str">
        <f t="shared" si="6"/>
        <v>enero 2024</v>
      </c>
      <c r="N117" s="111" t="str">
        <f>TEXT(EDATE(O117,-1),"mmmm aaaa")</f>
        <v>febrero 2024</v>
      </c>
      <c r="O117" s="112" t="str">
        <f>A2</f>
        <v>Marzo 2024</v>
      </c>
    </row>
    <row r="118" spans="1:26">
      <c r="B118" s="206"/>
      <c r="C118" s="121" t="str">
        <f>TEXT(EDATE($A$2,-12),"mmm")&amp;".-"&amp;TEXT(EDATE($A$2,-12),"aa")</f>
        <v>mar.-23</v>
      </c>
      <c r="D118" s="121" t="str">
        <f>TEXT(EDATE($A$2,-11),"mmm")&amp;".-"&amp;TEXT(EDATE($A$2,-11),"aa")</f>
        <v>abr.-23</v>
      </c>
      <c r="E118" s="121" t="str">
        <f>TEXT(EDATE($A$2,-10),"mmm")&amp;".-"&amp;TEXT(EDATE($A$2,-10),"aa")</f>
        <v>may.-23</v>
      </c>
      <c r="F118" s="121" t="str">
        <f>TEXT(EDATE($A$2,-9),"mmm")&amp;".-"&amp;TEXT(EDATE($A$2,-9),"aa")</f>
        <v>jun.-23</v>
      </c>
      <c r="G118" s="121" t="str">
        <f>TEXT(EDATE($A$2,-8),"mmm")&amp;".-"&amp;TEXT(EDATE($A$2,-8),"aa")</f>
        <v>jul.-23</v>
      </c>
      <c r="H118" s="121" t="str">
        <f>TEXT(EDATE($A$2,-7),"mmm")&amp;".-"&amp;TEXT(EDATE($A$2,-7),"aa")</f>
        <v>ago.-23</v>
      </c>
      <c r="I118" s="121" t="str">
        <f>TEXT(EDATE($A$2,-6),"mmm")&amp;".-"&amp;TEXT(EDATE($A$2,-6),"aa")</f>
        <v>sep.-23</v>
      </c>
      <c r="J118" s="121" t="str">
        <f>TEXT(EDATE($A$2,-5),"mmm")&amp;".-"&amp;TEXT(EDATE($A$2,-5),"aa")</f>
        <v>oct.-23</v>
      </c>
      <c r="K118" s="121" t="str">
        <f>TEXT(EDATE($A$2,-4),"mmm")&amp;".-"&amp;TEXT(EDATE($A$2,-4),"aa")</f>
        <v>nov.-23</v>
      </c>
      <c r="L118" s="121" t="str">
        <f>TEXT(EDATE($A$2,-3),"mmm")&amp;".-"&amp;TEXT(EDATE($A$2,-3),"aa")</f>
        <v>dic.-23</v>
      </c>
      <c r="M118" s="121" t="str">
        <f>TEXT(EDATE($A$2,-2),"mmm")&amp;".-"&amp;TEXT(EDATE($A$2,-2),"aa")</f>
        <v>ene.-24</v>
      </c>
      <c r="N118" s="121" t="str">
        <f>TEXT(EDATE($A$2,-1),"mmm")&amp;".-"&amp;TEXT(EDATE($A$2,-1),"aa")</f>
        <v>feb.-24</v>
      </c>
      <c r="O118" s="143" t="str">
        <f>TEXT($A$2,"mmm")&amp;".-"&amp;TEXT($A$2,"aa")</f>
        <v>mar.-24</v>
      </c>
    </row>
    <row r="119" spans="1:26">
      <c r="A119" s="202" t="s">
        <v>76</v>
      </c>
      <c r="B119" s="122" t="s">
        <v>11</v>
      </c>
      <c r="C119" s="123">
        <f>HLOOKUP(C$117,$86:$101,3,FALSE)</f>
        <v>-0.51834000000000002</v>
      </c>
      <c r="D119" s="123">
        <f t="shared" ref="D119:N119" si="7">HLOOKUP(D$117,$86:$101,3,FALSE)</f>
        <v>-0.60865999999999998</v>
      </c>
      <c r="E119" s="123">
        <f t="shared" si="7"/>
        <v>-0.83296899999999996</v>
      </c>
      <c r="F119" s="123">
        <f t="shared" si="7"/>
        <v>3.1799559999999998</v>
      </c>
      <c r="G119" s="123">
        <f t="shared" si="7"/>
        <v>54.925434000000003</v>
      </c>
      <c r="H119" s="123">
        <f t="shared" si="7"/>
        <v>9.0232189999999992</v>
      </c>
      <c r="I119" s="123">
        <f t="shared" si="7"/>
        <v>-0.82337800000000005</v>
      </c>
      <c r="J119" s="123">
        <f t="shared" si="7"/>
        <v>-0.82724900000000001</v>
      </c>
      <c r="K119" s="123">
        <f t="shared" si="7"/>
        <v>-0.89542500000000003</v>
      </c>
      <c r="L119" s="123">
        <f t="shared" si="7"/>
        <v>-0.69586499999999996</v>
      </c>
      <c r="M119" s="123">
        <f t="shared" si="7"/>
        <v>-0.70605399999999996</v>
      </c>
      <c r="N119" s="123">
        <f t="shared" si="7"/>
        <v>-0.66276199999999996</v>
      </c>
      <c r="O119" s="124">
        <f>HLOOKUP(O$117,$86:$101,3,FALSE)</f>
        <v>-0.710283</v>
      </c>
    </row>
    <row r="120" spans="1:26">
      <c r="A120" s="203"/>
      <c r="B120" s="105" t="s">
        <v>10</v>
      </c>
      <c r="C120" s="107">
        <f>HLOOKUP(C$117,$86:$101,4,FALSE)</f>
        <v>6.2192920000000003</v>
      </c>
      <c r="D120" s="107">
        <f t="shared" ref="D120:O120" si="8">HLOOKUP(D$117,$86:$101,4,FALSE)</f>
        <v>7.134449</v>
      </c>
      <c r="E120" s="107">
        <f t="shared" si="8"/>
        <v>12.70701</v>
      </c>
      <c r="F120" s="107">
        <f t="shared" si="8"/>
        <v>20.755147999999998</v>
      </c>
      <c r="G120" s="107">
        <f t="shared" si="8"/>
        <v>57.618448999999998</v>
      </c>
      <c r="H120" s="107">
        <f t="shared" si="8"/>
        <v>64.924531000000002</v>
      </c>
      <c r="I120" s="107">
        <f t="shared" si="8"/>
        <v>32.782569000000002</v>
      </c>
      <c r="J120" s="107">
        <f t="shared" si="8"/>
        <v>16.979832999999999</v>
      </c>
      <c r="K120" s="107">
        <f t="shared" si="8"/>
        <v>5.9974980000000002</v>
      </c>
      <c r="L120" s="107">
        <f t="shared" si="8"/>
        <v>5.6586610000000004</v>
      </c>
      <c r="M120" s="107">
        <f t="shared" si="8"/>
        <v>5.2892989999999998</v>
      </c>
      <c r="N120" s="107">
        <f t="shared" si="8"/>
        <v>4.8235140000000003</v>
      </c>
      <c r="O120" s="124">
        <f t="shared" si="8"/>
        <v>5.4357850000000001</v>
      </c>
    </row>
    <row r="121" spans="1:26">
      <c r="A121" s="203"/>
      <c r="B121" s="105" t="s">
        <v>9</v>
      </c>
      <c r="C121" s="107">
        <f>HLOOKUP(C$117,$86:$101,5,FALSE)</f>
        <v>34.532919999999997</v>
      </c>
      <c r="D121" s="107">
        <f t="shared" ref="D121:O121" si="9">HLOOKUP(D$117,$86:$101,5,FALSE)</f>
        <v>29.44258</v>
      </c>
      <c r="E121" s="107">
        <f t="shared" si="9"/>
        <v>35.218071999999999</v>
      </c>
      <c r="F121" s="107">
        <f t="shared" si="9"/>
        <v>56.449230999999997</v>
      </c>
      <c r="G121" s="107">
        <f t="shared" si="9"/>
        <v>67.064257999999995</v>
      </c>
      <c r="H121" s="107">
        <f t="shared" si="9"/>
        <v>53.415241999999999</v>
      </c>
      <c r="I121" s="107">
        <f t="shared" si="9"/>
        <v>49.271726999999998</v>
      </c>
      <c r="J121" s="107">
        <f t="shared" si="9"/>
        <v>44.274278000000002</v>
      </c>
      <c r="K121" s="107">
        <f t="shared" si="9"/>
        <v>24.187601999999998</v>
      </c>
      <c r="L121" s="107">
        <f t="shared" si="9"/>
        <v>22.604486999999999</v>
      </c>
      <c r="M121" s="107">
        <f t="shared" si="9"/>
        <v>25.154277</v>
      </c>
      <c r="N121" s="107">
        <f t="shared" si="9"/>
        <v>23.798262999999999</v>
      </c>
      <c r="O121" s="124">
        <f t="shared" si="9"/>
        <v>24.938551</v>
      </c>
    </row>
    <row r="122" spans="1:26" ht="14.25">
      <c r="A122" s="203"/>
      <c r="B122" s="105" t="s">
        <v>74</v>
      </c>
      <c r="C122" s="107">
        <f>HLOOKUP(C$117,$86:$101,6,FALSE)</f>
        <v>233.28242</v>
      </c>
      <c r="D122" s="107">
        <f t="shared" ref="D122:O122" si="10">HLOOKUP(D$117,$86:$101,6,FALSE)</f>
        <v>207.738203</v>
      </c>
      <c r="E122" s="107">
        <f t="shared" si="10"/>
        <v>231.47546199999999</v>
      </c>
      <c r="F122" s="107">
        <f t="shared" si="10"/>
        <v>269.55010299999998</v>
      </c>
      <c r="G122" s="107">
        <f t="shared" si="10"/>
        <v>316.35504600000002</v>
      </c>
      <c r="H122" s="107">
        <f t="shared" si="10"/>
        <v>324.37696499999998</v>
      </c>
      <c r="I122" s="107">
        <f t="shared" si="10"/>
        <v>296.32292799999999</v>
      </c>
      <c r="J122" s="107">
        <f t="shared" si="10"/>
        <v>247.112684</v>
      </c>
      <c r="K122" s="107">
        <f t="shared" si="10"/>
        <v>224.26124200000001</v>
      </c>
      <c r="L122" s="107">
        <f t="shared" si="10"/>
        <v>233.91494</v>
      </c>
      <c r="M122" s="107">
        <f t="shared" si="10"/>
        <v>244.02029300000001</v>
      </c>
      <c r="N122" s="107">
        <f t="shared" si="10"/>
        <v>218.49136100000001</v>
      </c>
      <c r="O122" s="124">
        <f t="shared" si="10"/>
        <v>213.548517</v>
      </c>
    </row>
    <row r="123" spans="1:26">
      <c r="A123" s="203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3"/>
      <c r="B124" s="105" t="s">
        <v>5</v>
      </c>
      <c r="C124" s="107">
        <f>HLOOKUP(C$117,$86:$102,8,FALSE)</f>
        <v>0.20035</v>
      </c>
      <c r="D124" s="107">
        <f t="shared" ref="D124:O124" si="12">HLOOKUP(D$117,$86:$102,8,FALSE)</f>
        <v>0.12734500000000001</v>
      </c>
      <c r="E124" s="107">
        <f t="shared" si="12"/>
        <v>0.24965100000000001</v>
      </c>
      <c r="F124" s="107">
        <f t="shared" si="12"/>
        <v>5.6180000000000001E-2</v>
      </c>
      <c r="G124" s="107">
        <f t="shared" si="12"/>
        <v>0.118565</v>
      </c>
      <c r="H124" s="107">
        <f t="shared" si="12"/>
        <v>9.7920999999999994E-2</v>
      </c>
      <c r="I124" s="107">
        <f t="shared" si="12"/>
        <v>0</v>
      </c>
      <c r="J124" s="107">
        <f t="shared" si="12"/>
        <v>1.0359999999999999E-2</v>
      </c>
      <c r="K124" s="107">
        <f t="shared" si="12"/>
        <v>8.7279999999999996E-3</v>
      </c>
      <c r="L124" s="107">
        <f t="shared" si="12"/>
        <v>0</v>
      </c>
      <c r="M124" s="107">
        <f t="shared" si="12"/>
        <v>0</v>
      </c>
      <c r="N124" s="107">
        <f t="shared" si="12"/>
        <v>0</v>
      </c>
      <c r="O124" s="124">
        <f t="shared" si="12"/>
        <v>0</v>
      </c>
    </row>
    <row r="125" spans="1:26">
      <c r="A125" s="203"/>
      <c r="B125" s="105" t="s">
        <v>4</v>
      </c>
      <c r="C125" s="107">
        <f>HLOOKUP(C$117,$86:$102,9,FALSE)</f>
        <v>35.774521</v>
      </c>
      <c r="D125" s="107">
        <f t="shared" ref="D125:O125" si="13">HLOOKUP(D$117,$86:$102,9,FALSE)</f>
        <v>38.851148000000002</v>
      </c>
      <c r="E125" s="107">
        <f t="shared" si="13"/>
        <v>34.004562</v>
      </c>
      <c r="F125" s="107">
        <f t="shared" si="13"/>
        <v>36.423403999999998</v>
      </c>
      <c r="G125" s="107">
        <f t="shared" si="13"/>
        <v>41.343387999999997</v>
      </c>
      <c r="H125" s="107">
        <f t="shared" si="13"/>
        <v>44.372684</v>
      </c>
      <c r="I125" s="107">
        <f t="shared" si="13"/>
        <v>34.510787000000001</v>
      </c>
      <c r="J125" s="107">
        <f t="shared" si="13"/>
        <v>32.549160999999998</v>
      </c>
      <c r="K125" s="107">
        <f t="shared" si="13"/>
        <v>23.864156000000001</v>
      </c>
      <c r="L125" s="107">
        <f t="shared" si="13"/>
        <v>22.334897999999999</v>
      </c>
      <c r="M125" s="107">
        <f t="shared" si="13"/>
        <v>23.767339</v>
      </c>
      <c r="N125" s="107">
        <f t="shared" si="13"/>
        <v>30.739825</v>
      </c>
      <c r="O125" s="124">
        <f t="shared" si="13"/>
        <v>45.238748000000001</v>
      </c>
    </row>
    <row r="126" spans="1:26">
      <c r="A126" s="203"/>
      <c r="B126" s="113" t="s">
        <v>22</v>
      </c>
      <c r="C126" s="107">
        <f>HLOOKUP(C$117,$86:$102,10,FALSE)</f>
        <v>0.11230800000000001</v>
      </c>
      <c r="D126" s="107">
        <f t="shared" ref="D126:O126" si="14">HLOOKUP(D$117,$86:$102,10,FALSE)</f>
        <v>7.399E-2</v>
      </c>
      <c r="E126" s="107">
        <f t="shared" si="14"/>
        <v>9.0162999999999993E-2</v>
      </c>
      <c r="F126" s="107">
        <f t="shared" si="14"/>
        <v>8.4139000000000005E-2</v>
      </c>
      <c r="G126" s="107">
        <f t="shared" si="14"/>
        <v>3.7238E-2</v>
      </c>
      <c r="H126" s="107">
        <f t="shared" si="14"/>
        <v>2.6629E-2</v>
      </c>
      <c r="I126" s="107">
        <f t="shared" si="14"/>
        <v>3.1858999999999998E-2</v>
      </c>
      <c r="J126" s="107">
        <f t="shared" si="14"/>
        <v>3.9587999999999998E-2</v>
      </c>
      <c r="K126" s="107">
        <f t="shared" si="14"/>
        <v>0.134767</v>
      </c>
      <c r="L126" s="107">
        <f t="shared" si="14"/>
        <v>0.12625700000000001</v>
      </c>
      <c r="M126" s="107">
        <f t="shared" si="14"/>
        <v>0.103766</v>
      </c>
      <c r="N126" s="107">
        <f t="shared" si="14"/>
        <v>3.9530000000000003E-2</v>
      </c>
      <c r="O126" s="124">
        <f t="shared" si="14"/>
        <v>4.0002000000000003E-2</v>
      </c>
    </row>
    <row r="127" spans="1:26">
      <c r="A127" s="203"/>
      <c r="B127" s="113" t="s">
        <v>23</v>
      </c>
      <c r="C127" s="107">
        <f>HLOOKUP(C$117,$86:$102,11,FALSE)</f>
        <v>3.577315</v>
      </c>
      <c r="D127" s="107">
        <f t="shared" ref="D127:O127" si="15">HLOOKUP(D$117,$86:$102,11,FALSE)</f>
        <v>3.6179220000000001</v>
      </c>
      <c r="E127" s="107">
        <f t="shared" si="15"/>
        <v>3.5173019999999999</v>
      </c>
      <c r="F127" s="107">
        <f t="shared" si="15"/>
        <v>3.783118</v>
      </c>
      <c r="G127" s="107">
        <f t="shared" si="15"/>
        <v>3.2446030000000001</v>
      </c>
      <c r="H127" s="107">
        <f t="shared" si="15"/>
        <v>3.7400570000000002</v>
      </c>
      <c r="I127" s="107">
        <f t="shared" si="15"/>
        <v>3.104663</v>
      </c>
      <c r="J127" s="107">
        <f t="shared" si="15"/>
        <v>1.7294940000000001</v>
      </c>
      <c r="K127" s="107">
        <f t="shared" si="15"/>
        <v>2.8349500000000001</v>
      </c>
      <c r="L127" s="107">
        <f t="shared" si="15"/>
        <v>3.210191</v>
      </c>
      <c r="M127" s="107">
        <f t="shared" si="15"/>
        <v>3.9370180000000001</v>
      </c>
      <c r="N127" s="107">
        <f t="shared" si="15"/>
        <v>3.7397490000000002</v>
      </c>
      <c r="O127" s="124">
        <f t="shared" si="15"/>
        <v>3.4851179999999999</v>
      </c>
    </row>
    <row r="128" spans="1:26">
      <c r="A128" s="203"/>
      <c r="B128" s="105" t="s">
        <v>55</v>
      </c>
      <c r="C128" s="107">
        <f t="shared" ref="C128:O128" si="16">HLOOKUP(C$117,$86:$102,13,FALSE)</f>
        <v>9.6378819999999994</v>
      </c>
      <c r="D128" s="107">
        <f t="shared" si="16"/>
        <v>10.65733</v>
      </c>
      <c r="E128" s="107">
        <f t="shared" si="16"/>
        <v>12.228600500000001</v>
      </c>
      <c r="F128" s="107">
        <f t="shared" si="16"/>
        <v>15.5976535</v>
      </c>
      <c r="G128" s="107">
        <f t="shared" si="16"/>
        <v>12.5411815</v>
      </c>
      <c r="H128" s="107">
        <f t="shared" si="16"/>
        <v>14.683114</v>
      </c>
      <c r="I128" s="107">
        <f t="shared" si="16"/>
        <v>9.9340825000000006</v>
      </c>
      <c r="J128" s="107">
        <f t="shared" si="16"/>
        <v>10.860910000000001</v>
      </c>
      <c r="K128" s="107">
        <f t="shared" si="16"/>
        <v>10.810193999999999</v>
      </c>
      <c r="L128" s="107">
        <f t="shared" si="16"/>
        <v>8.9918355000000005</v>
      </c>
      <c r="M128" s="107">
        <f t="shared" si="16"/>
        <v>10.485035</v>
      </c>
      <c r="N128" s="107">
        <f t="shared" si="16"/>
        <v>5.6085469999999997</v>
      </c>
      <c r="O128" s="124">
        <f t="shared" si="16"/>
        <v>12.829401000000001</v>
      </c>
    </row>
    <row r="129" spans="1:15">
      <c r="A129" s="203"/>
      <c r="B129" s="105" t="s">
        <v>54</v>
      </c>
      <c r="C129" s="107">
        <f>HLOOKUP(C$117,$86:$102,12,FALSE)</f>
        <v>9.6378819999999994</v>
      </c>
      <c r="D129" s="107">
        <f t="shared" ref="D129:O129" si="17">HLOOKUP(D$117,$86:$102,12,FALSE)</f>
        <v>10.65733</v>
      </c>
      <c r="E129" s="107">
        <f t="shared" si="17"/>
        <v>12.228600500000001</v>
      </c>
      <c r="F129" s="107">
        <f t="shared" si="17"/>
        <v>15.5976535</v>
      </c>
      <c r="G129" s="107">
        <f t="shared" si="17"/>
        <v>12.5411815</v>
      </c>
      <c r="H129" s="107">
        <f t="shared" si="17"/>
        <v>14.683114</v>
      </c>
      <c r="I129" s="107">
        <f t="shared" si="17"/>
        <v>9.9340825000000006</v>
      </c>
      <c r="J129" s="107">
        <f t="shared" si="17"/>
        <v>10.860910000000001</v>
      </c>
      <c r="K129" s="107">
        <f t="shared" si="17"/>
        <v>10.810193999999999</v>
      </c>
      <c r="L129" s="107">
        <f t="shared" si="17"/>
        <v>8.9918355000000005</v>
      </c>
      <c r="M129" s="107">
        <f t="shared" si="17"/>
        <v>10.485035</v>
      </c>
      <c r="N129" s="107">
        <f t="shared" si="17"/>
        <v>5.6085469999999997</v>
      </c>
      <c r="O129" s="124">
        <f t="shared" si="17"/>
        <v>12.829401000000001</v>
      </c>
    </row>
    <row r="130" spans="1:15">
      <c r="A130" s="203"/>
      <c r="B130" s="114" t="s">
        <v>2</v>
      </c>
      <c r="C130" s="115">
        <f>HLOOKUP(C$117,$86:$102,14,FALSE)</f>
        <v>332.45654999999999</v>
      </c>
      <c r="D130" s="115">
        <f t="shared" ref="D130:O130" si="18">HLOOKUP(D$117,$86:$102,14,FALSE)</f>
        <v>307.69163700000001</v>
      </c>
      <c r="E130" s="115">
        <f t="shared" si="18"/>
        <v>340.88645400000001</v>
      </c>
      <c r="F130" s="115">
        <f t="shared" si="18"/>
        <v>421.476586</v>
      </c>
      <c r="G130" s="115">
        <f t="shared" si="18"/>
        <v>565.78934400000003</v>
      </c>
      <c r="H130" s="115">
        <f t="shared" si="18"/>
        <v>529.34347600000001</v>
      </c>
      <c r="I130" s="115">
        <f t="shared" si="18"/>
        <v>435.06932</v>
      </c>
      <c r="J130" s="115">
        <f t="shared" si="18"/>
        <v>363.589969</v>
      </c>
      <c r="K130" s="115">
        <f t="shared" si="18"/>
        <v>302.01390600000002</v>
      </c>
      <c r="L130" s="115">
        <f t="shared" si="18"/>
        <v>305.13724000000002</v>
      </c>
      <c r="M130" s="115">
        <f t="shared" si="18"/>
        <v>322.53600799999998</v>
      </c>
      <c r="N130" s="115">
        <f t="shared" si="18"/>
        <v>292.18657400000001</v>
      </c>
      <c r="O130" s="125">
        <f t="shared" si="18"/>
        <v>317.63524000000001</v>
      </c>
    </row>
    <row r="131" spans="1:15">
      <c r="A131" s="203"/>
      <c r="B131" s="105" t="s">
        <v>21</v>
      </c>
      <c r="C131" s="116">
        <f>HLOOKUP(C$117,$86:$102,15,FALSE)</f>
        <v>82.194308000000007</v>
      </c>
      <c r="D131" s="116">
        <f t="shared" ref="D131:O131" si="19">HLOOKUP(D$117,$86:$102,15,FALSE)</f>
        <v>98.033413999999993</v>
      </c>
      <c r="E131" s="116">
        <f t="shared" si="19"/>
        <v>118.762416</v>
      </c>
      <c r="F131" s="116">
        <f t="shared" si="19"/>
        <v>124.350134</v>
      </c>
      <c r="G131" s="116">
        <f t="shared" si="19"/>
        <v>168.54782399999999</v>
      </c>
      <c r="H131" s="116">
        <f t="shared" si="19"/>
        <v>175.00929099999999</v>
      </c>
      <c r="I131" s="116">
        <f t="shared" si="19"/>
        <v>130.854702</v>
      </c>
      <c r="J131" s="116">
        <f t="shared" si="19"/>
        <v>131.44748999999999</v>
      </c>
      <c r="K131" s="116">
        <f t="shared" si="19"/>
        <v>70.767787999999996</v>
      </c>
      <c r="L131" s="116">
        <f t="shared" si="19"/>
        <v>112.440268</v>
      </c>
      <c r="M131" s="116">
        <f t="shared" si="19"/>
        <v>122.760274</v>
      </c>
      <c r="N131" s="116">
        <f t="shared" si="19"/>
        <v>114.74408200000001</v>
      </c>
      <c r="O131" s="116">
        <f t="shared" si="19"/>
        <v>110.667727</v>
      </c>
    </row>
    <row r="132" spans="1:15">
      <c r="A132" s="203"/>
      <c r="B132" s="117" t="s">
        <v>1</v>
      </c>
      <c r="C132" s="118">
        <f>HLOOKUP(C$117,$86:$102,16,FALSE)</f>
        <v>414.65085800000003</v>
      </c>
      <c r="D132" s="118">
        <f t="shared" ref="D132:O132" si="20">HLOOKUP(D$117,$86:$102,16,FALSE)</f>
        <v>405.72505100000001</v>
      </c>
      <c r="E132" s="118">
        <f t="shared" si="20"/>
        <v>459.64886999999999</v>
      </c>
      <c r="F132" s="118">
        <f t="shared" si="20"/>
        <v>545.82672000000002</v>
      </c>
      <c r="G132" s="118">
        <f t="shared" si="20"/>
        <v>734.33716800000002</v>
      </c>
      <c r="H132" s="118">
        <f t="shared" si="20"/>
        <v>704.35276699999997</v>
      </c>
      <c r="I132" s="118">
        <f t="shared" si="20"/>
        <v>565.92402200000004</v>
      </c>
      <c r="J132" s="118">
        <f t="shared" si="20"/>
        <v>495.03745900000001</v>
      </c>
      <c r="K132" s="118">
        <f t="shared" si="20"/>
        <v>372.78169400000002</v>
      </c>
      <c r="L132" s="118">
        <f t="shared" si="20"/>
        <v>417.57750800000002</v>
      </c>
      <c r="M132" s="118">
        <f t="shared" si="20"/>
        <v>445.29628200000002</v>
      </c>
      <c r="N132" s="118">
        <f t="shared" si="20"/>
        <v>406.930656</v>
      </c>
      <c r="O132" s="118">
        <f t="shared" si="20"/>
        <v>428.30296700000002</v>
      </c>
    </row>
    <row r="133" spans="1:15" ht="14.25">
      <c r="A133" s="204"/>
      <c r="B133" s="126" t="s">
        <v>75</v>
      </c>
      <c r="C133" s="127">
        <f>C120+C121+C123</f>
        <v>40.752212</v>
      </c>
      <c r="D133" s="127">
        <f>D120+D121+D123</f>
        <v>36.577028999999996</v>
      </c>
      <c r="E133" s="127">
        <f t="shared" ref="E133:O133" si="21">E120+E121+E123</f>
        <v>47.925082000000003</v>
      </c>
      <c r="F133" s="127">
        <f t="shared" si="21"/>
        <v>77.204378999999989</v>
      </c>
      <c r="G133" s="127">
        <f t="shared" si="21"/>
        <v>124.68270699999999</v>
      </c>
      <c r="H133" s="127">
        <f t="shared" si="21"/>
        <v>118.33977300000001</v>
      </c>
      <c r="I133" s="127">
        <f t="shared" si="21"/>
        <v>82.054295999999994</v>
      </c>
      <c r="J133" s="127">
        <f t="shared" si="21"/>
        <v>61.254111000000002</v>
      </c>
      <c r="K133" s="127">
        <f t="shared" si="21"/>
        <v>30.185099999999998</v>
      </c>
      <c r="L133" s="127">
        <f t="shared" si="21"/>
        <v>28.263148000000001</v>
      </c>
      <c r="M133" s="127">
        <f t="shared" si="21"/>
        <v>30.443576</v>
      </c>
      <c r="N133" s="127">
        <f t="shared" si="21"/>
        <v>28.621776999999998</v>
      </c>
      <c r="O133" s="127">
        <f t="shared" si="21"/>
        <v>30.374336</v>
      </c>
    </row>
    <row r="134" spans="1:15">
      <c r="A134" s="202" t="s">
        <v>77</v>
      </c>
      <c r="B134" s="128" t="s">
        <v>73</v>
      </c>
      <c r="C134" s="111" t="str">
        <f>TEXT(EDATE($A$2,-12),"mmm")&amp;".-"&amp;TEXT(EDATE($A$2,-12),"aa")</f>
        <v>mar.-23</v>
      </c>
      <c r="D134" s="111" t="str">
        <f>TEXT(EDATE($A$2,-11),"mmm")&amp;".-"&amp;TEXT(EDATE($A$2,-11),"aa")</f>
        <v>abr.-23</v>
      </c>
      <c r="E134" s="111" t="str">
        <f>TEXT(EDATE($A$2,-10),"mmm")&amp;".-"&amp;TEXT(EDATE($A$2,-10),"aa")</f>
        <v>may.-23</v>
      </c>
      <c r="F134" s="111" t="str">
        <f>TEXT(EDATE($A$2,-9),"mmm")&amp;".-"&amp;TEXT(EDATE($A$2,-9),"aa")</f>
        <v>jun.-23</v>
      </c>
      <c r="G134" s="111" t="str">
        <f>TEXT(EDATE($A$2,-8),"mmm")&amp;".-"&amp;TEXT(EDATE($A$2,-8),"aa")</f>
        <v>jul.-23</v>
      </c>
      <c r="H134" s="111" t="str">
        <f>TEXT(EDATE($A$2,-7),"mmm")&amp;".-"&amp;TEXT(EDATE($A$2,-7),"aa")</f>
        <v>ago.-23</v>
      </c>
      <c r="I134" s="111" t="str">
        <f>TEXT(EDATE($A$2,-6),"mmm")&amp;".-"&amp;TEXT(EDATE($A$2,-6),"aa")</f>
        <v>sep.-23</v>
      </c>
      <c r="J134" s="111" t="str">
        <f>TEXT(EDATE($A$2,-5),"mmm")&amp;".-"&amp;TEXT(EDATE($A$2,-5),"aa")</f>
        <v>oct.-23</v>
      </c>
      <c r="K134" s="111" t="str">
        <f>TEXT(EDATE($A$2,-4),"mmm")&amp;".-"&amp;TEXT(EDATE($A$2,-4),"aa")</f>
        <v>nov.-23</v>
      </c>
      <c r="L134" s="111" t="str">
        <f>TEXT(EDATE($A$2,-3),"mmm")&amp;".-"&amp;TEXT(EDATE($A$2,-3),"aa")</f>
        <v>dic.-23</v>
      </c>
      <c r="M134" s="111" t="str">
        <f>TEXT(EDATE($A$2,-2),"mmm")&amp;".-"&amp;TEXT(EDATE($A$2,-2),"aa")</f>
        <v>ene.-24</v>
      </c>
      <c r="N134" s="111" t="str">
        <f>TEXT(EDATE($A$2,-1),"mmm")&amp;".-"&amp;TEXT(EDATE($A$2,-1),"aa")</f>
        <v>feb.-24</v>
      </c>
      <c r="O134" s="112" t="str">
        <f>TEXT($A$2,"mmm")&amp;".-"&amp;TEXT($A$2,"aa")</f>
        <v>mar.-24</v>
      </c>
    </row>
    <row r="135" spans="1:15" ht="15" customHeight="1">
      <c r="A135" s="203"/>
      <c r="B135" s="105" t="s">
        <v>12</v>
      </c>
      <c r="C135" s="107">
        <f>HLOOKUP(C$117,$86:$115,17,FALSE)</f>
        <v>0.28212599999999999</v>
      </c>
      <c r="D135" s="107">
        <f t="shared" ref="D135:N135" si="22">HLOOKUP(D$117,$86:$115,17,FALSE)</f>
        <v>0.27610800000000002</v>
      </c>
      <c r="E135" s="107">
        <f t="shared" si="22"/>
        <v>0.29790899999999998</v>
      </c>
      <c r="F135" s="107">
        <f t="shared" si="22"/>
        <v>0.28383700000000001</v>
      </c>
      <c r="G135" s="107">
        <f t="shared" si="22"/>
        <v>0.30198999999999998</v>
      </c>
      <c r="H135" s="107">
        <f t="shared" si="22"/>
        <v>0.28963</v>
      </c>
      <c r="I135" s="107">
        <f t="shared" si="22"/>
        <v>0.28927700000000001</v>
      </c>
      <c r="J135" s="107">
        <f t="shared" si="22"/>
        <v>0.30293500000000001</v>
      </c>
      <c r="K135" s="107">
        <f t="shared" si="22"/>
        <v>0.28046900000000002</v>
      </c>
      <c r="L135" s="107">
        <f t="shared" si="22"/>
        <v>0.30561100000000002</v>
      </c>
      <c r="M135" s="107">
        <f t="shared" si="22"/>
        <v>0.29624200000000001</v>
      </c>
      <c r="N135" s="107">
        <f t="shared" si="22"/>
        <v>0.28508299999999998</v>
      </c>
      <c r="O135" s="144">
        <f>HLOOKUP(O$117,$86:$115,17,FALSE)</f>
        <v>0.272924</v>
      </c>
    </row>
    <row r="136" spans="1:15">
      <c r="A136" s="203"/>
      <c r="B136" s="105" t="s">
        <v>10</v>
      </c>
      <c r="C136" s="107">
        <f>HLOOKUP(C$117,$86:$115,18,FALSE)+HLOOKUP(C$117,$86:$115,22,FALSE)</f>
        <v>141.34883499999998</v>
      </c>
      <c r="D136" s="107">
        <f>HLOOKUP(D$117,$86:$115,18,FALSE)+HLOOKUP(D$117,$86:$115,22,FALSE)</f>
        <v>149.84285</v>
      </c>
      <c r="E136" s="107">
        <f t="shared" ref="E136:N136" si="23">HLOOKUP(E$117,$86:$115,18,FALSE)+HLOOKUP(E$117,$86:$115,22,FALSE)</f>
        <v>152.65936299999998</v>
      </c>
      <c r="F136" s="107">
        <f t="shared" si="23"/>
        <v>159.42586699999998</v>
      </c>
      <c r="G136" s="107">
        <f t="shared" si="23"/>
        <v>147.371253</v>
      </c>
      <c r="H136" s="107">
        <f t="shared" si="23"/>
        <v>158.13818499999999</v>
      </c>
      <c r="I136" s="107">
        <f t="shared" si="23"/>
        <v>154.76962499999999</v>
      </c>
      <c r="J136" s="107">
        <f t="shared" si="23"/>
        <v>179.46748099999999</v>
      </c>
      <c r="K136" s="107">
        <f t="shared" si="23"/>
        <v>168.212242</v>
      </c>
      <c r="L136" s="107">
        <f t="shared" si="23"/>
        <v>171.03556599999999</v>
      </c>
      <c r="M136" s="107">
        <f t="shared" si="23"/>
        <v>166.77709300000001</v>
      </c>
      <c r="N136" s="107">
        <f t="shared" si="23"/>
        <v>147.58979299999999</v>
      </c>
      <c r="O136" s="124">
        <f>HLOOKUP(O$117,$86:$115,18,FALSE)+HLOOKUP(O$117,$86:$115,22,FALSE)</f>
        <v>156.051411</v>
      </c>
    </row>
    <row r="137" spans="1:15">
      <c r="A137" s="203"/>
      <c r="B137" s="105" t="s">
        <v>9</v>
      </c>
      <c r="C137" s="107">
        <f>HLOOKUP(C$117,$86:$115,19,FALSE)</f>
        <v>16.813075000000001</v>
      </c>
      <c r="D137" s="107">
        <f t="shared" ref="D137:O137" si="24">HLOOKUP(D$117,$86:$115,19,FALSE)</f>
        <v>21.092299000000001</v>
      </c>
      <c r="E137" s="107">
        <f t="shared" si="24"/>
        <v>23.467611000000002</v>
      </c>
      <c r="F137" s="107">
        <f t="shared" si="24"/>
        <v>20.997603000000002</v>
      </c>
      <c r="G137" s="107">
        <f t="shared" si="24"/>
        <v>15.379733999999999</v>
      </c>
      <c r="H137" s="107">
        <f t="shared" si="24"/>
        <v>16.795183000000002</v>
      </c>
      <c r="I137" s="107">
        <f t="shared" si="24"/>
        <v>18.188441000000001</v>
      </c>
      <c r="J137" s="107">
        <f t="shared" si="24"/>
        <v>30.707764999999998</v>
      </c>
      <c r="K137" s="107">
        <f t="shared" si="24"/>
        <v>24.331886999999998</v>
      </c>
      <c r="L137" s="107">
        <f t="shared" si="24"/>
        <v>26.447642999999999</v>
      </c>
      <c r="M137" s="107">
        <f t="shared" si="24"/>
        <v>28.032011000000001</v>
      </c>
      <c r="N137" s="107">
        <f t="shared" si="24"/>
        <v>23.301389</v>
      </c>
      <c r="O137" s="124">
        <f t="shared" si="24"/>
        <v>22.780221000000001</v>
      </c>
    </row>
    <row r="138" spans="1:15">
      <c r="A138" s="203"/>
      <c r="B138" s="105" t="s">
        <v>8</v>
      </c>
      <c r="C138" s="107">
        <f>HLOOKUP(C$117,$86:$115,20,FALSE)</f>
        <v>103.679242</v>
      </c>
      <c r="D138" s="107">
        <f t="shared" ref="D138:O138" si="25">HLOOKUP(D$117,$86:$115,20,FALSE)</f>
        <v>89.164951000000002</v>
      </c>
      <c r="E138" s="107">
        <f t="shared" si="25"/>
        <v>84.880949000000001</v>
      </c>
      <c r="F138" s="107">
        <f t="shared" si="25"/>
        <v>84.905440999999996</v>
      </c>
      <c r="G138" s="107">
        <f t="shared" si="25"/>
        <v>101.065799</v>
      </c>
      <c r="H138" s="107">
        <f t="shared" si="25"/>
        <v>105.31614999999999</v>
      </c>
      <c r="I138" s="107">
        <f t="shared" si="25"/>
        <v>105.510948</v>
      </c>
      <c r="J138" s="107">
        <f t="shared" si="25"/>
        <v>119.677701</v>
      </c>
      <c r="K138" s="107">
        <f t="shared" si="25"/>
        <v>90.916317000000006</v>
      </c>
      <c r="L138" s="107">
        <f t="shared" si="25"/>
        <v>96.450059999999993</v>
      </c>
      <c r="M138" s="107">
        <f t="shared" si="25"/>
        <v>118.36447</v>
      </c>
      <c r="N138" s="107">
        <f t="shared" si="25"/>
        <v>100.186932</v>
      </c>
      <c r="O138" s="124">
        <f t="shared" si="25"/>
        <v>116.04889799999999</v>
      </c>
    </row>
    <row r="139" spans="1:15" ht="14.25">
      <c r="A139" s="203"/>
      <c r="B139" s="105" t="s">
        <v>74</v>
      </c>
      <c r="C139" s="107">
        <f>HLOOKUP(C$117,$86:$115,21,FALSE)</f>
        <v>284.83144399999998</v>
      </c>
      <c r="D139" s="107">
        <f t="shared" ref="D139:O139" si="26">HLOOKUP(D$117,$86:$115,21,FALSE)</f>
        <v>279.54366599999997</v>
      </c>
      <c r="E139" s="107">
        <f t="shared" si="26"/>
        <v>275.34098399999999</v>
      </c>
      <c r="F139" s="107">
        <f t="shared" si="26"/>
        <v>351.45923099999999</v>
      </c>
      <c r="G139" s="107">
        <f t="shared" si="26"/>
        <v>250.52108799999999</v>
      </c>
      <c r="H139" s="107">
        <f t="shared" si="26"/>
        <v>306.93109600000003</v>
      </c>
      <c r="I139" s="107">
        <f t="shared" si="26"/>
        <v>329.65078499999998</v>
      </c>
      <c r="J139" s="107">
        <f t="shared" si="26"/>
        <v>385.37423100000001</v>
      </c>
      <c r="K139" s="107">
        <f t="shared" si="26"/>
        <v>320.60776499999997</v>
      </c>
      <c r="L139" s="107">
        <f t="shared" si="26"/>
        <v>343.70541600000001</v>
      </c>
      <c r="M139" s="107">
        <f t="shared" si="26"/>
        <v>348.60822999999999</v>
      </c>
      <c r="N139" s="107">
        <f t="shared" si="26"/>
        <v>282.95672999999999</v>
      </c>
      <c r="O139" s="124">
        <f t="shared" si="26"/>
        <v>305.966994</v>
      </c>
    </row>
    <row r="140" spans="1:15">
      <c r="A140" s="203"/>
      <c r="B140" s="105" t="s">
        <v>6</v>
      </c>
      <c r="C140" s="107">
        <f>HLOOKUP(C$117,$86:$115,23,FALSE)</f>
        <v>1.5724450000000001</v>
      </c>
      <c r="D140" s="107">
        <f t="shared" ref="D140:O140" si="27">HLOOKUP(D$117,$86:$115,23,FALSE)</f>
        <v>1.573337</v>
      </c>
      <c r="E140" s="107">
        <f t="shared" si="27"/>
        <v>2.0671949999999999</v>
      </c>
      <c r="F140" s="107">
        <f t="shared" si="27"/>
        <v>0.80873799999999996</v>
      </c>
      <c r="G140" s="107">
        <f t="shared" si="27"/>
        <v>2.7590569999999999</v>
      </c>
      <c r="H140" s="107">
        <f t="shared" si="27"/>
        <v>2.6998280000000001</v>
      </c>
      <c r="I140" s="107">
        <f t="shared" si="27"/>
        <v>1.3149919999999999</v>
      </c>
      <c r="J140" s="107">
        <f t="shared" si="27"/>
        <v>0.44324000000000002</v>
      </c>
      <c r="K140" s="107">
        <f t="shared" si="27"/>
        <v>1.0899650000000001</v>
      </c>
      <c r="L140" s="107">
        <f t="shared" si="27"/>
        <v>0.66913</v>
      </c>
      <c r="M140" s="107">
        <f t="shared" si="27"/>
        <v>0.66808100000000004</v>
      </c>
      <c r="N140" s="107">
        <f t="shared" si="27"/>
        <v>1.414679</v>
      </c>
      <c r="O140" s="124">
        <f t="shared" si="27"/>
        <v>1.5891550000000001</v>
      </c>
    </row>
    <row r="141" spans="1:15">
      <c r="A141" s="203"/>
      <c r="B141" s="105" t="s">
        <v>5</v>
      </c>
      <c r="C141" s="107">
        <f>HLOOKUP(C$117,$86:$115,24,FALSE)</f>
        <v>130.23741999999999</v>
      </c>
      <c r="D141" s="107">
        <f t="shared" ref="D141:O141" si="28">HLOOKUP(D$117,$86:$115,24,FALSE)</f>
        <v>103.685765</v>
      </c>
      <c r="E141" s="107">
        <f t="shared" si="28"/>
        <v>131.84913700000001</v>
      </c>
      <c r="F141" s="107">
        <f t="shared" si="28"/>
        <v>63.874986999999997</v>
      </c>
      <c r="G141" s="107">
        <f t="shared" si="28"/>
        <v>209.60142099999999</v>
      </c>
      <c r="H141" s="107">
        <f t="shared" si="28"/>
        <v>178.40248800000001</v>
      </c>
      <c r="I141" s="107">
        <f t="shared" si="28"/>
        <v>103.232878</v>
      </c>
      <c r="J141" s="107">
        <f t="shared" si="28"/>
        <v>57.758575</v>
      </c>
      <c r="K141" s="107">
        <f t="shared" si="28"/>
        <v>99.872924999999995</v>
      </c>
      <c r="L141" s="107">
        <f t="shared" si="28"/>
        <v>70.816050000000004</v>
      </c>
      <c r="M141" s="107">
        <f t="shared" si="28"/>
        <v>53.196173999999999</v>
      </c>
      <c r="N141" s="107">
        <f t="shared" si="28"/>
        <v>108.751811</v>
      </c>
      <c r="O141" s="124">
        <f t="shared" si="28"/>
        <v>89.282236999999995</v>
      </c>
    </row>
    <row r="142" spans="1:15">
      <c r="A142" s="203"/>
      <c r="B142" s="105" t="s">
        <v>4</v>
      </c>
      <c r="C142" s="107">
        <f>HLOOKUP(C$117,$86:$115,25,FALSE)</f>
        <v>32.428702000000001</v>
      </c>
      <c r="D142" s="107">
        <f t="shared" ref="D142:O142" si="29">HLOOKUP(D$117,$86:$115,25,FALSE)</f>
        <v>30.033574000000002</v>
      </c>
      <c r="E142" s="107">
        <f t="shared" si="29"/>
        <v>30.564440999999999</v>
      </c>
      <c r="F142" s="107">
        <f t="shared" si="29"/>
        <v>30.691880000000001</v>
      </c>
      <c r="G142" s="107">
        <f t="shared" si="29"/>
        <v>35.002752999999998</v>
      </c>
      <c r="H142" s="107">
        <f t="shared" si="29"/>
        <v>33.602015999999999</v>
      </c>
      <c r="I142" s="107">
        <f t="shared" si="29"/>
        <v>31.322213000000001</v>
      </c>
      <c r="J142" s="107">
        <f t="shared" si="29"/>
        <v>29.6997</v>
      </c>
      <c r="K142" s="107">
        <f t="shared" si="29"/>
        <v>24.842165000000001</v>
      </c>
      <c r="L142" s="107">
        <f t="shared" si="29"/>
        <v>23.549019999999999</v>
      </c>
      <c r="M142" s="107">
        <f t="shared" si="29"/>
        <v>24.433125</v>
      </c>
      <c r="N142" s="107">
        <f t="shared" si="29"/>
        <v>26.306543000000001</v>
      </c>
      <c r="O142" s="124">
        <f t="shared" si="29"/>
        <v>31.709985</v>
      </c>
    </row>
    <row r="143" spans="1:15">
      <c r="A143" s="203"/>
      <c r="B143" s="105" t="s">
        <v>22</v>
      </c>
      <c r="C143" s="107">
        <f>HLOOKUP(C$117,$86:$115,26,FALSE)</f>
        <v>0.73842799999999997</v>
      </c>
      <c r="D143" s="107">
        <f t="shared" ref="D143:O143" si="30">HLOOKUP(D$117,$86:$115,26,FALSE)</f>
        <v>0.63095199999999996</v>
      </c>
      <c r="E143" s="107">
        <f t="shared" si="30"/>
        <v>0.65055600000000002</v>
      </c>
      <c r="F143" s="107">
        <f t="shared" si="30"/>
        <v>0.66513100000000003</v>
      </c>
      <c r="G143" s="107">
        <f t="shared" si="30"/>
        <v>0.64607300000000001</v>
      </c>
      <c r="H143" s="107">
        <f t="shared" si="30"/>
        <v>0.37482700000000002</v>
      </c>
      <c r="I143" s="107">
        <f t="shared" si="30"/>
        <v>0.37211699999999998</v>
      </c>
      <c r="J143" s="107">
        <f t="shared" si="30"/>
        <v>0.52430399999999999</v>
      </c>
      <c r="K143" s="107">
        <f t="shared" si="30"/>
        <v>0.42454199999999997</v>
      </c>
      <c r="L143" s="107">
        <f t="shared" si="30"/>
        <v>0.44537900000000002</v>
      </c>
      <c r="M143" s="107">
        <f t="shared" si="30"/>
        <v>0.50013399999999997</v>
      </c>
      <c r="N143" s="107">
        <f t="shared" si="30"/>
        <v>0.49944300000000003</v>
      </c>
      <c r="O143" s="124">
        <f t="shared" si="30"/>
        <v>0.57839200000000002</v>
      </c>
    </row>
    <row r="144" spans="1:15">
      <c r="A144" s="203"/>
      <c r="B144" s="117" t="s">
        <v>1</v>
      </c>
      <c r="C144" s="118">
        <f>HLOOKUP(C$117,$86:$115,28,FALSE)</f>
        <v>711.93171700000005</v>
      </c>
      <c r="D144" s="118">
        <f t="shared" ref="D144:O144" si="31">HLOOKUP(D$117,$86:$115,28,FALSE)</f>
        <v>675.84350199999994</v>
      </c>
      <c r="E144" s="118">
        <f t="shared" si="31"/>
        <v>701.77814499999999</v>
      </c>
      <c r="F144" s="118">
        <f t="shared" si="31"/>
        <v>713.11271499999998</v>
      </c>
      <c r="G144" s="118">
        <f t="shared" si="31"/>
        <v>762.64916800000003</v>
      </c>
      <c r="H144" s="118">
        <f t="shared" si="31"/>
        <v>802.54940299999998</v>
      </c>
      <c r="I144" s="118">
        <f t="shared" si="31"/>
        <v>744.65127600000005</v>
      </c>
      <c r="J144" s="118">
        <f t="shared" si="31"/>
        <v>803.95593199999996</v>
      </c>
      <c r="K144" s="118">
        <f t="shared" si="31"/>
        <v>730.57827699999996</v>
      </c>
      <c r="L144" s="118">
        <f t="shared" si="31"/>
        <v>733.42387499999995</v>
      </c>
      <c r="M144" s="118">
        <f t="shared" si="31"/>
        <v>740.87555999999995</v>
      </c>
      <c r="N144" s="118">
        <f t="shared" si="31"/>
        <v>691.29240300000004</v>
      </c>
      <c r="O144" s="118">
        <f t="shared" si="31"/>
        <v>724.28021699999999</v>
      </c>
    </row>
    <row r="145" spans="1:26">
      <c r="A145" s="203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4"/>
      <c r="B146" s="126" t="s">
        <v>75</v>
      </c>
      <c r="C146" s="130">
        <f>SUM(C136:C138)</f>
        <v>261.84115199999997</v>
      </c>
      <c r="D146" s="130">
        <f t="shared" ref="D146:N146" si="32">SUM(D136:D138)</f>
        <v>260.1001</v>
      </c>
      <c r="E146" s="130">
        <f t="shared" si="32"/>
        <v>261.00792300000001</v>
      </c>
      <c r="F146" s="130">
        <f t="shared" si="32"/>
        <v>265.32891099999995</v>
      </c>
      <c r="G146" s="130">
        <f t="shared" si="32"/>
        <v>263.81678599999998</v>
      </c>
      <c r="H146" s="130">
        <f t="shared" si="32"/>
        <v>280.24951799999997</v>
      </c>
      <c r="I146" s="130">
        <f t="shared" si="32"/>
        <v>278.46901400000002</v>
      </c>
      <c r="J146" s="130">
        <f t="shared" si="32"/>
        <v>329.85294699999997</v>
      </c>
      <c r="K146" s="130">
        <f t="shared" si="32"/>
        <v>283.46044599999999</v>
      </c>
      <c r="L146" s="130">
        <f t="shared" si="32"/>
        <v>293.933269</v>
      </c>
      <c r="M146" s="130">
        <f t="shared" si="32"/>
        <v>313.17357400000003</v>
      </c>
      <c r="N146" s="130">
        <f t="shared" si="32"/>
        <v>271.07811399999997</v>
      </c>
      <c r="O146" s="131">
        <f>SUM(O136:O138)</f>
        <v>294.88053000000002</v>
      </c>
    </row>
    <row r="149" spans="1:26" ht="15">
      <c r="A149" s="157"/>
      <c r="B149" s="157" t="s">
        <v>68</v>
      </c>
      <c r="C149" s="201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120</v>
      </c>
      <c r="B152" s="159" t="s">
        <v>121</v>
      </c>
      <c r="C152" s="175">
        <v>3.2919999999999998E-2</v>
      </c>
      <c r="D152" s="175">
        <v>-1.145E-2</v>
      </c>
      <c r="E152" s="175">
        <v>-1.712E-2</v>
      </c>
      <c r="F152" s="175">
        <v>6.1490000000000003E-2</v>
      </c>
      <c r="G152" s="175">
        <v>-1.3140000000000001E-2</v>
      </c>
      <c r="H152" s="175">
        <v>-4.3899999999999998E-3</v>
      </c>
      <c r="I152" s="175">
        <v>-4.444E-2</v>
      </c>
      <c r="J152" s="175">
        <v>3.569E-2</v>
      </c>
      <c r="K152" s="175">
        <v>-8.8699999999999994E-3</v>
      </c>
      <c r="L152" s="175">
        <v>-1.57E-3</v>
      </c>
      <c r="M152" s="175">
        <v>-3.0799999999999998E-3</v>
      </c>
      <c r="N152" s="175">
        <v>-4.2199999999999998E-3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1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120</v>
      </c>
      <c r="B158" s="159" t="s">
        <v>121</v>
      </c>
      <c r="C158" s="175">
        <v>1.7350000000000001E-2</v>
      </c>
      <c r="D158" s="175">
        <v>-1.1350000000000001E-2</v>
      </c>
      <c r="E158" s="175">
        <v>-2.0799999999999998E-3</v>
      </c>
      <c r="F158" s="175">
        <v>3.0779999999999998E-2</v>
      </c>
      <c r="G158" s="175">
        <v>3.5880000000000002E-2</v>
      </c>
      <c r="H158" s="175">
        <v>-2.48E-3</v>
      </c>
      <c r="I158" s="175">
        <v>-2.4099999999999998E-3</v>
      </c>
      <c r="J158" s="175">
        <v>4.0770000000000001E-2</v>
      </c>
      <c r="K158" s="175">
        <v>3.3009999999999998E-2</v>
      </c>
      <c r="L158" s="175">
        <v>-5.1999999999999995E-4</v>
      </c>
      <c r="M158" s="175">
        <v>1.9499999999999999E-3</v>
      </c>
      <c r="N158" s="175">
        <v>3.1579999999999997E-2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R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Marzo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Marzo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428.30296700000002</v>
      </c>
      <c r="G9" s="147">
        <f>Dat_01!T24*100</f>
        <v>3.2924347599999999</v>
      </c>
      <c r="H9" s="75">
        <f>Dat_01!U24/1000</f>
        <v>1280.5299050000001</v>
      </c>
      <c r="I9" s="147">
        <f>Dat_01!W24*100</f>
        <v>-1.31379278</v>
      </c>
      <c r="J9" s="75">
        <f>Dat_01!X24/1000</f>
        <v>5981.741164</v>
      </c>
      <c r="K9" s="147">
        <f>Dat_01!Y24*100</f>
        <v>-0.88713916999999998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-1.145</v>
      </c>
      <c r="H12" s="94"/>
      <c r="I12" s="94">
        <f>Dat_01!H152*100</f>
        <v>-0.439</v>
      </c>
      <c r="J12" s="94"/>
      <c r="K12" s="94">
        <f>Dat_01!L152*100</f>
        <v>-0.157</v>
      </c>
    </row>
    <row r="13" spans="3:12">
      <c r="E13" s="77" t="s">
        <v>42</v>
      </c>
      <c r="F13" s="76"/>
      <c r="G13" s="94">
        <f>Dat_01!E152*100</f>
        <v>-1.712</v>
      </c>
      <c r="H13" s="94"/>
      <c r="I13" s="94">
        <f>Dat_01!I152*100</f>
        <v>-4.444</v>
      </c>
      <c r="J13" s="94"/>
      <c r="K13" s="94">
        <f>Dat_01!M152*100</f>
        <v>-0.308</v>
      </c>
    </row>
    <row r="14" spans="3:12">
      <c r="E14" s="78" t="s">
        <v>43</v>
      </c>
      <c r="F14" s="79"/>
      <c r="G14" s="95">
        <f>Dat_01!F152*100</f>
        <v>6.149</v>
      </c>
      <c r="H14" s="95"/>
      <c r="I14" s="95">
        <f>Dat_01!J152*100</f>
        <v>3.569</v>
      </c>
      <c r="J14" s="95"/>
      <c r="K14" s="95">
        <f>Dat_01!N152*100</f>
        <v>-0.42199999999999999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D19" sqref="D19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Marzo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Marzo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724.28021699999999</v>
      </c>
      <c r="G9" s="147">
        <f>Dat_01!AB24*100</f>
        <v>1.7345062299999998</v>
      </c>
      <c r="H9" s="75">
        <f>Dat_01!AC24/1000</f>
        <v>2156.4481800000003</v>
      </c>
      <c r="I9" s="147">
        <f>Dat_01!AE24*100</f>
        <v>3.58847059</v>
      </c>
      <c r="J9" s="75">
        <f>Dat_01!AF24/1000</f>
        <v>8824.9904729999998</v>
      </c>
      <c r="K9" s="147">
        <f>Dat_01!AG24*100</f>
        <v>3.3008032800000002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-1.135</v>
      </c>
      <c r="H12" s="94"/>
      <c r="I12" s="94">
        <f>Dat_01!H158*100</f>
        <v>-0.248</v>
      </c>
      <c r="J12" s="94"/>
      <c r="K12" s="94">
        <f>Dat_01!L158*100</f>
        <v>-5.1999999999999998E-2</v>
      </c>
    </row>
    <row r="13" spans="3:12">
      <c r="E13" s="77" t="s">
        <v>42</v>
      </c>
      <c r="F13" s="76"/>
      <c r="G13" s="94">
        <f>Dat_01!E158*100</f>
        <v>-0.20799999999999999</v>
      </c>
      <c r="H13" s="94"/>
      <c r="I13" s="94">
        <f>Dat_01!I158*100</f>
        <v>-0.24099999999999999</v>
      </c>
      <c r="J13" s="94"/>
      <c r="K13" s="94">
        <f>Dat_01!M158*100</f>
        <v>0.19499999999999998</v>
      </c>
    </row>
    <row r="14" spans="3:12">
      <c r="E14" s="78" t="s">
        <v>43</v>
      </c>
      <c r="F14" s="79"/>
      <c r="G14" s="95">
        <f>Dat_01!F158*100</f>
        <v>3.0779999999999998</v>
      </c>
      <c r="H14" s="95"/>
      <c r="I14" s="95">
        <f>Dat_01!J158*100</f>
        <v>4.077</v>
      </c>
      <c r="J14" s="95"/>
      <c r="K14" s="95">
        <f>Dat_01!N158*100</f>
        <v>3.1579999999999995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127</v>
      </c>
    </row>
    <row r="2" spans="1:2">
      <c r="A2" t="s">
        <v>122</v>
      </c>
    </row>
    <row r="3" spans="1:2">
      <c r="A3" t="s">
        <v>123</v>
      </c>
    </row>
    <row r="4" spans="1:2">
      <c r="A4" t="s">
        <v>125</v>
      </c>
    </row>
    <row r="5" spans="1:2">
      <c r="A5" t="s">
        <v>126</v>
      </c>
    </row>
    <row r="6" spans="1:2">
      <c r="A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Marzo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0.272924</v>
      </c>
      <c r="I9" s="14">
        <f>IF(Dat_01!AB8*100=-100,"-",Dat_01!AB8*100)</f>
        <v>-3.2616632299999995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1.5891549999999999</v>
      </c>
      <c r="I10" s="14">
        <f>Dat_01!AB15*100</f>
        <v>1.06267628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38">
        <f>Dat_01!R16/1000</f>
        <v>0</v>
      </c>
      <c r="G11" s="14" t="str">
        <f>IF(Dat_01!R16=0,"-",Dat_01!T16*100)</f>
        <v>-</v>
      </c>
      <c r="H11" s="138">
        <f>Dat_01!Z16/1000</f>
        <v>89.282236999999995</v>
      </c>
      <c r="I11" s="14">
        <f>Dat_01!AB16*100</f>
        <v>-31.446555840000002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45.238748000000001</v>
      </c>
      <c r="G12" s="14">
        <f>Dat_01!T17*100</f>
        <v>26.455216549999999</v>
      </c>
      <c r="H12" s="138">
        <f>Dat_01!Z17/1000</f>
        <v>31.709985</v>
      </c>
      <c r="I12" s="14">
        <f>Dat_01!AB17*100</f>
        <v>-2.2162990099999997</v>
      </c>
      <c r="J12" s="138" t="s">
        <v>3</v>
      </c>
      <c r="K12" s="14" t="s">
        <v>3</v>
      </c>
      <c r="L12" s="138">
        <f>Dat_01!J17/1000</f>
        <v>5.8650000000000004E-3</v>
      </c>
      <c r="M12" s="14">
        <f>IF(Dat_01!L17*100=-100,"-",Dat_01!L17*100)</f>
        <v>-22.96072508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4.0002000000000003E-2</v>
      </c>
      <c r="G13" s="14">
        <f>IF(Dat_01!T18=-100%,"-",Dat_01!T18*100)</f>
        <v>-64.381878409999999</v>
      </c>
      <c r="H13" s="138">
        <f>Dat_01!Z18/1000</f>
        <v>0.57839200000000002</v>
      </c>
      <c r="I13" s="14">
        <f>IF(Dat_01!AB18*100=-100,"-",Dat_01!AB18*100)</f>
        <v>-21.672525960000002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12.829401000000001</v>
      </c>
      <c r="G14" s="14">
        <f>Dat_01!T21*100</f>
        <v>33.114319100000003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0.50422449999999996</v>
      </c>
      <c r="M14" s="14">
        <f>Dat_01!L21*100</f>
        <v>13.58940394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58.108151000000007</v>
      </c>
      <c r="G15" s="156">
        <f>((SUM(Dat_01!R8,Dat_01!R15:R18,Dat_01!R20)/SUM(Dat_01!S8,Dat_01!S15:S18,Dat_01!S20))-1)*100</f>
        <v>27.081625981865855</v>
      </c>
      <c r="H15" s="155">
        <f>SUM(H9:H14)</f>
        <v>123.43269299999999</v>
      </c>
      <c r="I15" s="156">
        <f>((SUM(Dat_01!Z8,Dat_01!Z15:Z18,Dat_01!Z20)/SUM(Dat_01!AA8,Dat_01!AA15:AA18,Dat_01!AA20))-1)*100</f>
        <v>-25.309603334995355</v>
      </c>
      <c r="J15" s="155" t="s">
        <v>3</v>
      </c>
      <c r="K15" s="156" t="s">
        <v>3</v>
      </c>
      <c r="L15" s="156">
        <f>SUM(L9:L14)</f>
        <v>0.51008949999999997</v>
      </c>
      <c r="M15" s="156">
        <f>((SUM(Dat_01!J8,Dat_01!J15:J18,Dat_01!J21)/SUM(Dat_01!K8,Dat_01!K15:K18,Dat_01!K20))-1)*100</f>
        <v>12.973130401272147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-0.710283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5.4357850000000001</v>
      </c>
      <c r="G17" s="20">
        <f>((SUM(Dat_01!R10,Dat_01!R14)/SUM(Dat_01!S10,Dat_01!S14))-1)*100</f>
        <v>-12.598009548353739</v>
      </c>
      <c r="H17" s="139">
        <f>SUM(Dat_01!Z10,Dat_01!Z14)/1000</f>
        <v>156.051411</v>
      </c>
      <c r="I17" s="20">
        <f>((SUM(Dat_01!Z10,Dat_01!Z14)/SUM(Dat_01!AA10,Dat_01!AA14))-1)*100</f>
        <v>10.401625170805273</v>
      </c>
      <c r="J17" s="139">
        <f>Dat_01!B10/1000</f>
        <v>15.261882999999999</v>
      </c>
      <c r="K17" s="20">
        <f>Dat_01!D10*100</f>
        <v>-0.75500129000000005</v>
      </c>
      <c r="L17" s="139">
        <f>Dat_01!J10/1000</f>
        <v>14.486001</v>
      </c>
      <c r="M17" s="20">
        <f>Dat_01!L10*100</f>
        <v>1.2785737400000001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24.938551</v>
      </c>
      <c r="G18" s="20">
        <f>Dat_01!T11*100</f>
        <v>-27.783254359999997</v>
      </c>
      <c r="H18" s="139">
        <f>Dat_01!Z11/1000</f>
        <v>22.780221000000001</v>
      </c>
      <c r="I18" s="20">
        <f>Dat_01!AB11*100</f>
        <v>35.491104389999997</v>
      </c>
      <c r="J18" s="139">
        <f>Dat_01!B11/1000</f>
        <v>8.6876000000000009E-2</v>
      </c>
      <c r="K18" s="20">
        <f>IF(Dat_01!D11=-100%,"-",Dat_01!D11*100)</f>
        <v>940.68040249000001</v>
      </c>
      <c r="L18" s="139">
        <f>Dat_01!J11/1000</f>
        <v>1.727E-3</v>
      </c>
      <c r="M18" s="20">
        <f>IF(Dat_01!L11*100=-100,"-",Dat_01!L11*100)</f>
        <v>-18.035121029999999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116.04889799999999</v>
      </c>
      <c r="I19" s="20">
        <f>Dat_01!AB12*100</f>
        <v>11.930696790000001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30.374336</v>
      </c>
      <c r="G20" s="14">
        <f>((SUM(Dat_01!R10:R12,Dat_01!R14)/SUM(Dat_01!S10:S12,Dat_01!S14))-1)*100</f>
        <v>-25.465798028337705</v>
      </c>
      <c r="H20" s="138">
        <f>SUM(H17:H19)</f>
        <v>294.88053000000002</v>
      </c>
      <c r="I20" s="14">
        <f>(H20/(H17/(I17/100+1)+H18/(I18/100+1)+H19/(I19/100+1))-1)*100</f>
        <v>12.618099845776021</v>
      </c>
      <c r="J20" s="138">
        <f>SUM(J17:J19)</f>
        <v>15.348758999999999</v>
      </c>
      <c r="K20" s="14">
        <f>((SUM(Dat_01!B10:B12)/SUM(Dat_01!C10:C12))-1)*100</f>
        <v>-0.24421670267805728</v>
      </c>
      <c r="L20" s="138">
        <f>SUM(L17:L19)</f>
        <v>14.487728000000001</v>
      </c>
      <c r="M20" s="14">
        <f>((SUM(Dat_01!J10:J12)/SUM(Dat_01!K10:K12))-1)*100</f>
        <v>1.2757290479455508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213.548517</v>
      </c>
      <c r="G21" s="14">
        <f>Dat_01!T13*100</f>
        <v>-8.4592327999999988</v>
      </c>
      <c r="H21" s="138">
        <f>Dat_01!Z13/1000</f>
        <v>305.966994</v>
      </c>
      <c r="I21" s="14">
        <f>Dat_01!AB13*100</f>
        <v>7.4203710500000009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3.4851179999999999</v>
      </c>
      <c r="G22" s="14">
        <f>Dat_01!T19*100</f>
        <v>-2.5772681499999996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12.829401000000001</v>
      </c>
      <c r="G23" s="14">
        <f>Dat_01!T20*100</f>
        <v>33.114319100000003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0.50422449999999996</v>
      </c>
      <c r="M23" s="14">
        <f>Dat_01!L20*100</f>
        <v>13.58940394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259.52708899999999</v>
      </c>
      <c r="G24" s="156">
        <f>((SUM(Dat_01!R9:R14,Dat_01!R19,Dat_01!R21)/SUM(Dat_01!S9:S14,Dat_01!S19,Dat_01!S21))-1)*100</f>
        <v>-9.4877615621770772</v>
      </c>
      <c r="H24" s="140">
        <f>SUM(H16,H20:H23)</f>
        <v>600.84752400000002</v>
      </c>
      <c r="I24" s="156">
        <f>((SUM(Dat_01!Z9:Z14,Dat_01!Z19,Dat_01!Z21)/SUM(Dat_01!AA9:AA14,Dat_01!AA19,Dat_01!AA21))-1)*100</f>
        <v>9.9099403182814747</v>
      </c>
      <c r="J24" s="140">
        <f>SUM(J16,J20:J23)</f>
        <v>15.348758999999999</v>
      </c>
      <c r="K24" s="156">
        <f>((SUM(Dat_01!B9:B14,Dat_01!B19,Dat_01!B21)/SUM(Dat_01!C9:C14,Dat_01!C19,Dat_01!C21))-1)*100</f>
        <v>-0.24421670267805728</v>
      </c>
      <c r="L24" s="140">
        <f>SUM(L16,L20:L23)</f>
        <v>14.9919525</v>
      </c>
      <c r="M24" s="156">
        <f>((SUM(Dat_01!J9:J14,Dat_01!J19,Dat_01!J21)/SUM(Dat_01!K9:K14,Dat_01!K19,Dat_01!K21))-1)*100</f>
        <v>1.6463306690637447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110.667727</v>
      </c>
      <c r="G25" s="11">
        <f>Dat_01!T23*100</f>
        <v>34.641594650000002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428.30296700000002</v>
      </c>
      <c r="G26" s="8">
        <f>Dat_01!T24*100</f>
        <v>3.2924347599999999</v>
      </c>
      <c r="H26" s="142">
        <f>Dat_01!Z24/1000</f>
        <v>724.28021699999999</v>
      </c>
      <c r="I26" s="8">
        <f>Dat_01!AB24*100</f>
        <v>1.7345062299999998</v>
      </c>
      <c r="J26" s="142">
        <f>Dat_01!B24/1000</f>
        <v>15.348758999999999</v>
      </c>
      <c r="K26" s="8">
        <f>Dat_01!D24*100</f>
        <v>-0.24421669999999998</v>
      </c>
      <c r="L26" s="142">
        <f>Dat_01!J24/1000</f>
        <v>15.502041999999999</v>
      </c>
      <c r="M26" s="8">
        <f>Dat_01!L24*100</f>
        <v>1.9827774400000002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I28" sqref="I28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Marzo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Marzo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J25" sqref="J25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Marzo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Marzo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2024-04-11T15:22:58Z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