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N\INF_ELABORADA\"/>
    </mc:Choice>
  </mc:AlternateContent>
  <xr:revisionPtr revIDLastSave="0" documentId="13_ncr:1_{B17C0AC8-6A69-47C6-86B2-40C16C1EB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Dat_01!$A$85:$U$113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2" l="1"/>
  <c r="F11" i="22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<sst xmlns="http://schemas.openxmlformats.org/spreadsheetml/2006/main" count="426" uniqueCount="132">
  <si>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</si>
  <si>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</si>
  <si>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</si>
  <si>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</si>
  <si>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</si>
  <si>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</si>
  <si>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</si>
  <si>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</si>
  <si>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</si>
  <si>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</si>
  <si>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</si>
  <si>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</si>
  <si>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</si>
  <si>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</si>
  <si>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</si>
  <si>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</si>
  <si>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</si>
  <si>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</si>
  <si>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</si>
  <si>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</si>
  <si>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</si>
  <si>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</si>
  <si>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</si>
  <si>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</si>
  <si>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</si>
  <si>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</si>
  <si>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</si>
  <si>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</si>
  <si>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</si>
  <si>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</si>
  <si>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</si>
  <si>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</si>
  <si>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</si>
  <si>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</si>
  <si>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</si>
  <si>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</si>
  <si>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</si>
  <si>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</si>
  <si>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</si>
  <si>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</si>
  <si>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</si>
  <si>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</si>
  <si>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</si>
  <si>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</si>
  <si>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</si>
  <si>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</si>
  <si>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</si>
  <si>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</si>
  <si>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</si>
  <si>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</si>
  <si>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</si>
  <si>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</si>
  <si>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</si>
  <si>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</si>
  <si>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</si>
  <si>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</si>
  <si>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</si>
  <si>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</si>
  <si>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</si>
  <si>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</si>
  <si>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</si>
  <si>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</si>
  <si>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</si>
  <si>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</si>
  <si>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</si>
  <si>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</si>
  <si>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</si>
  <si>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</si>
  <si>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</si>
  <si>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</si>
  <si>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</si>
  <si>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</si>
  <si>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</si>
  <si>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</si>
  <si>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</si>
  <si>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</si>
  <si>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</si>
  <si>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</si>
  <si>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</si>
  <si>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</si>
  <si>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</si>
  <si>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</si>
  <si>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</si>
  <si>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</si>
  <si>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</si>
  <si>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</si>
  <si>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</si>
  <si>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</si>
  <si>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</si>
  <si>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</si>
  <si>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</si>
  <si>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</si>
  <si>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</si>
  <si>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</si>
  <si>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</si>
  <si>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</si>
  <si>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</si>
  <si>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</si>
  <si>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</si>
  <si>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</si>
  <si>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</si>
  <si>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</si>
  <si>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</si>
  <si>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</si>
  <si>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</si>
  <si>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</si>
  <si>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</si>
  <si>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</si>
  <si>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</si>
  <si>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</si>
  <si>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</si>
  <si>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</si>
  <si>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</si>
  <si>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</si>
  <si>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</si>
  <si>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</si>
  <si>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</si>
  <si>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</si>
  <si>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</si>
  <si>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</si>
  <si>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</si>
  <si>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</si>
  <si>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</si>
  <si>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</si>
  <si>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30/06/2024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</si>
  <si>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11:43:22" si="2.00000001b022d8d081d58ca1fcf396041abd43f502e9f6bbbed80ee5966333e5e6f02806d503fb2a1b63d3d3ed042671f0884a1f0749f457ca2e46254d2eb1ede3d72fce19479180b9d637ab7f79446f54fa9ba2de691869dce43c4c0d778ef961e53794eccb576fc23777d98bdfcdd61cede44d2d824ce63c1b83501f9787386c0eb476437a3aef293a76433872488a16b08a678c1ccbf900589ca6a37551143634.p.3082.0.1.Europe/Madrid.upriv*_1*_pidn2*_46*_session*-lat*_1.000000017597b50ae27523cc081bbfc50e0864ffbc6025e011adea2b642aa1ceabc1a55d56126eeab4f891b7b281b825883700fd3cb094ba.000000017652612979d58c9abefe2985c6f5102ebc6025e01fb60aa8c70939e7e492c4eab17098170c867209bea6ebd3b0cf64899698b050.0.1.1.BDEbi.D066E1C611E6257C10D00080EF253B44.0-3082.1.1_-0.1.0_-3082.1.1_5.5.0.*0.0000000156ebe11002160d927114dedf999d61bcc911585a87e4498b64d321778c89bfbd69e15c65.0.23.11*.2*.0400*.31152J.e.00000001a3c71c7818ee2edd9083fb9a849df0dbc911585a8af40d82a0664360975dbaccaccda0d3.0.10*.131*.122*.122.0.0" msgID="9858D1F211EF3EB19A360080EFB5F098"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</si>
  <si>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11:48:31" si="2.00000001b022d8d081d58ca1fcf396041abd43f502e9f6bbbed80ee5966333e5e6f02806d503fb2a1b63d3d3ed042671f0884a1f0749f457ca2e46254d2eb1ede3d72fce19479180b9d637ab7f79446f54fa9ba2de691869dce43c4c0d778ef961e53794eccb576fc23777d98bdfcdd61cede44d2d824ce63c1b83501f9787386c0eb476437a3aef293a76433872488a16b08a678c1ccbf900589ca6a37551143634.p.3082.0.1.Europe/Madrid.upriv*_1*_pidn2*_46*_session*-lat*_1.000000017597b50ae27523cc081bbfc50e0864ffbc6025e011adea2b642aa1ceabc1a55d56126eeab4f891b7b281b825883700fd3cb094ba.000000017652612979d58c9abefe2985c6f5102ebc6025e01fb60aa8c70939e7e492c4eab17098170c867209bea6ebd3b0cf64899698b050.0.1.1.BDEbi.D066E1C611E6257C10D00080EF253B44.0-3082.1.1_-0.1.0_-3082.1.1_5.5.0.*0.0000000156ebe11002160d927114dedf999d61bcc911585a87e4498b64d321778c89bfbd69e15c65.0.23.11*.2*.0400*.31152J.e.00000001a3c71c7818ee2edd9083fb9a849df0dbc911585a8af40d82a0664360975dbaccaccda0d3.0.10*.131*.122*.122.0.0" msgID="AA075BD011EF3EB19A360080EF95AF96"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nrr="1581" nrc="2976"&gt;&lt;pg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</si>
  <si>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Julio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</si>
  <si>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ut="07/10/2024 12:04:16" si="2.00000001b022d8d081d58ca1fcf396041abd43f502e9f6bbbed80ee5966333e5e6f02806d503fb2a1b63d3d3ed042671f0884a1f0749f457ca2e46254d2eb1ede3d72fce19479180b9d637ab7f79446f54fa9ba2de691869dce43c4c0d778ef961e53794eccb576fc23777d98bdfcdd61cede44d2d824ce63c1b83501f9787386c0eb476437a3aef293a76433872488a16b08a678c1ccbf900589ca6a37551143634.p.3082.0.1.Europe/Madrid.upriv*_1*_pidn2*_46*_session*-lat*_1.000000017597b50ae27523cc081bbfc50e0864ffbc6025e011adea2b642aa1ceabc1a55d56126eeab4f891b7b281b825883700fd3cb094ba.000000017652612979d58c9abefe2985c6f5102ebc6025e01fb60aa8c70939e7e492c4eab17098170c867209bea6ebd3b0cf64899698b050.0.1.1.BDEbi.D066E1C611E6257C10D00080EF253B44.0-3082.1.1_-0.1.0_-3082.1.1_5.5.0.*0.0000000156ebe11002160d927114dedf999d61bcc911585a87e4498b64d321778c89bfbd69e15c65.0.23.11*.2*.0400*.31152J.e.00000001a3c71c7818ee2edd9083fb9a849df0dbc911585a8af40d82a0664360975dbaccaccda0d3.0.10*.131*.122*.122.0.0" msgID="D6251BB011EF3EB39A360080EFB5F098"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cols="21" /&gt;&lt;esdo ews="" ece="" ptn="" /&gt;&lt;/excel&gt;&lt;pgs&gt;&lt;pg rows="26" cols="19" nrr="2301" nrc="1749"&gt;&lt;pg /&gt;&lt;bls&gt;&lt;bl sr="1" sc="1" rfetch="26" cfetch="19" posid="1" darows="0" dacols="1"&gt;&lt;excel&gt;&lt;epo ews="Dat_01" ece="A85" enr="MSTR.Serie_Balance_B.C._Mensual_Baleares_y_Canarias" ptn="" qtn="" rows="29" cols="21" /&gt;&lt;esdo ews="" ece="" ptn="" /&gt;&lt;/excel&gt;&lt;gridRng&gt;&lt;sect id="TITLE_AREA" rngprop="1:1:3:2" /&gt;&lt;sect id="ROWHEADERS_AREA" rngprop="4:1:26:2" /&gt;&lt;sect id="COLUMNHEADERS_AREA" rngprop="1:3:3:19" /&gt;&lt;sect id="DATA_AREA" rngprop="4:3:26:19"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</si>
  <si>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ut="07/10/2024 12:09:41" si="2.0000000135ff5c8552e83bcbda3d502cf7805ded80bac4c6badcc3e1674449815b403c32cb8ff531c309929f70ab58f2c5a6312abb911c275a324b87a345c3322b5d80c1470406c40b574262e665cbbea06c18859c16305b55f428ac31995bceb55b8a5b22bd620d716a976dd41738332d7337314a7d6cf968c2acc40ac2274cad92628f4a1b3e8e8991b46973c1ac21d5a8b08ad3d9fb92adf1ae263441d97909a0.p.3082.0.1.Europe/Madrid.upriv*_1*_pidn2*_51*_session*-lat*_1.00000001e59e3bcf95169f8f62fb532c4fa32a17bc6025e0bc8dc524f0ea0f588ceba3c2e919fe37dfd35f94249c20882293bdd6a6ca40f9.000000013b5d0cb4e1972428f6f543339c1054cabc6025e0b37658c2fc4806119987f6285d9c2fe3b6b7ea013dfafe12f17341ecbcfc5c41.0.1.1.BDEbi.D066E1C611E6257C10D00080EF253B44.0-3082.1.1_-0.1.0_-3082.1.1_5.5.0.*0.000000015e960d6c2474537a9676a25dda9ce79bc911585a81850597e6856615e9834773b4086d91.0.23.11*.2*.0400*.31152J.e.0000000162a612c89d4cf48960f44d6e424bbe02c911585ace8be8d2646c7e11141bdf54e3338b44.0.10*.131*.122*.122.0.0" msgID="2D7A754E11EF3EB563450080EF55420E"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nrr="119" nrc="864"&gt;&lt;pg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</si>
  <si>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56741564bb654b0faa81171ac17cd168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</si>
  <si>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ut="07/10/2024 12:10:47" si="2.0000000135ff5c8552e83bcbda3d502cf7805ded80bac4c6badcc3e1674449815b403c32cb8ff531c309929f70ab58f2c5a6312abb911c275a324b87a345c3322b5d80c1470406c40b574262e665cbbea06c18859c16305b55f428ac31995bceb55b8a5b22bd620d716a976dd41738332d7337314a7d6cf968c2acc40ac2274cad92628f4a1b3e8e8991b46973c1ac21d5a8b08ad3d9fb92adf1ae263441d97909a0.p.3082.0.1.Europe/Madrid.upriv*_1*_pidn2*_51*_session*-lat*_1.00000001e59e3bcf95169f8f62fb532c4fa32a17bc6025e0bc8dc524f0ea0f588ceba3c2e919fe37dfd35f94249c20882293bdd6a6ca40f9.000000013b5d0cb4e1972428f6f543339c1054cabc6025e0b37658c2fc4806119987f6285d9c2fe3b6b7ea013dfafe12f17341ecbcfc5c41.0.1.1.BDEbi.D066E1C611E6257C10D00080EF253B44.0-3082.1.1_-0.1.0_-3082.1.1_5.5.0.*0.000000015e960d6c2474537a9676a25dda9ce79bc911585a81850597e6856615e9834773b4086d91.0.23.11*.2*.0400*.31152J.e.0000000162a612c89d4cf48960f44d6e424bbe02c911585ace8be8d2646c7e11141bdf54e3338b44.0.10*.131*.122*.122.0.0" msgID="6A4B0B5011EF3EB563450080EF75820F"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nrr="75" nrc="912"&gt;&lt;pg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</si>
</sst>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1" fillId="0" borderId="0" xfId="0" applyNumberFormat="1" applyFont="1"/>
    <xf numFmtId="0" fontId="51" fillId="0" borderId="0" xfId="0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2682926829268282"/>
                  <c:y val="-9.3137254901960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-8.53481550100355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096613533064453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1.3066620348927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7216208949491063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4.9338271027847576</c:v>
                </c:pt>
                <c:pt idx="1">
                  <c:v>3.3372622799970477</c:v>
                </c:pt>
                <c:pt idx="2">
                  <c:v>8.0926337362426448</c:v>
                </c:pt>
                <c:pt idx="3">
                  <c:v>39.684891561473606</c:v>
                </c:pt>
                <c:pt idx="4">
                  <c:v>0</c:v>
                </c:pt>
                <c:pt idx="5">
                  <c:v>0.64634489045122545</c:v>
                </c:pt>
                <c:pt idx="6">
                  <c:v>3.0971667519584467</c:v>
                </c:pt>
                <c:pt idx="7">
                  <c:v>3.0971667519584467</c:v>
                </c:pt>
                <c:pt idx="8">
                  <c:v>0</c:v>
                </c:pt>
                <c:pt idx="9">
                  <c:v>9.9489944106143469</c:v>
                </c:pt>
                <c:pt idx="10">
                  <c:v>1.4585244539182311E-2</c:v>
                </c:pt>
                <c:pt idx="11">
                  <c:v>27.147127269980302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10.806694206726355</c:v>
                </c:pt>
                <c:pt idx="1">
                  <c:v>6.2456599188128274</c:v>
                </c:pt>
                <c:pt idx="2">
                  <c:v>27.021215904132113</c:v>
                </c:pt>
                <c:pt idx="3">
                  <c:v>36.869107225187051</c:v>
                </c:pt>
                <c:pt idx="4">
                  <c:v>0</c:v>
                </c:pt>
                <c:pt idx="5">
                  <c:v>0.51627503044820811</c:v>
                </c:pt>
                <c:pt idx="6">
                  <c:v>1.6756648562668559</c:v>
                </c:pt>
                <c:pt idx="7">
                  <c:v>1.6756648562668559</c:v>
                </c:pt>
                <c:pt idx="8">
                  <c:v>0.15983781750620343</c:v>
                </c:pt>
                <c:pt idx="9">
                  <c:v>14.934447934817996</c:v>
                </c:pt>
                <c:pt idx="10">
                  <c:v>9.5432249835518818E-2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3.1799559999999998</c:v>
                </c:pt>
                <c:pt idx="1">
                  <c:v>54.925434000000003</c:v>
                </c:pt>
                <c:pt idx="2">
                  <c:v>9.0232189999999992</c:v>
                </c:pt>
                <c:pt idx="3">
                  <c:v>-0.82337800000000005</c:v>
                </c:pt>
                <c:pt idx="4">
                  <c:v>-0.82724900000000001</c:v>
                </c:pt>
                <c:pt idx="5">
                  <c:v>-0.89542500000000003</c:v>
                </c:pt>
                <c:pt idx="6">
                  <c:v>-0.69586499999999996</c:v>
                </c:pt>
                <c:pt idx="7">
                  <c:v>-0.70605399999999996</c:v>
                </c:pt>
                <c:pt idx="8">
                  <c:v>-0.66276199999999996</c:v>
                </c:pt>
                <c:pt idx="9">
                  <c:v>-0.710283</c:v>
                </c:pt>
                <c:pt idx="10">
                  <c:v>-0.939218</c:v>
                </c:pt>
                <c:pt idx="11">
                  <c:v>22.073955999999999</c:v>
                </c:pt>
                <c:pt idx="12">
                  <c:v>26.418958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77.204378999999989</c:v>
                </c:pt>
                <c:pt idx="1">
                  <c:v>124.68270699999999</c:v>
                </c:pt>
                <c:pt idx="2">
                  <c:v>118.33977300000001</c:v>
                </c:pt>
                <c:pt idx="3">
                  <c:v>82.054295999999994</c:v>
                </c:pt>
                <c:pt idx="4">
                  <c:v>61.254111000000002</c:v>
                </c:pt>
                <c:pt idx="5">
                  <c:v>30.185099999999998</c:v>
                </c:pt>
                <c:pt idx="6">
                  <c:v>28.871046999999997</c:v>
                </c:pt>
                <c:pt idx="7">
                  <c:v>30.443576</c:v>
                </c:pt>
                <c:pt idx="8">
                  <c:v>28.621776999999998</c:v>
                </c:pt>
                <c:pt idx="9">
                  <c:v>30.374336</c:v>
                </c:pt>
                <c:pt idx="10">
                  <c:v>47.711207999999999</c:v>
                </c:pt>
                <c:pt idx="11">
                  <c:v>41.291938999999999</c:v>
                </c:pt>
                <c:pt idx="12">
                  <c:v>61.203187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269.55010299999998</c:v>
                </c:pt>
                <c:pt idx="1">
                  <c:v>316.35504600000002</c:v>
                </c:pt>
                <c:pt idx="2">
                  <c:v>324.37696499999998</c:v>
                </c:pt>
                <c:pt idx="3">
                  <c:v>296.32292799999999</c:v>
                </c:pt>
                <c:pt idx="4">
                  <c:v>247.112684</c:v>
                </c:pt>
                <c:pt idx="5">
                  <c:v>224.26124200000001</c:v>
                </c:pt>
                <c:pt idx="6">
                  <c:v>233.91494</c:v>
                </c:pt>
                <c:pt idx="7">
                  <c:v>244.02029300000001</c:v>
                </c:pt>
                <c:pt idx="8">
                  <c:v>218.49136100000001</c:v>
                </c:pt>
                <c:pt idx="9">
                  <c:v>213.548517</c:v>
                </c:pt>
                <c:pt idx="10">
                  <c:v>205.68247400000001</c:v>
                </c:pt>
                <c:pt idx="11">
                  <c:v>206.763338</c:v>
                </c:pt>
                <c:pt idx="12">
                  <c:v>212.499032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5.6180000000000001E-2</c:v>
                </c:pt>
                <c:pt idx="1">
                  <c:v>0.118565</c:v>
                </c:pt>
                <c:pt idx="2">
                  <c:v>9.7920999999999994E-2</c:v>
                </c:pt>
                <c:pt idx="3">
                  <c:v>0</c:v>
                </c:pt>
                <c:pt idx="4">
                  <c:v>1.0359999999999999E-2</c:v>
                </c:pt>
                <c:pt idx="5">
                  <c:v>8.7279999999999996E-3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37.285699000000001</c:v>
                </c:pt>
                <c:pt idx="1">
                  <c:v>41.537353000000003</c:v>
                </c:pt>
                <c:pt idx="2">
                  <c:v>44.650032000000003</c:v>
                </c:pt>
                <c:pt idx="3">
                  <c:v>34.850726000000002</c:v>
                </c:pt>
                <c:pt idx="4">
                  <c:v>32.896220999999997</c:v>
                </c:pt>
                <c:pt idx="5">
                  <c:v>24.884706000000001</c:v>
                </c:pt>
                <c:pt idx="6">
                  <c:v>22.636651000000001</c:v>
                </c:pt>
                <c:pt idx="7">
                  <c:v>23.970113999999999</c:v>
                </c:pt>
                <c:pt idx="8">
                  <c:v>30.744498</c:v>
                </c:pt>
                <c:pt idx="9">
                  <c:v>45.305076999999997</c:v>
                </c:pt>
                <c:pt idx="10">
                  <c:v>44.568354999999997</c:v>
                </c:pt>
                <c:pt idx="11">
                  <c:v>58.305483000000002</c:v>
                </c:pt>
                <c:pt idx="12">
                  <c:v>53.273465000000002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0.140066</c:v>
                </c:pt>
                <c:pt idx="1">
                  <c:v>0.102288</c:v>
                </c:pt>
                <c:pt idx="2">
                  <c:v>9.2054999999999998E-2</c:v>
                </c:pt>
                <c:pt idx="3">
                  <c:v>0.14128099999999999</c:v>
                </c:pt>
                <c:pt idx="4">
                  <c:v>0.14801500000000001</c:v>
                </c:pt>
                <c:pt idx="5">
                  <c:v>0.14354</c:v>
                </c:pt>
                <c:pt idx="6">
                  <c:v>0.12625700000000001</c:v>
                </c:pt>
                <c:pt idx="7">
                  <c:v>0.10422099999999999</c:v>
                </c:pt>
                <c:pt idx="8">
                  <c:v>3.9530000000000003E-2</c:v>
                </c:pt>
                <c:pt idx="9">
                  <c:v>4.0002000000000003E-2</c:v>
                </c:pt>
                <c:pt idx="10">
                  <c:v>1.5544000000000001E-2</c:v>
                </c:pt>
                <c:pt idx="11">
                  <c:v>4.1384999999999998E-2</c:v>
                </c:pt>
                <c:pt idx="12">
                  <c:v>7.8099000000000002E-2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3.7329490000000001</c:v>
                </c:pt>
                <c:pt idx="1">
                  <c:v>3.1795529999999999</c:v>
                </c:pt>
                <c:pt idx="2">
                  <c:v>3.6746310000000002</c:v>
                </c:pt>
                <c:pt idx="3">
                  <c:v>2.995241</c:v>
                </c:pt>
                <c:pt idx="4">
                  <c:v>1.6210690000000001</c:v>
                </c:pt>
                <c:pt idx="5">
                  <c:v>1.996553</c:v>
                </c:pt>
                <c:pt idx="6">
                  <c:v>3.1565249999999998</c:v>
                </c:pt>
                <c:pt idx="7">
                  <c:v>3.9370180000000001</c:v>
                </c:pt>
                <c:pt idx="8">
                  <c:v>3.7397490000000002</c:v>
                </c:pt>
                <c:pt idx="9">
                  <c:v>3.4851179999999999</c:v>
                </c:pt>
                <c:pt idx="10">
                  <c:v>1.9095409999999999</c:v>
                </c:pt>
                <c:pt idx="11">
                  <c:v>3.5397620000000001</c:v>
                </c:pt>
                <c:pt idx="12">
                  <c:v>3.4609559999999999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15.5976535</c:v>
                </c:pt>
                <c:pt idx="1">
                  <c:v>12.541195999999999</c:v>
                </c:pt>
                <c:pt idx="2">
                  <c:v>14.683114</c:v>
                </c:pt>
                <c:pt idx="3">
                  <c:v>9.9340825000000006</c:v>
                </c:pt>
                <c:pt idx="4">
                  <c:v>10.861402</c:v>
                </c:pt>
                <c:pt idx="5">
                  <c:v>10.810193999999999</c:v>
                </c:pt>
                <c:pt idx="6">
                  <c:v>8.9918355000000005</c:v>
                </c:pt>
                <c:pt idx="7">
                  <c:v>10.485035</c:v>
                </c:pt>
                <c:pt idx="8">
                  <c:v>5.6085469999999997</c:v>
                </c:pt>
                <c:pt idx="9">
                  <c:v>12.829401000000001</c:v>
                </c:pt>
                <c:pt idx="10">
                  <c:v>11.323399</c:v>
                </c:pt>
                <c:pt idx="11">
                  <c:v>12.2750895</c:v>
                </c:pt>
                <c:pt idx="12">
                  <c:v>16.584269500000001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15.5976535</c:v>
                </c:pt>
                <c:pt idx="1">
                  <c:v>12.541195999999999</c:v>
                </c:pt>
                <c:pt idx="2">
                  <c:v>14.683114</c:v>
                </c:pt>
                <c:pt idx="3">
                  <c:v>9.9340825000000006</c:v>
                </c:pt>
                <c:pt idx="4">
                  <c:v>10.861402</c:v>
                </c:pt>
                <c:pt idx="5">
                  <c:v>10.810193999999999</c:v>
                </c:pt>
                <c:pt idx="6">
                  <c:v>8.9918355000000005</c:v>
                </c:pt>
                <c:pt idx="7">
                  <c:v>10.485035</c:v>
                </c:pt>
                <c:pt idx="8">
                  <c:v>5.6085469999999997</c:v>
                </c:pt>
                <c:pt idx="9">
                  <c:v>12.829401000000001</c:v>
                </c:pt>
                <c:pt idx="10">
                  <c:v>11.323399</c:v>
                </c:pt>
                <c:pt idx="11">
                  <c:v>12.2750895</c:v>
                </c:pt>
                <c:pt idx="12">
                  <c:v>16.584269500000001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124.350134</c:v>
                </c:pt>
                <c:pt idx="1">
                  <c:v>168.54782399999999</c:v>
                </c:pt>
                <c:pt idx="2">
                  <c:v>175.00929099999999</c:v>
                </c:pt>
                <c:pt idx="3">
                  <c:v>130.854702</c:v>
                </c:pt>
                <c:pt idx="4">
                  <c:v>131.44748999999999</c:v>
                </c:pt>
                <c:pt idx="5">
                  <c:v>70.735690000000005</c:v>
                </c:pt>
                <c:pt idx="6">
                  <c:v>112.440268</c:v>
                </c:pt>
                <c:pt idx="7">
                  <c:v>122.760274</c:v>
                </c:pt>
                <c:pt idx="8">
                  <c:v>114.74408200000001</c:v>
                </c:pt>
                <c:pt idx="9">
                  <c:v>110.667727</c:v>
                </c:pt>
                <c:pt idx="10">
                  <c:v>109.36235000000001</c:v>
                </c:pt>
                <c:pt idx="11">
                  <c:v>117.764884</c:v>
                </c:pt>
                <c:pt idx="12">
                  <c:v>145.36358899999999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14.728499788594954</c:v>
                </c:pt>
                <c:pt idx="1">
                  <c:v>15.728542090293704</c:v>
                </c:pt>
                <c:pt idx="2">
                  <c:v>14.577481621621416</c:v>
                </c:pt>
                <c:pt idx="3">
                  <c:v>26.138224339779491</c:v>
                </c:pt>
                <c:pt idx="4">
                  <c:v>1.1537787956778101</c:v>
                </c:pt>
                <c:pt idx="5">
                  <c:v>4.5909522759954739E-2</c:v>
                </c:pt>
                <c:pt idx="6">
                  <c:v>0.34190513002808398</c:v>
                </c:pt>
                <c:pt idx="7">
                  <c:v>19.472584485901592</c:v>
                </c:pt>
                <c:pt idx="8">
                  <c:v>7.5884800074199452</c:v>
                </c:pt>
                <c:pt idx="9">
                  <c:v>0.22459421792304174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18"/>
                  <c:y val="2.5644588544079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00813008130081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6585378656936176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21.27417426433448</c:v>
                </c:pt>
                <c:pt idx="1">
                  <c:v>3.8401155228039192</c:v>
                </c:pt>
                <c:pt idx="2">
                  <c:v>11.432425251649093</c:v>
                </c:pt>
                <c:pt idx="3">
                  <c:v>38.973661638971549</c:v>
                </c:pt>
                <c:pt idx="4">
                  <c:v>0</c:v>
                </c:pt>
                <c:pt idx="5">
                  <c:v>3.9791582924743545E-2</c:v>
                </c:pt>
                <c:pt idx="6">
                  <c:v>0.37987030340867067</c:v>
                </c:pt>
                <c:pt idx="7">
                  <c:v>18.764325679604195</c:v>
                </c:pt>
                <c:pt idx="8">
                  <c:v>5.223690886864973</c:v>
                </c:pt>
                <c:pt idx="9">
                  <c:v>7.1944869438378981E-2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0.28353699999999998</c:v>
                </c:pt>
                <c:pt idx="1">
                  <c:v>0.30186600000000002</c:v>
                </c:pt>
                <c:pt idx="2">
                  <c:v>0.289545</c:v>
                </c:pt>
                <c:pt idx="3">
                  <c:v>0.28924100000000003</c:v>
                </c:pt>
                <c:pt idx="4">
                  <c:v>0.30332900000000002</c:v>
                </c:pt>
                <c:pt idx="5">
                  <c:v>0.28045300000000001</c:v>
                </c:pt>
                <c:pt idx="6">
                  <c:v>0.30560300000000001</c:v>
                </c:pt>
                <c:pt idx="7">
                  <c:v>0.29624200000000001</c:v>
                </c:pt>
                <c:pt idx="8">
                  <c:v>0.28508299999999998</c:v>
                </c:pt>
                <c:pt idx="9">
                  <c:v>0.272924</c:v>
                </c:pt>
                <c:pt idx="10">
                  <c:v>0.258407</c:v>
                </c:pt>
                <c:pt idx="11">
                  <c:v>0.28213199999999999</c:v>
                </c:pt>
                <c:pt idx="12">
                  <c:v>0.27541500000000002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265.32891099999995</c:v>
                </c:pt>
                <c:pt idx="1">
                  <c:v>263.81678599999998</c:v>
                </c:pt>
                <c:pt idx="2">
                  <c:v>280.24951799999997</c:v>
                </c:pt>
                <c:pt idx="3">
                  <c:v>278.46901400000002</c:v>
                </c:pt>
                <c:pt idx="4">
                  <c:v>329.55548099999999</c:v>
                </c:pt>
                <c:pt idx="5">
                  <c:v>283.46044599999999</c:v>
                </c:pt>
                <c:pt idx="6">
                  <c:v>293.93341900000001</c:v>
                </c:pt>
                <c:pt idx="7">
                  <c:v>313.17357400000003</c:v>
                </c:pt>
                <c:pt idx="8">
                  <c:v>271.07811399999997</c:v>
                </c:pt>
                <c:pt idx="9">
                  <c:v>294.881663</c:v>
                </c:pt>
                <c:pt idx="10">
                  <c:v>257.29920000000004</c:v>
                </c:pt>
                <c:pt idx="11">
                  <c:v>262.610321</c:v>
                </c:pt>
                <c:pt idx="12">
                  <c:v>252.95584600000001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351.45923099999999</c:v>
                </c:pt>
                <c:pt idx="1">
                  <c:v>250.52108799999999</c:v>
                </c:pt>
                <c:pt idx="2">
                  <c:v>306.93109600000003</c:v>
                </c:pt>
                <c:pt idx="3">
                  <c:v>329.65078499999998</c:v>
                </c:pt>
                <c:pt idx="4">
                  <c:v>385.37423100000001</c:v>
                </c:pt>
                <c:pt idx="5">
                  <c:v>320.60776499999997</c:v>
                </c:pt>
                <c:pt idx="6">
                  <c:v>343.70541600000001</c:v>
                </c:pt>
                <c:pt idx="7">
                  <c:v>348.60822999999999</c:v>
                </c:pt>
                <c:pt idx="8">
                  <c:v>282.95672999999999</c:v>
                </c:pt>
                <c:pt idx="9">
                  <c:v>305.966994</c:v>
                </c:pt>
                <c:pt idx="10">
                  <c:v>315.19474500000001</c:v>
                </c:pt>
                <c:pt idx="11">
                  <c:v>259.74817300000001</c:v>
                </c:pt>
                <c:pt idx="12">
                  <c:v>269.75380799999999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0.80873799999999996</c:v>
                </c:pt>
                <c:pt idx="1">
                  <c:v>2.7590569999999999</c:v>
                </c:pt>
                <c:pt idx="2">
                  <c:v>2.6998280000000001</c:v>
                </c:pt>
                <c:pt idx="3">
                  <c:v>1.3149919999999999</c:v>
                </c:pt>
                <c:pt idx="4">
                  <c:v>0.44324000000000002</c:v>
                </c:pt>
                <c:pt idx="5">
                  <c:v>1.0899650000000001</c:v>
                </c:pt>
                <c:pt idx="6">
                  <c:v>0.66913</c:v>
                </c:pt>
                <c:pt idx="7">
                  <c:v>0.66808100000000004</c:v>
                </c:pt>
                <c:pt idx="8">
                  <c:v>1.414679</c:v>
                </c:pt>
                <c:pt idx="9">
                  <c:v>1.5891550000000001</c:v>
                </c:pt>
                <c:pt idx="10">
                  <c:v>1.2945469999999999</c:v>
                </c:pt>
                <c:pt idx="11">
                  <c:v>2.2523740000000001</c:v>
                </c:pt>
                <c:pt idx="12">
                  <c:v>2.6292490000000002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64.374502000000007</c:v>
                </c:pt>
                <c:pt idx="1">
                  <c:v>209.601507</c:v>
                </c:pt>
                <c:pt idx="2">
                  <c:v>178.40540899999999</c:v>
                </c:pt>
                <c:pt idx="3">
                  <c:v>103.255752</c:v>
                </c:pt>
                <c:pt idx="4">
                  <c:v>57.760353000000002</c:v>
                </c:pt>
                <c:pt idx="5">
                  <c:v>99.230602000000005</c:v>
                </c:pt>
                <c:pt idx="6">
                  <c:v>70.608433000000005</c:v>
                </c:pt>
                <c:pt idx="7">
                  <c:v>53.195207000000003</c:v>
                </c:pt>
                <c:pt idx="8">
                  <c:v>108.751811</c:v>
                </c:pt>
                <c:pt idx="9">
                  <c:v>89.282236999999995</c:v>
                </c:pt>
                <c:pt idx="10">
                  <c:v>94.671989999999994</c:v>
                </c:pt>
                <c:pt idx="11">
                  <c:v>147.019094</c:v>
                </c:pt>
                <c:pt idx="12">
                  <c:v>129.87612899999999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30.793143000000001</c:v>
                </c:pt>
                <c:pt idx="1">
                  <c:v>35.178874</c:v>
                </c:pt>
                <c:pt idx="2">
                  <c:v>33.707680000000003</c:v>
                </c:pt>
                <c:pt idx="3">
                  <c:v>31.407260000000001</c:v>
                </c:pt>
                <c:pt idx="4">
                  <c:v>29.906251000000001</c:v>
                </c:pt>
                <c:pt idx="5">
                  <c:v>25.097702999999999</c:v>
                </c:pt>
                <c:pt idx="6">
                  <c:v>23.682936000000002</c:v>
                </c:pt>
                <c:pt idx="7">
                  <c:v>24.559023</c:v>
                </c:pt>
                <c:pt idx="8">
                  <c:v>26.306543000000001</c:v>
                </c:pt>
                <c:pt idx="9">
                  <c:v>31.905954000000001</c:v>
                </c:pt>
                <c:pt idx="10">
                  <c:v>35.953691999999997</c:v>
                </c:pt>
                <c:pt idx="11">
                  <c:v>35.545333999999997</c:v>
                </c:pt>
                <c:pt idx="12">
                  <c:v>36.155456000000001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jun.-23</c:v>
                </c:pt>
                <c:pt idx="1">
                  <c:v>jul.-23</c:v>
                </c:pt>
                <c:pt idx="2">
                  <c:v>ago.-23</c:v>
                </c:pt>
                <c:pt idx="3">
                  <c:v>sep.-23</c:v>
                </c:pt>
                <c:pt idx="4">
                  <c:v>oct.-23</c:v>
                </c:pt>
                <c:pt idx="5">
                  <c:v>nov.-23</c:v>
                </c:pt>
                <c:pt idx="6">
                  <c:v>dic.-23</c:v>
                </c:pt>
                <c:pt idx="7">
                  <c:v>ene.-24</c:v>
                </c:pt>
                <c:pt idx="8">
                  <c:v>feb.-24</c:v>
                </c:pt>
                <c:pt idx="9">
                  <c:v>mar.-24</c:v>
                </c:pt>
                <c:pt idx="10">
                  <c:v>abr.-24</c:v>
                </c:pt>
                <c:pt idx="11">
                  <c:v>may.-24</c:v>
                </c:pt>
                <c:pt idx="12">
                  <c:v>jun.-24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0.66513100000000003</c:v>
                </c:pt>
                <c:pt idx="1">
                  <c:v>0.64607300000000001</c:v>
                </c:pt>
                <c:pt idx="2">
                  <c:v>0.37482700000000002</c:v>
                </c:pt>
                <c:pt idx="3">
                  <c:v>0.37211699999999998</c:v>
                </c:pt>
                <c:pt idx="4">
                  <c:v>0.524733</c:v>
                </c:pt>
                <c:pt idx="5">
                  <c:v>0.42454199999999997</c:v>
                </c:pt>
                <c:pt idx="6">
                  <c:v>0.44537900000000002</c:v>
                </c:pt>
                <c:pt idx="7">
                  <c:v>0.50013399999999997</c:v>
                </c:pt>
                <c:pt idx="8">
                  <c:v>0.49944300000000003</c:v>
                </c:pt>
                <c:pt idx="9">
                  <c:v>0.57839200000000002</c:v>
                </c:pt>
                <c:pt idx="10">
                  <c:v>0.26424700000000001</c:v>
                </c:pt>
                <c:pt idx="11">
                  <c:v>0.430983</c:v>
                </c:pt>
                <c:pt idx="12">
                  <c:v>0.49796200000000002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Junio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D68" sqref="D68:D78"/>
    </sheetView>
  </sheetViews>
  <sheetFormatPr baseColWidth="10" defaultColWidth="11.42578125" defaultRowHeight="12"/>
  <cols>
    <col min="1" max="1" width="8.425781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123</v>
      </c>
      <c r="B2" s="133" t="s">
        <v>124</v>
      </c>
    </row>
    <row r="4" spans="1:33" ht="15">
      <c r="A4" s="134" t="s">
        <v>67</v>
      </c>
      <c r="B4" s="199" t="s">
        <v>123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275.41500000000002</v>
      </c>
      <c r="AA8" s="169">
        <v>283.53699999999998</v>
      </c>
      <c r="AB8" s="170">
        <v>-2.8645291400000002E-2</v>
      </c>
      <c r="AC8" s="169">
        <v>1670.203</v>
      </c>
      <c r="AD8" s="169">
        <v>1676.86</v>
      </c>
      <c r="AE8" s="170">
        <v>-3.96992E-3</v>
      </c>
      <c r="AF8" s="169">
        <v>3440.24</v>
      </c>
      <c r="AG8" s="170">
        <v>7.9936524000000005E-3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26418.957999999999</v>
      </c>
      <c r="S9" s="169">
        <v>3179.9560000000001</v>
      </c>
      <c r="T9" s="170">
        <v>7.3079633806000004</v>
      </c>
      <c r="U9" s="169">
        <v>45474.597000000002</v>
      </c>
      <c r="V9" s="169">
        <v>-214.70400000000001</v>
      </c>
      <c r="W9" s="170">
        <v>-212.80134976529999</v>
      </c>
      <c r="X9" s="169">
        <v>106181.333</v>
      </c>
      <c r="Y9" s="170">
        <v>1.0107118772000001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14684.55</v>
      </c>
      <c r="C10" s="169">
        <v>14994.945</v>
      </c>
      <c r="D10" s="170">
        <v>-2.0699975900000001E-2</v>
      </c>
      <c r="E10" s="169">
        <v>89694.801999999996</v>
      </c>
      <c r="F10" s="169">
        <v>90644.66</v>
      </c>
      <c r="G10" s="170">
        <v>-1.04789184E-2</v>
      </c>
      <c r="H10" s="169">
        <v>185054.08600000001</v>
      </c>
      <c r="I10" s="170">
        <v>-1.4620110800000001E-2</v>
      </c>
      <c r="J10" s="169">
        <v>14744.446</v>
      </c>
      <c r="K10" s="169">
        <v>15696.534</v>
      </c>
      <c r="L10" s="170">
        <v>-6.0655938399999998E-2</v>
      </c>
      <c r="M10" s="169">
        <v>86933.740999999995</v>
      </c>
      <c r="N10" s="169">
        <v>87311.576000000001</v>
      </c>
      <c r="O10" s="170">
        <v>-4.3274330999999999E-3</v>
      </c>
      <c r="P10" s="169">
        <v>190722.114</v>
      </c>
      <c r="Q10" s="170">
        <v>3.7757658200000002E-2</v>
      </c>
      <c r="R10" s="169">
        <v>17869.899000000001</v>
      </c>
      <c r="S10" s="169">
        <v>20755.148000000001</v>
      </c>
      <c r="T10" s="170">
        <v>-0.1390136558</v>
      </c>
      <c r="U10" s="169">
        <v>63521.95</v>
      </c>
      <c r="V10" s="169">
        <v>66842.554999999993</v>
      </c>
      <c r="W10" s="170">
        <v>-4.96780083E-2</v>
      </c>
      <c r="X10" s="169">
        <v>248091.39</v>
      </c>
      <c r="Y10" s="170">
        <v>1.5276188E-3</v>
      </c>
      <c r="Z10" s="169">
        <v>147247.89199999999</v>
      </c>
      <c r="AA10" s="169">
        <v>159427.87700000001</v>
      </c>
      <c r="AB10" s="170">
        <v>-7.6398088099999997E-2</v>
      </c>
      <c r="AC10" s="169">
        <v>904561.03300000005</v>
      </c>
      <c r="AD10" s="169">
        <v>904164.50800000003</v>
      </c>
      <c r="AE10" s="170">
        <v>4.3855400000000002E-4</v>
      </c>
      <c r="AF10" s="169">
        <v>1883258.0689999999</v>
      </c>
      <c r="AG10" s="170">
        <v>3.65376164E-2</v>
      </c>
    </row>
    <row r="11" spans="1:33">
      <c r="A11" s="133" t="s">
        <v>9</v>
      </c>
      <c r="B11" s="169">
        <v>186.66</v>
      </c>
      <c r="C11" s="169">
        <v>4.3600000000000003</v>
      </c>
      <c r="D11" s="170">
        <v>41.811926605499998</v>
      </c>
      <c r="E11" s="169">
        <v>303.35000000000002</v>
      </c>
      <c r="F11" s="169">
        <v>36.923000000000002</v>
      </c>
      <c r="G11" s="170">
        <v>7.2157462827999996</v>
      </c>
      <c r="H11" s="169">
        <v>519.66600000000005</v>
      </c>
      <c r="I11" s="170">
        <v>0.28704107309999999</v>
      </c>
      <c r="J11" s="169">
        <v>141.054</v>
      </c>
      <c r="K11" s="169">
        <v>13.523999999999999</v>
      </c>
      <c r="L11" s="170">
        <v>9.4299023956999992</v>
      </c>
      <c r="M11" s="169">
        <v>219.274</v>
      </c>
      <c r="N11" s="169">
        <v>24.707000000000001</v>
      </c>
      <c r="O11" s="170">
        <v>7.8749747035000004</v>
      </c>
      <c r="P11" s="169">
        <v>238.703</v>
      </c>
      <c r="Q11" s="170">
        <v>5.5407042061</v>
      </c>
      <c r="R11" s="169">
        <v>43333.288</v>
      </c>
      <c r="S11" s="169">
        <v>56449.231</v>
      </c>
      <c r="T11" s="170">
        <v>-0.23234936540000001</v>
      </c>
      <c r="U11" s="169">
        <v>176124.073</v>
      </c>
      <c r="V11" s="169">
        <v>237356.33</v>
      </c>
      <c r="W11" s="170">
        <v>-0.25797608599999999</v>
      </c>
      <c r="X11" s="169">
        <v>436941.66700000002</v>
      </c>
      <c r="Y11" s="170">
        <v>-0.14929514399999999</v>
      </c>
      <c r="Z11" s="169">
        <v>26579.124</v>
      </c>
      <c r="AA11" s="169">
        <v>20997.602999999999</v>
      </c>
      <c r="AB11" s="170">
        <v>0.2658170554</v>
      </c>
      <c r="AC11" s="169">
        <v>128885.192</v>
      </c>
      <c r="AD11" s="169">
        <v>124121.575</v>
      </c>
      <c r="AE11" s="170">
        <v>3.8378638E-2</v>
      </c>
      <c r="AF11" s="169">
        <v>260735.845</v>
      </c>
      <c r="AG11" s="170">
        <v>-4.3883123400000001E-2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79128.83</v>
      </c>
      <c r="AA12" s="169">
        <v>84905.441000000006</v>
      </c>
      <c r="AB12" s="170">
        <v>-6.8035816499999999E-2</v>
      </c>
      <c r="AC12" s="169">
        <v>618552.49300000002</v>
      </c>
      <c r="AD12" s="169">
        <v>598713.02099999995</v>
      </c>
      <c r="AE12" s="170">
        <v>3.3136864100000003E-2</v>
      </c>
      <c r="AF12" s="169">
        <v>1237489.4680000001</v>
      </c>
      <c r="AG12" s="170">
        <v>1.4034115600000001E-2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212499.03200000001</v>
      </c>
      <c r="S13" s="169">
        <v>269550.103</v>
      </c>
      <c r="T13" s="170">
        <v>-0.21165293709999999</v>
      </c>
      <c r="U13" s="169">
        <v>1301005.0149999999</v>
      </c>
      <c r="V13" s="169">
        <v>1428887.82</v>
      </c>
      <c r="W13" s="170">
        <v>-8.9498142000000003E-2</v>
      </c>
      <c r="X13" s="169">
        <v>2943348.82</v>
      </c>
      <c r="Y13" s="170">
        <v>-0.14494325259999999</v>
      </c>
      <c r="Z13" s="169">
        <v>269753.80800000002</v>
      </c>
      <c r="AA13" s="169">
        <v>351459.23100000003</v>
      </c>
      <c r="AB13" s="170">
        <v>-0.2324748244</v>
      </c>
      <c r="AC13" s="169">
        <v>1782228.68</v>
      </c>
      <c r="AD13" s="169">
        <v>1759927.27</v>
      </c>
      <c r="AE13" s="170">
        <v>1.26717793E-2</v>
      </c>
      <c r="AF13" s="169">
        <v>3719019.0610000002</v>
      </c>
      <c r="AG13" s="170">
        <v>4.0772330900000001E-2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-2.0099999999999998</v>
      </c>
      <c r="AB14" s="170">
        <v>-1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2629.2489999999998</v>
      </c>
      <c r="AA15" s="169">
        <v>808.73800000000006</v>
      </c>
      <c r="AB15" s="170">
        <v>2.2510516384999999</v>
      </c>
      <c r="AC15" s="169">
        <v>9848.0849999999991</v>
      </c>
      <c r="AD15" s="169">
        <v>8500.56</v>
      </c>
      <c r="AE15" s="170">
        <v>0.1585219091</v>
      </c>
      <c r="AF15" s="169">
        <v>18824.296999999999</v>
      </c>
      <c r="AG15" s="170">
        <v>-8.3657347000000007E-2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56.18</v>
      </c>
      <c r="T16" s="170">
        <v>-1</v>
      </c>
      <c r="U16" s="169">
        <v>0</v>
      </c>
      <c r="V16" s="169">
        <v>1032.4960000000001</v>
      </c>
      <c r="W16" s="170">
        <v>-1</v>
      </c>
      <c r="X16" s="169">
        <v>235.57400000000001</v>
      </c>
      <c r="Y16" s="170">
        <v>-0.8096356334</v>
      </c>
      <c r="Z16" s="169">
        <v>129876.129</v>
      </c>
      <c r="AA16" s="169">
        <v>64374.502</v>
      </c>
      <c r="AB16" s="170">
        <v>1.0175088732999999</v>
      </c>
      <c r="AC16" s="169">
        <v>622796.46799999999</v>
      </c>
      <c r="AD16" s="169">
        <v>606985.27599999995</v>
      </c>
      <c r="AE16" s="170">
        <v>2.60487241E-2</v>
      </c>
      <c r="AF16" s="169">
        <v>1341658.524</v>
      </c>
      <c r="AG16" s="170">
        <v>1.3694814E-2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7.41</v>
      </c>
      <c r="K17" s="169">
        <v>7.99</v>
      </c>
      <c r="L17" s="170">
        <v>-7.2590738399999993E-2</v>
      </c>
      <c r="M17" s="169">
        <v>36.743000000000002</v>
      </c>
      <c r="N17" s="169">
        <v>39.779000000000003</v>
      </c>
      <c r="O17" s="170">
        <v>-7.6321677300000001E-2</v>
      </c>
      <c r="P17" s="169">
        <v>73.491</v>
      </c>
      <c r="Q17" s="170">
        <v>-1.03688342E-2</v>
      </c>
      <c r="R17" s="169">
        <v>53273.464999999997</v>
      </c>
      <c r="S17" s="169">
        <v>37285.699000000001</v>
      </c>
      <c r="T17" s="170">
        <v>0.42879083480000002</v>
      </c>
      <c r="U17" s="169">
        <v>256166.992</v>
      </c>
      <c r="V17" s="169">
        <v>187483.96900000001</v>
      </c>
      <c r="W17" s="170">
        <v>0.3663407776</v>
      </c>
      <c r="X17" s="169">
        <v>457622.68099999998</v>
      </c>
      <c r="Y17" s="170">
        <v>0.37890900199999999</v>
      </c>
      <c r="Z17" s="169">
        <v>36155.455999999998</v>
      </c>
      <c r="AA17" s="169">
        <v>30793.143</v>
      </c>
      <c r="AB17" s="170">
        <v>0.17413984020000001</v>
      </c>
      <c r="AC17" s="169">
        <v>190426.00200000001</v>
      </c>
      <c r="AD17" s="169">
        <v>166988.69699999999</v>
      </c>
      <c r="AE17" s="170">
        <v>0.14035264310000001</v>
      </c>
      <c r="AF17" s="169">
        <v>369406.70600000001</v>
      </c>
      <c r="AG17" s="170">
        <v>0.1215093897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78.099000000000004</v>
      </c>
      <c r="S18" s="169">
        <v>140.066</v>
      </c>
      <c r="T18" s="170">
        <v>-0.4424128625</v>
      </c>
      <c r="U18" s="169">
        <v>318.78100000000001</v>
      </c>
      <c r="V18" s="169">
        <v>809.66899999999998</v>
      </c>
      <c r="W18" s="170">
        <v>-0.60628232029999996</v>
      </c>
      <c r="X18" s="169">
        <v>1072.2170000000001</v>
      </c>
      <c r="Y18" s="170">
        <v>-0.21735471249999999</v>
      </c>
      <c r="Z18" s="169">
        <v>497.96199999999999</v>
      </c>
      <c r="AA18" s="169">
        <v>665.13099999999997</v>
      </c>
      <c r="AB18" s="170">
        <v>-0.25133244430000001</v>
      </c>
      <c r="AC18" s="169">
        <v>2771.1610000000001</v>
      </c>
      <c r="AD18" s="169">
        <v>4180.2870000000003</v>
      </c>
      <c r="AE18" s="170">
        <v>-0.33708833869999999</v>
      </c>
      <c r="AF18" s="169">
        <v>5558.8320000000003</v>
      </c>
      <c r="AG18" s="170">
        <v>-0.35207821449999999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3460.9560000000001</v>
      </c>
      <c r="S19" s="169">
        <v>3732.9490000000001</v>
      </c>
      <c r="T19" s="170">
        <v>-7.2862768800000005E-2</v>
      </c>
      <c r="U19" s="169">
        <v>20072.144</v>
      </c>
      <c r="V19" s="169">
        <v>20341.893</v>
      </c>
      <c r="W19" s="170">
        <v>-1.3260761899999999E-2</v>
      </c>
      <c r="X19" s="169">
        <v>36695.716</v>
      </c>
      <c r="Y19" s="170">
        <v>0.18969047550000001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479.77949999999998</v>
      </c>
      <c r="K20" s="169">
        <v>464.4495</v>
      </c>
      <c r="L20" s="170">
        <v>3.3006817700000003E-2</v>
      </c>
      <c r="M20" s="169">
        <v>2997.0255000000002</v>
      </c>
      <c r="N20" s="169">
        <v>2797.9074999999998</v>
      </c>
      <c r="O20" s="170">
        <v>7.1166755900000003E-2</v>
      </c>
      <c r="P20" s="169">
        <v>5612.893</v>
      </c>
      <c r="Q20" s="170">
        <v>-9.0335386E-3</v>
      </c>
      <c r="R20" s="169">
        <v>16584.269499999999</v>
      </c>
      <c r="S20" s="169">
        <v>15597.6535</v>
      </c>
      <c r="T20" s="170">
        <v>6.3254129899999997E-2</v>
      </c>
      <c r="U20" s="169">
        <v>69105.740999999995</v>
      </c>
      <c r="V20" s="169">
        <v>65313.176500000001</v>
      </c>
      <c r="W20" s="170">
        <v>5.8067371800000003E-2</v>
      </c>
      <c r="X20" s="169">
        <v>136927.565</v>
      </c>
      <c r="Y20" s="170">
        <v>-2.5849701100000001E-2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479.77949999999998</v>
      </c>
      <c r="K21" s="169">
        <v>464.4495</v>
      </c>
      <c r="L21" s="170">
        <v>3.3006817700000003E-2</v>
      </c>
      <c r="M21" s="169">
        <v>2997.0255000000002</v>
      </c>
      <c r="N21" s="169">
        <v>2797.9074999999998</v>
      </c>
      <c r="O21" s="170">
        <v>7.1166755900000003E-2</v>
      </c>
      <c r="P21" s="169">
        <v>5612.893</v>
      </c>
      <c r="Q21" s="170">
        <v>-9.0335386E-3</v>
      </c>
      <c r="R21" s="169">
        <v>16584.269499999999</v>
      </c>
      <c r="S21" s="169">
        <v>15597.6535</v>
      </c>
      <c r="T21" s="170">
        <v>6.3254129899999997E-2</v>
      </c>
      <c r="U21" s="169">
        <v>69105.740999999995</v>
      </c>
      <c r="V21" s="169">
        <v>65313.176500000001</v>
      </c>
      <c r="W21" s="170">
        <v>5.8067371800000003E-2</v>
      </c>
      <c r="X21" s="169">
        <v>136927.565</v>
      </c>
      <c r="Y21" s="170">
        <v>-2.5849701100000001E-2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14871.21</v>
      </c>
      <c r="C22" s="171">
        <v>14999.305</v>
      </c>
      <c r="D22" s="172">
        <v>-8.5400623999999994E-3</v>
      </c>
      <c r="E22" s="171">
        <v>89998.152000000002</v>
      </c>
      <c r="F22" s="171">
        <v>90681.582999999999</v>
      </c>
      <c r="G22" s="172">
        <v>-7.5366019999999999E-3</v>
      </c>
      <c r="H22" s="171">
        <v>185573.75200000001</v>
      </c>
      <c r="I22" s="172">
        <v>-1.3972933E-2</v>
      </c>
      <c r="J22" s="171">
        <v>15852.468999999999</v>
      </c>
      <c r="K22" s="171">
        <v>16646.947</v>
      </c>
      <c r="L22" s="172">
        <v>-4.7725147400000001E-2</v>
      </c>
      <c r="M22" s="171">
        <v>93183.808999999994</v>
      </c>
      <c r="N22" s="171">
        <v>92971.876999999993</v>
      </c>
      <c r="O22" s="172">
        <v>2.2795279999999998E-3</v>
      </c>
      <c r="P22" s="171">
        <v>202260.09400000001</v>
      </c>
      <c r="Q22" s="172">
        <v>3.60529297E-2</v>
      </c>
      <c r="R22" s="171">
        <v>390102.23599999998</v>
      </c>
      <c r="S22" s="171">
        <v>422344.63900000002</v>
      </c>
      <c r="T22" s="172">
        <v>-7.6341452000000004E-2</v>
      </c>
      <c r="U22" s="171">
        <v>2000895.034</v>
      </c>
      <c r="V22" s="171">
        <v>2073166.3810000001</v>
      </c>
      <c r="W22" s="172">
        <v>-3.48603699E-2</v>
      </c>
      <c r="X22" s="171">
        <v>4504044.5279999999</v>
      </c>
      <c r="Y22" s="172">
        <v>-8.3611292300000001E-2</v>
      </c>
      <c r="Z22" s="171">
        <v>692143.86499999999</v>
      </c>
      <c r="AA22" s="171">
        <v>713713.19299999997</v>
      </c>
      <c r="AB22" s="172">
        <v>-3.0221282499999998E-2</v>
      </c>
      <c r="AC22" s="171">
        <v>4261739.3169999998</v>
      </c>
      <c r="AD22" s="171">
        <v>4175192.0660000001</v>
      </c>
      <c r="AE22" s="172">
        <v>2.07289269E-2</v>
      </c>
      <c r="AF22" s="171">
        <v>8839391.0419999994</v>
      </c>
      <c r="AG22" s="172">
        <v>3.1604421200000003E-2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145363.58900000001</v>
      </c>
      <c r="S23" s="169">
        <v>124350.13400000001</v>
      </c>
      <c r="T23" s="170">
        <v>0.16898618700000001</v>
      </c>
      <c r="U23" s="169">
        <v>720662.90599999996</v>
      </c>
      <c r="V23" s="169">
        <v>637024.66500000004</v>
      </c>
      <c r="W23" s="170">
        <v>0.13129513749999999</v>
      </c>
      <c r="X23" s="169">
        <v>1509698.1710000001</v>
      </c>
      <c r="Y23" s="170">
        <v>0.43850090920000001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14871.21</v>
      </c>
      <c r="C24" s="171">
        <v>14999.305</v>
      </c>
      <c r="D24" s="172">
        <v>-8.5400623999999994E-3</v>
      </c>
      <c r="E24" s="171">
        <v>89998.152000000002</v>
      </c>
      <c r="F24" s="171">
        <v>90681.582999999999</v>
      </c>
      <c r="G24" s="172">
        <v>-7.5366019999999999E-3</v>
      </c>
      <c r="H24" s="171">
        <v>185573.75200000001</v>
      </c>
      <c r="I24" s="172">
        <v>-1.3972933E-2</v>
      </c>
      <c r="J24" s="171">
        <v>15852.468999999999</v>
      </c>
      <c r="K24" s="171">
        <v>16646.947</v>
      </c>
      <c r="L24" s="172">
        <v>-4.7725147400000001E-2</v>
      </c>
      <c r="M24" s="171">
        <v>93183.808999999994</v>
      </c>
      <c r="N24" s="171">
        <v>92971.876999999993</v>
      </c>
      <c r="O24" s="172">
        <v>2.2795279999999998E-3</v>
      </c>
      <c r="P24" s="171">
        <v>202260.09400000001</v>
      </c>
      <c r="Q24" s="172">
        <v>3.60529297E-2</v>
      </c>
      <c r="R24" s="171">
        <v>535465.82499999995</v>
      </c>
      <c r="S24" s="171">
        <v>546694.77300000004</v>
      </c>
      <c r="T24" s="172">
        <v>-2.05397025E-2</v>
      </c>
      <c r="U24" s="171">
        <v>2721557.94</v>
      </c>
      <c r="V24" s="171">
        <v>2710191.0460000001</v>
      </c>
      <c r="W24" s="172">
        <v>4.1941302E-3</v>
      </c>
      <c r="X24" s="171">
        <v>6013742.699</v>
      </c>
      <c r="Y24" s="172">
        <v>8.2580684000000005E-3</v>
      </c>
      <c r="Z24" s="171">
        <v>692143.86499999999</v>
      </c>
      <c r="AA24" s="171">
        <v>713713.19299999997</v>
      </c>
      <c r="AB24" s="172">
        <v>-3.0221282499999998E-2</v>
      </c>
      <c r="AC24" s="171">
        <v>4261739.3169999998</v>
      </c>
      <c r="AD24" s="171">
        <v>4175192.0660000001</v>
      </c>
      <c r="AE24" s="172">
        <v>2.07289269E-2</v>
      </c>
      <c r="AF24" s="171">
        <v>8839391.0419999994</v>
      </c>
      <c r="AG24" s="172">
        <v>3.1604421200000003E-2</v>
      </c>
    </row>
    <row r="25" spans="1:33">
      <c r="R25" s="162">
        <f>SUM(R10,R14)</f>
        <v>17869.899000000001</v>
      </c>
      <c r="S25" s="162">
        <f>SUM(S10,S14)</f>
        <v>20755.148000000001</v>
      </c>
      <c r="T25" s="163">
        <f>((R25/S25)-1)*100</f>
        <v>-13.901365579277003</v>
      </c>
    </row>
    <row r="26" spans="1:33">
      <c r="A26" s="102" t="s">
        <v>103</v>
      </c>
      <c r="B26" s="162">
        <f>SUM(B24,J24,R24,Z24)</f>
        <v>1258333.3689999999</v>
      </c>
      <c r="C26" s="162">
        <f>SUM(C24,K24,S24,AA24)</f>
        <v>1292054.2179999999</v>
      </c>
      <c r="D26" s="163">
        <f>((B26/C26)-1)*100</f>
        <v>-2.609863311479077</v>
      </c>
      <c r="R26" s="179">
        <f>R23/R24</f>
        <v>0.27147127269980303</v>
      </c>
      <c r="S26" s="179">
        <f>S23/S24</f>
        <v>0.22745806278268549</v>
      </c>
      <c r="Z26" s="163"/>
    </row>
    <row r="29" spans="1:33" ht="15">
      <c r="A29" s="134" t="s">
        <v>67</v>
      </c>
      <c r="B29" s="199" t="str">
        <f>A2</f>
        <v>Junio 2024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644.71</v>
      </c>
      <c r="D41" s="167"/>
    </row>
    <row r="42" spans="1:4">
      <c r="A42" s="133" t="s">
        <v>4</v>
      </c>
      <c r="B42" s="176">
        <v>333.32939499999998</v>
      </c>
      <c r="C42" s="176">
        <v>251.243945</v>
      </c>
      <c r="D42" s="167"/>
    </row>
    <row r="43" spans="1:4">
      <c r="A43" s="133" t="s">
        <v>22</v>
      </c>
      <c r="B43" s="176">
        <v>2.13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2231.9498950000007</v>
      </c>
      <c r="C47" s="177">
        <f>SUM(C33:C46)</f>
        <v>3310.8599450000002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10.806694206726355</v>
      </c>
      <c r="D52" s="165"/>
      <c r="F52" s="105" t="s">
        <v>10</v>
      </c>
      <c r="G52" s="106">
        <f>C35</f>
        <v>487.64</v>
      </c>
      <c r="H52" s="107">
        <f>G52/$G$62*100</f>
        <v>14.728499788594954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6.2456599188128274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15.728542090293704</v>
      </c>
    </row>
    <row r="54" spans="1:8">
      <c r="A54" s="105" t="s">
        <v>9</v>
      </c>
      <c r="B54" s="106">
        <f t="shared" si="1"/>
        <v>603.1</v>
      </c>
      <c r="C54" s="107">
        <f t="shared" si="0"/>
        <v>27.021215904132113</v>
      </c>
      <c r="D54" s="165"/>
      <c r="F54" s="105" t="s">
        <v>8</v>
      </c>
      <c r="G54" s="106">
        <f>C37</f>
        <v>482.64</v>
      </c>
      <c r="H54" s="107">
        <f t="shared" si="2"/>
        <v>14.577481621621416</v>
      </c>
    </row>
    <row r="55" spans="1:8">
      <c r="A55" s="105" t="s">
        <v>25</v>
      </c>
      <c r="B55" s="106">
        <f>B38</f>
        <v>822.9</v>
      </c>
      <c r="C55" s="107">
        <f t="shared" si="0"/>
        <v>36.869107225187051</v>
      </c>
      <c r="D55" s="165"/>
      <c r="F55" s="105" t="s">
        <v>25</v>
      </c>
      <c r="G55" s="106">
        <f>C38</f>
        <v>865.4</v>
      </c>
      <c r="H55" s="107">
        <f t="shared" si="2"/>
        <v>26.138224339779491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1.1537787956778101</v>
      </c>
    </row>
    <row r="57" spans="1:8">
      <c r="A57" s="105" t="s">
        <v>23</v>
      </c>
      <c r="B57" s="106">
        <f>B44</f>
        <v>11.523</v>
      </c>
      <c r="C57" s="107">
        <f t="shared" si="0"/>
        <v>0.51627503044820811</v>
      </c>
      <c r="D57" s="165"/>
      <c r="F57" s="105" t="s">
        <v>12</v>
      </c>
      <c r="G57" s="107">
        <f>C33</f>
        <v>1.52</v>
      </c>
      <c r="H57" s="107">
        <f t="shared" si="2"/>
        <v>4.5909522759954739E-2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1.6756648562668559</v>
      </c>
      <c r="D58" s="165"/>
      <c r="F58" s="105" t="s">
        <v>6</v>
      </c>
      <c r="G58" s="106">
        <f>C40</f>
        <v>11.32</v>
      </c>
      <c r="H58" s="107">
        <f t="shared" si="2"/>
        <v>0.34190513002808398</v>
      </c>
    </row>
    <row r="59" spans="1:8">
      <c r="A59" s="105" t="s">
        <v>54</v>
      </c>
      <c r="B59" s="106">
        <f>B45</f>
        <v>37.4</v>
      </c>
      <c r="C59" s="107">
        <f t="shared" si="3"/>
        <v>1.6756648562668559</v>
      </c>
      <c r="D59" s="165"/>
      <c r="F59" s="105" t="s">
        <v>5</v>
      </c>
      <c r="G59" s="106">
        <f>C41</f>
        <v>644.71</v>
      </c>
      <c r="H59" s="107">
        <f t="shared" si="2"/>
        <v>19.472584485901592</v>
      </c>
    </row>
    <row r="60" spans="1:8">
      <c r="A60" s="105" t="s">
        <v>5</v>
      </c>
      <c r="B60" s="106">
        <f>B41</f>
        <v>3.5674999999999999</v>
      </c>
      <c r="C60" s="107">
        <f t="shared" si="3"/>
        <v>0.15983781750620343</v>
      </c>
      <c r="D60" s="165"/>
      <c r="F60" s="105" t="s">
        <v>4</v>
      </c>
      <c r="G60" s="106">
        <f>C42</f>
        <v>251.243945</v>
      </c>
      <c r="H60" s="107">
        <f t="shared" si="2"/>
        <v>7.5884800074199452</v>
      </c>
    </row>
    <row r="61" spans="1:8">
      <c r="A61" s="105" t="s">
        <v>4</v>
      </c>
      <c r="B61" s="106">
        <f>B42</f>
        <v>333.32939499999998</v>
      </c>
      <c r="C61" s="107">
        <f t="shared" si="3"/>
        <v>14.934447934817996</v>
      </c>
      <c r="D61" s="165"/>
      <c r="F61" s="105" t="s">
        <v>22</v>
      </c>
      <c r="G61" s="106">
        <f>C43</f>
        <v>7.4359999999999999</v>
      </c>
      <c r="H61" s="107">
        <f t="shared" si="2"/>
        <v>0.22459421792304174</v>
      </c>
    </row>
    <row r="62" spans="1:8">
      <c r="A62" s="105" t="s">
        <v>22</v>
      </c>
      <c r="B62" s="106">
        <f>B43</f>
        <v>2.13</v>
      </c>
      <c r="C62" s="107">
        <f t="shared" si="3"/>
        <v>9.5432249835518818E-2</v>
      </c>
      <c r="D62" s="165"/>
      <c r="F62" s="108" t="s">
        <v>20</v>
      </c>
      <c r="G62" s="109">
        <f>SUM(G52:G61)</f>
        <v>3310.8599450000002</v>
      </c>
      <c r="H62" s="110">
        <f>SUM(H52:H61)</f>
        <v>99.999999999999986</v>
      </c>
    </row>
    <row r="63" spans="1:8">
      <c r="A63" s="108" t="s">
        <v>20</v>
      </c>
      <c r="B63" s="109">
        <f>SUM(B52:B62)</f>
        <v>2231.9498950000002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4.9338271027847576</v>
      </c>
      <c r="C68" s="106">
        <f>IF(R9&lt;0,0,R9)</f>
        <v>26418.957999999999</v>
      </c>
      <c r="D68" s="183">
        <f>(C68/SUM($C$68:$C$78))*100</f>
        <v>6.7723164755200225</v>
      </c>
      <c r="F68" s="105" t="s">
        <v>10</v>
      </c>
      <c r="G68" s="107">
        <f>SUM(Z10,Z14)/Z$24*100</f>
        <v>21.27417426433448</v>
      </c>
    </row>
    <row r="69" spans="1:7">
      <c r="A69" s="105" t="s">
        <v>10</v>
      </c>
      <c r="B69" s="107">
        <f t="shared" ref="B69:B78" si="4">C69/$C$80*100</f>
        <v>3.3372622799970477</v>
      </c>
      <c r="C69" s="106">
        <f>R10</f>
        <v>17869.899000000001</v>
      </c>
      <c r="D69" s="183">
        <f t="shared" ref="D69:D78" si="5">(C69/SUM($C$68:$C$78))*100</f>
        <v>4.580824550823646</v>
      </c>
      <c r="F69" s="105" t="s">
        <v>9</v>
      </c>
      <c r="G69" s="107">
        <f>Z11/Z$24*100</f>
        <v>3.8401155228039192</v>
      </c>
    </row>
    <row r="70" spans="1:7">
      <c r="A70" s="105" t="s">
        <v>9</v>
      </c>
      <c r="B70" s="107">
        <f t="shared" si="4"/>
        <v>8.0926337362426448</v>
      </c>
      <c r="C70" s="106">
        <f>R11</f>
        <v>43333.288</v>
      </c>
      <c r="D70" s="183">
        <f t="shared" si="5"/>
        <v>11.108187547020366</v>
      </c>
      <c r="F70" s="105" t="s">
        <v>8</v>
      </c>
      <c r="G70" s="107">
        <f>Z12/Z$24*100</f>
        <v>11.432425251649093</v>
      </c>
    </row>
    <row r="71" spans="1:7">
      <c r="A71" s="105" t="s">
        <v>25</v>
      </c>
      <c r="B71" s="107">
        <f t="shared" si="4"/>
        <v>39.684891561473606</v>
      </c>
      <c r="C71" s="106">
        <f>R13</f>
        <v>212499.03200000001</v>
      </c>
      <c r="D71" s="183">
        <f>(C71/SUM($C$68:$C$78))*100</f>
        <v>54.472651625611299</v>
      </c>
      <c r="F71" s="105" t="s">
        <v>25</v>
      </c>
      <c r="G71" s="107">
        <f>Z13/Z$24*100</f>
        <v>38.973661638971549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4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0.64634489045122545</v>
      </c>
      <c r="C73" s="106">
        <f>R19</f>
        <v>3460.9560000000001</v>
      </c>
      <c r="D73" s="183">
        <f t="shared" si="5"/>
        <v>0.88719204367749394</v>
      </c>
      <c r="F73" s="105" t="s">
        <v>12</v>
      </c>
      <c r="G73" s="107">
        <f>Z8/Z$24*100</f>
        <v>3.9791582924743545E-2</v>
      </c>
    </row>
    <row r="74" spans="1:7">
      <c r="A74" s="105" t="s">
        <v>55</v>
      </c>
      <c r="B74" s="107">
        <f t="shared" si="4"/>
        <v>3.0971667519584467</v>
      </c>
      <c r="C74" s="106">
        <f>R21</f>
        <v>16584.269499999999</v>
      </c>
      <c r="D74" s="183">
        <f t="shared" si="5"/>
        <v>4.251262353697455</v>
      </c>
      <c r="F74" s="105" t="s">
        <v>6</v>
      </c>
      <c r="G74" s="107">
        <f>Z15/Z$24*100</f>
        <v>0.37987030340867067</v>
      </c>
    </row>
    <row r="75" spans="1:7">
      <c r="A75" s="105" t="s">
        <v>54</v>
      </c>
      <c r="B75" s="107">
        <f t="shared" si="4"/>
        <v>3.0971667519584467</v>
      </c>
      <c r="C75" s="106">
        <f>R20</f>
        <v>16584.269499999999</v>
      </c>
      <c r="D75" s="183">
        <f t="shared" si="5"/>
        <v>4.251262353697455</v>
      </c>
      <c r="F75" s="105" t="s">
        <v>5</v>
      </c>
      <c r="G75" s="107">
        <f>Z16/Z$24*100</f>
        <v>18.764325679604195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3">
        <f t="shared" si="5"/>
        <v>0</v>
      </c>
      <c r="F76" s="105" t="s">
        <v>4</v>
      </c>
      <c r="G76" s="107">
        <f>Z17/Z$24*100</f>
        <v>5.223690886864973</v>
      </c>
    </row>
    <row r="77" spans="1:7">
      <c r="A77" s="105" t="s">
        <v>4</v>
      </c>
      <c r="B77" s="107">
        <f t="shared" si="4"/>
        <v>9.9489944106143469</v>
      </c>
      <c r="C77" s="106">
        <f>R17</f>
        <v>53273.464999999997</v>
      </c>
      <c r="D77" s="183">
        <f t="shared" si="5"/>
        <v>13.656282913487324</v>
      </c>
      <c r="F77" s="105" t="s">
        <v>22</v>
      </c>
      <c r="G77" s="107">
        <f>Z18/Z$24*100</f>
        <v>7.1944869438378981E-2</v>
      </c>
    </row>
    <row r="78" spans="1:7">
      <c r="A78" s="105" t="s">
        <v>22</v>
      </c>
      <c r="B78" s="107">
        <f t="shared" si="4"/>
        <v>1.4585244539182311E-2</v>
      </c>
      <c r="C78" s="106">
        <f>R18</f>
        <v>78.099000000000004</v>
      </c>
      <c r="D78" s="183">
        <f t="shared" si="5"/>
        <v>2.0020136464944542E-2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27.147127269980302</v>
      </c>
      <c r="C79" s="106">
        <f>R23</f>
        <v>145363.58900000001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535465.82499999995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122</v>
      </c>
      <c r="T86" s="180" t="s">
        <v>123</v>
      </c>
      <c r="U86" s="180" t="s">
        <v>127</v>
      </c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/>
      <c r="W87"/>
      <c r="X87"/>
      <c r="Y87"/>
      <c r="Z87"/>
    </row>
    <row r="88" spans="1:26" ht="15">
      <c r="A88" s="207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3.2271000000000001</v>
      </c>
      <c r="V88"/>
      <c r="W88"/>
      <c r="X88"/>
      <c r="Y88"/>
      <c r="Z88"/>
    </row>
    <row r="89" spans="1:26" ht="15">
      <c r="A89" s="208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11.999069</v>
      </c>
      <c r="V89"/>
      <c r="W89"/>
      <c r="X89"/>
      <c r="Y89"/>
      <c r="Z89"/>
    </row>
    <row r="90" spans="1:26" ht="15">
      <c r="A90" s="208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11.289766999999999</v>
      </c>
      <c r="V90"/>
      <c r="W90"/>
      <c r="X90"/>
      <c r="Y90"/>
      <c r="Z90"/>
    </row>
    <row r="91" spans="1:26" ht="15">
      <c r="A91" s="208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81.801822999999999</v>
      </c>
      <c r="V91"/>
      <c r="W91"/>
      <c r="X91"/>
      <c r="Y91"/>
      <c r="Z91"/>
    </row>
    <row r="92" spans="1:26" ht="15">
      <c r="A92" s="208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/>
      <c r="W92"/>
      <c r="X92"/>
      <c r="Y92"/>
      <c r="Z92"/>
    </row>
    <row r="93" spans="1:26" ht="15">
      <c r="A93" s="208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/>
      <c r="W93"/>
      <c r="X93"/>
      <c r="Y93"/>
      <c r="Z93"/>
    </row>
    <row r="94" spans="1:26" ht="15">
      <c r="A94" s="208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32.896220999999997</v>
      </c>
      <c r="M94" s="173">
        <v>24.884706000000001</v>
      </c>
      <c r="N94" s="173">
        <v>22.636651000000001</v>
      </c>
      <c r="O94" s="173">
        <v>23.970113999999999</v>
      </c>
      <c r="P94" s="173">
        <v>30.744498</v>
      </c>
      <c r="Q94" s="173">
        <v>45.305076999999997</v>
      </c>
      <c r="R94" s="173">
        <v>44.568354999999997</v>
      </c>
      <c r="S94" s="173">
        <v>58.305483000000002</v>
      </c>
      <c r="T94" s="173">
        <v>53.273465000000002</v>
      </c>
      <c r="U94" s="173">
        <v>18.973075999999999</v>
      </c>
      <c r="V94"/>
      <c r="W94"/>
      <c r="X94"/>
      <c r="Y94"/>
      <c r="Z94"/>
    </row>
    <row r="95" spans="1:26" ht="15">
      <c r="A95" s="208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0.10422099999999999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2.4414999999999999E-2</v>
      </c>
      <c r="V95"/>
      <c r="W95"/>
      <c r="X95"/>
      <c r="Y95"/>
      <c r="Z95"/>
    </row>
    <row r="96" spans="1:26" ht="15">
      <c r="A96" s="208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0</v>
      </c>
      <c r="V96"/>
      <c r="W96"/>
      <c r="X96"/>
      <c r="Y96"/>
      <c r="Z96"/>
    </row>
    <row r="97" spans="1:26" ht="15">
      <c r="A97" s="208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5.71875</v>
      </c>
      <c r="V97"/>
      <c r="W97"/>
      <c r="X97"/>
      <c r="Y97"/>
      <c r="Z97"/>
    </row>
    <row r="98" spans="1:26" ht="15">
      <c r="A98" s="208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5.71875</v>
      </c>
      <c r="V98"/>
      <c r="W98"/>
      <c r="X98"/>
      <c r="Y98"/>
      <c r="Z98"/>
    </row>
    <row r="99" spans="1:26" ht="15">
      <c r="A99" s="208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363.93801500000001</v>
      </c>
      <c r="M99" s="174">
        <v>302.20483200000001</v>
      </c>
      <c r="N99" s="174">
        <v>305.99322599999999</v>
      </c>
      <c r="O99" s="174">
        <v>322.739238</v>
      </c>
      <c r="P99" s="174">
        <v>292.19124699999998</v>
      </c>
      <c r="Q99" s="174">
        <v>317.70156900000001</v>
      </c>
      <c r="R99" s="174">
        <v>321.59470199999998</v>
      </c>
      <c r="S99" s="174">
        <v>356.56604199999998</v>
      </c>
      <c r="T99" s="174">
        <v>390.102236</v>
      </c>
      <c r="U99" s="174">
        <v>138.75274999999999</v>
      </c>
      <c r="V99"/>
      <c r="W99"/>
      <c r="X99"/>
      <c r="Y99"/>
      <c r="Z99"/>
    </row>
    <row r="100" spans="1:26" ht="15">
      <c r="A100" s="208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62.930199999999999</v>
      </c>
      <c r="V100"/>
      <c r="W100"/>
      <c r="X100"/>
      <c r="Y100"/>
      <c r="Z100"/>
    </row>
    <row r="101" spans="1:26" ht="15">
      <c r="A101" s="209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495.38550500000002</v>
      </c>
      <c r="M101" s="174">
        <v>372.94052199999999</v>
      </c>
      <c r="N101" s="174">
        <v>418.433494</v>
      </c>
      <c r="O101" s="174">
        <v>445.49951199999998</v>
      </c>
      <c r="P101" s="174">
        <v>406.93532900000002</v>
      </c>
      <c r="Q101" s="174">
        <v>428.36929600000002</v>
      </c>
      <c r="R101" s="174">
        <v>430.95705199999998</v>
      </c>
      <c r="S101" s="174">
        <v>474.33092599999998</v>
      </c>
      <c r="T101" s="174">
        <v>535.465825</v>
      </c>
      <c r="U101" s="174">
        <v>201.68295000000001</v>
      </c>
      <c r="V101"/>
      <c r="W101"/>
      <c r="X101"/>
      <c r="Y101"/>
      <c r="Z101"/>
    </row>
    <row r="102" spans="1:26" ht="15">
      <c r="A102" s="212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</v>
      </c>
      <c r="V102"/>
      <c r="W102"/>
      <c r="X102"/>
      <c r="Y102"/>
      <c r="Z102"/>
    </row>
    <row r="103" spans="1:26" ht="15">
      <c r="A103" s="208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49.939075000000003</v>
      </c>
      <c r="V103"/>
      <c r="W103"/>
      <c r="X103"/>
      <c r="Y103"/>
      <c r="Z103"/>
    </row>
    <row r="104" spans="1:26" ht="15">
      <c r="A104" s="208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3.6436660000000001</v>
      </c>
      <c r="V104"/>
      <c r="W104"/>
      <c r="X104"/>
      <c r="Y104"/>
      <c r="Z104"/>
    </row>
    <row r="105" spans="1:26" ht="15">
      <c r="A105" s="208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32.021807000000003</v>
      </c>
      <c r="V105"/>
      <c r="W105"/>
      <c r="X105"/>
      <c r="Y105"/>
      <c r="Z105"/>
    </row>
    <row r="106" spans="1:26" ht="15">
      <c r="A106" s="208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75.941333</v>
      </c>
      <c r="V106"/>
      <c r="W106"/>
      <c r="X106"/>
      <c r="Y106"/>
      <c r="Z106"/>
    </row>
    <row r="107" spans="1:26" ht="15">
      <c r="A107" s="208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/>
      <c r="W107"/>
      <c r="X107"/>
      <c r="Y107"/>
      <c r="Z107"/>
    </row>
    <row r="108" spans="1:26" ht="15">
      <c r="A108" s="208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1.7404930000000001</v>
      </c>
      <c r="V108"/>
      <c r="W108"/>
      <c r="X108"/>
      <c r="Y108"/>
      <c r="Z108"/>
    </row>
    <row r="109" spans="1:26" ht="15">
      <c r="A109" s="208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53.195207000000003</v>
      </c>
      <c r="P109" s="173">
        <v>108.751811</v>
      </c>
      <c r="Q109" s="173">
        <v>89.282236999999995</v>
      </c>
      <c r="R109" s="173">
        <v>94.671989999999994</v>
      </c>
      <c r="S109" s="173">
        <v>147.019094</v>
      </c>
      <c r="T109" s="173">
        <v>129.87612899999999</v>
      </c>
      <c r="U109" s="173">
        <v>63.694740000000003</v>
      </c>
      <c r="V109"/>
      <c r="W109"/>
      <c r="X109"/>
      <c r="Y109"/>
      <c r="Z109"/>
    </row>
    <row r="110" spans="1:26" ht="15">
      <c r="A110" s="208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24.559023</v>
      </c>
      <c r="P110" s="173">
        <v>26.306543000000001</v>
      </c>
      <c r="Q110" s="173">
        <v>31.905954000000001</v>
      </c>
      <c r="R110" s="173">
        <v>35.953691999999997</v>
      </c>
      <c r="S110" s="173">
        <v>35.545333999999997</v>
      </c>
      <c r="T110" s="173">
        <v>36.155456000000001</v>
      </c>
      <c r="U110" s="173">
        <v>12.807629</v>
      </c>
      <c r="V110"/>
      <c r="W110"/>
      <c r="X110"/>
      <c r="Y110"/>
      <c r="Z110"/>
    </row>
    <row r="111" spans="1:26" ht="15">
      <c r="A111" s="208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</v>
      </c>
      <c r="V111"/>
      <c r="W111"/>
      <c r="X111"/>
      <c r="Y111"/>
      <c r="Z111"/>
    </row>
    <row r="112" spans="1:26" ht="15">
      <c r="A112" s="208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802.65790300000003</v>
      </c>
      <c r="K112" s="174">
        <v>744.75916099999995</v>
      </c>
      <c r="L112" s="174">
        <v>803.86761799999999</v>
      </c>
      <c r="M112" s="174">
        <v>730.19147599999997</v>
      </c>
      <c r="N112" s="174">
        <v>733.35031600000002</v>
      </c>
      <c r="O112" s="174">
        <v>741.00049100000001</v>
      </c>
      <c r="P112" s="174">
        <v>691.29240300000004</v>
      </c>
      <c r="Q112" s="174">
        <v>724.47731899999997</v>
      </c>
      <c r="R112" s="174">
        <v>704.93682799999999</v>
      </c>
      <c r="S112" s="174">
        <v>707.88841100000002</v>
      </c>
      <c r="T112" s="174">
        <v>692.14386500000001</v>
      </c>
      <c r="U112" s="174">
        <v>239.78874300000001</v>
      </c>
      <c r="V112"/>
      <c r="W112"/>
      <c r="X112"/>
      <c r="Y112"/>
      <c r="Z112"/>
    </row>
    <row r="113" spans="1:26" ht="15">
      <c r="A113" s="209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741.00049100000001</v>
      </c>
      <c r="P113" s="174">
        <v>691.29240300000004</v>
      </c>
      <c r="Q113" s="174">
        <v>724.47731899999997</v>
      </c>
      <c r="R113" s="174">
        <v>704.93682799999999</v>
      </c>
      <c r="S113" s="174">
        <v>707.88841100000002</v>
      </c>
      <c r="T113" s="174">
        <v>692.14386500000001</v>
      </c>
      <c r="U113" s="174">
        <v>239.78874300000001</v>
      </c>
      <c r="V113"/>
      <c r="W113"/>
      <c r="X113"/>
      <c r="Y113"/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junio 2023</v>
      </c>
      <c r="D117" s="111" t="str">
        <f t="shared" ref="D117:M117" si="6">TEXT(EDATE(E117,-1),"mmmm aaaa")</f>
        <v>julio 2023</v>
      </c>
      <c r="E117" s="111" t="str">
        <f t="shared" si="6"/>
        <v>agosto 2023</v>
      </c>
      <c r="F117" s="111" t="str">
        <f t="shared" si="6"/>
        <v>septiembre 2023</v>
      </c>
      <c r="G117" s="111" t="str">
        <f t="shared" si="6"/>
        <v>octubre 2023</v>
      </c>
      <c r="H117" s="111" t="str">
        <f t="shared" si="6"/>
        <v>noviembre 2023</v>
      </c>
      <c r="I117" s="111" t="str">
        <f t="shared" si="6"/>
        <v>diciembre 2023</v>
      </c>
      <c r="J117" s="111" t="str">
        <f t="shared" si="6"/>
        <v>enero 2024</v>
      </c>
      <c r="K117" s="111" t="str">
        <f t="shared" si="6"/>
        <v>febrero 2024</v>
      </c>
      <c r="L117" s="111" t="str">
        <f t="shared" si="6"/>
        <v>marzo 2024</v>
      </c>
      <c r="M117" s="111" t="str">
        <f t="shared" si="6"/>
        <v>abril 2024</v>
      </c>
      <c r="N117" s="111" t="str">
        <f>TEXT(EDATE(O117,-1),"mmmm aaaa")</f>
        <v>mayo 2024</v>
      </c>
      <c r="O117" s="112" t="str">
        <f>A2</f>
        <v>Junio 2024</v>
      </c>
    </row>
    <row r="118" spans="1:26">
      <c r="B118" s="206"/>
      <c r="C118" s="121" t="str">
        <f>TEXT(EDATE($A$2,-12),"mmm")&amp;".-"&amp;TEXT(EDATE($A$2,-12),"aa")</f>
        <v>jun.-23</v>
      </c>
      <c r="D118" s="121" t="str">
        <f>TEXT(EDATE($A$2,-11),"mmm")&amp;".-"&amp;TEXT(EDATE($A$2,-11),"aa")</f>
        <v>jul.-23</v>
      </c>
      <c r="E118" s="121" t="str">
        <f>TEXT(EDATE($A$2,-10),"mmm")&amp;".-"&amp;TEXT(EDATE($A$2,-10),"aa")</f>
        <v>ago.-23</v>
      </c>
      <c r="F118" s="121" t="str">
        <f>TEXT(EDATE($A$2,-9),"mmm")&amp;".-"&amp;TEXT(EDATE($A$2,-9),"aa")</f>
        <v>sep.-23</v>
      </c>
      <c r="G118" s="121" t="str">
        <f>TEXT(EDATE($A$2,-8),"mmm")&amp;".-"&amp;TEXT(EDATE($A$2,-8),"aa")</f>
        <v>oct.-23</v>
      </c>
      <c r="H118" s="121" t="str">
        <f>TEXT(EDATE($A$2,-7),"mmm")&amp;".-"&amp;TEXT(EDATE($A$2,-7),"aa")</f>
        <v>nov.-23</v>
      </c>
      <c r="I118" s="121" t="str">
        <f>TEXT(EDATE($A$2,-6),"mmm")&amp;".-"&amp;TEXT(EDATE($A$2,-6),"aa")</f>
        <v>dic.-23</v>
      </c>
      <c r="J118" s="121" t="str">
        <f>TEXT(EDATE($A$2,-5),"mmm")&amp;".-"&amp;TEXT(EDATE($A$2,-5),"aa")</f>
        <v>ene.-24</v>
      </c>
      <c r="K118" s="121" t="str">
        <f>TEXT(EDATE($A$2,-4),"mmm")&amp;".-"&amp;TEXT(EDATE($A$2,-4),"aa")</f>
        <v>feb.-24</v>
      </c>
      <c r="L118" s="121" t="str">
        <f>TEXT(EDATE($A$2,-3),"mmm")&amp;".-"&amp;TEXT(EDATE($A$2,-3),"aa")</f>
        <v>mar.-24</v>
      </c>
      <c r="M118" s="121" t="str">
        <f>TEXT(EDATE($A$2,-2),"mmm")&amp;".-"&amp;TEXT(EDATE($A$2,-2),"aa")</f>
        <v>abr.-24</v>
      </c>
      <c r="N118" s="121" t="str">
        <f>TEXT(EDATE($A$2,-1),"mmm")&amp;".-"&amp;TEXT(EDATE($A$2,-1),"aa")</f>
        <v>may.-24</v>
      </c>
      <c r="O118" s="143" t="str">
        <f>TEXT($A$2,"mmm")&amp;".-"&amp;TEXT($A$2,"aa")</f>
        <v>jun.-24</v>
      </c>
    </row>
    <row r="119" spans="1:26">
      <c r="A119" s="202" t="s">
        <v>76</v>
      </c>
      <c r="B119" s="122" t="s">
        <v>11</v>
      </c>
      <c r="C119" s="123">
        <f>HLOOKUP(C$117,$86:$101,3,FALSE)</f>
        <v>3.1799559999999998</v>
      </c>
      <c r="D119" s="123">
        <f t="shared" ref="D119:N119" si="7">HLOOKUP(D$117,$86:$101,3,FALSE)</f>
        <v>54.925434000000003</v>
      </c>
      <c r="E119" s="123">
        <f t="shared" si="7"/>
        <v>9.0232189999999992</v>
      </c>
      <c r="F119" s="123">
        <f t="shared" si="7"/>
        <v>-0.82337800000000005</v>
      </c>
      <c r="G119" s="123">
        <f t="shared" si="7"/>
        <v>-0.82724900000000001</v>
      </c>
      <c r="H119" s="123">
        <f t="shared" si="7"/>
        <v>-0.89542500000000003</v>
      </c>
      <c r="I119" s="123">
        <f t="shared" si="7"/>
        <v>-0.69586499999999996</v>
      </c>
      <c r="J119" s="123">
        <f t="shared" si="7"/>
        <v>-0.70605399999999996</v>
      </c>
      <c r="K119" s="123">
        <f t="shared" si="7"/>
        <v>-0.66276199999999996</v>
      </c>
      <c r="L119" s="123">
        <f t="shared" si="7"/>
        <v>-0.710283</v>
      </c>
      <c r="M119" s="123">
        <f t="shared" si="7"/>
        <v>-0.939218</v>
      </c>
      <c r="N119" s="123">
        <f t="shared" si="7"/>
        <v>22.073955999999999</v>
      </c>
      <c r="O119" s="124">
        <f>HLOOKUP(O$117,$86:$101,3,FALSE)</f>
        <v>26.418958</v>
      </c>
    </row>
    <row r="120" spans="1:26">
      <c r="A120" s="203"/>
      <c r="B120" s="105" t="s">
        <v>10</v>
      </c>
      <c r="C120" s="107">
        <f>HLOOKUP(C$117,$86:$101,4,FALSE)</f>
        <v>20.755147999999998</v>
      </c>
      <c r="D120" s="107">
        <f t="shared" ref="D120:O120" si="8">HLOOKUP(D$117,$86:$101,4,FALSE)</f>
        <v>57.618448999999998</v>
      </c>
      <c r="E120" s="107">
        <f t="shared" si="8"/>
        <v>64.924531000000002</v>
      </c>
      <c r="F120" s="107">
        <f t="shared" si="8"/>
        <v>32.782569000000002</v>
      </c>
      <c r="G120" s="107">
        <f t="shared" si="8"/>
        <v>16.979832999999999</v>
      </c>
      <c r="H120" s="107">
        <f t="shared" si="8"/>
        <v>5.9974980000000002</v>
      </c>
      <c r="I120" s="107">
        <f t="shared" si="8"/>
        <v>6.2665600000000001</v>
      </c>
      <c r="J120" s="107">
        <f t="shared" si="8"/>
        <v>5.2892989999999998</v>
      </c>
      <c r="K120" s="107">
        <f t="shared" si="8"/>
        <v>4.8235140000000003</v>
      </c>
      <c r="L120" s="107">
        <f t="shared" si="8"/>
        <v>5.4357850000000001</v>
      </c>
      <c r="M120" s="107">
        <f t="shared" si="8"/>
        <v>18.212437000000001</v>
      </c>
      <c r="N120" s="107">
        <f t="shared" si="8"/>
        <v>11.891016</v>
      </c>
      <c r="O120" s="124">
        <f t="shared" si="8"/>
        <v>17.869899</v>
      </c>
    </row>
    <row r="121" spans="1:26">
      <c r="A121" s="203"/>
      <c r="B121" s="105" t="s">
        <v>9</v>
      </c>
      <c r="C121" s="107">
        <f>HLOOKUP(C$117,$86:$101,5,FALSE)</f>
        <v>56.449230999999997</v>
      </c>
      <c r="D121" s="107">
        <f t="shared" ref="D121:O121" si="9">HLOOKUP(D$117,$86:$101,5,FALSE)</f>
        <v>67.064257999999995</v>
      </c>
      <c r="E121" s="107">
        <f t="shared" si="9"/>
        <v>53.415241999999999</v>
      </c>
      <c r="F121" s="107">
        <f t="shared" si="9"/>
        <v>49.271726999999998</v>
      </c>
      <c r="G121" s="107">
        <f t="shared" si="9"/>
        <v>44.274278000000002</v>
      </c>
      <c r="H121" s="107">
        <f t="shared" si="9"/>
        <v>24.187601999999998</v>
      </c>
      <c r="I121" s="107">
        <f t="shared" si="9"/>
        <v>22.604486999999999</v>
      </c>
      <c r="J121" s="107">
        <f t="shared" si="9"/>
        <v>25.154277</v>
      </c>
      <c r="K121" s="107">
        <f t="shared" si="9"/>
        <v>23.798262999999999</v>
      </c>
      <c r="L121" s="107">
        <f t="shared" si="9"/>
        <v>24.938551</v>
      </c>
      <c r="M121" s="107">
        <f t="shared" si="9"/>
        <v>29.498771000000001</v>
      </c>
      <c r="N121" s="107">
        <f t="shared" si="9"/>
        <v>29.400922999999999</v>
      </c>
      <c r="O121" s="124">
        <f t="shared" si="9"/>
        <v>43.333288000000003</v>
      </c>
    </row>
    <row r="122" spans="1:26" ht="14.25">
      <c r="A122" s="203"/>
      <c r="B122" s="105" t="s">
        <v>74</v>
      </c>
      <c r="C122" s="107">
        <f>HLOOKUP(C$117,$86:$101,6,FALSE)</f>
        <v>269.55010299999998</v>
      </c>
      <c r="D122" s="107">
        <f t="shared" ref="D122:O122" si="10">HLOOKUP(D$117,$86:$101,6,FALSE)</f>
        <v>316.35504600000002</v>
      </c>
      <c r="E122" s="107">
        <f t="shared" si="10"/>
        <v>324.37696499999998</v>
      </c>
      <c r="F122" s="107">
        <f t="shared" si="10"/>
        <v>296.32292799999999</v>
      </c>
      <c r="G122" s="107">
        <f t="shared" si="10"/>
        <v>247.112684</v>
      </c>
      <c r="H122" s="107">
        <f t="shared" si="10"/>
        <v>224.26124200000001</v>
      </c>
      <c r="I122" s="107">
        <f t="shared" si="10"/>
        <v>233.91494</v>
      </c>
      <c r="J122" s="107">
        <f t="shared" si="10"/>
        <v>244.02029300000001</v>
      </c>
      <c r="K122" s="107">
        <f t="shared" si="10"/>
        <v>218.49136100000001</v>
      </c>
      <c r="L122" s="107">
        <f t="shared" si="10"/>
        <v>213.548517</v>
      </c>
      <c r="M122" s="107">
        <f t="shared" si="10"/>
        <v>205.68247400000001</v>
      </c>
      <c r="N122" s="107">
        <f t="shared" si="10"/>
        <v>206.763338</v>
      </c>
      <c r="O122" s="124">
        <f t="shared" si="10"/>
        <v>212.499032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5.6180000000000001E-2</v>
      </c>
      <c r="D124" s="107">
        <f t="shared" ref="D124:O124" si="12">HLOOKUP(D$117,$86:$102,8,FALSE)</f>
        <v>0.118565</v>
      </c>
      <c r="E124" s="107">
        <f t="shared" si="12"/>
        <v>9.7920999999999994E-2</v>
      </c>
      <c r="F124" s="107">
        <f t="shared" si="12"/>
        <v>0</v>
      </c>
      <c r="G124" s="107">
        <f t="shared" si="12"/>
        <v>1.0359999999999999E-2</v>
      </c>
      <c r="H124" s="107">
        <f t="shared" si="12"/>
        <v>8.7279999999999996E-3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3"/>
      <c r="B125" s="105" t="s">
        <v>4</v>
      </c>
      <c r="C125" s="107">
        <f>HLOOKUP(C$117,$86:$102,9,FALSE)</f>
        <v>37.285699000000001</v>
      </c>
      <c r="D125" s="107">
        <f t="shared" ref="D125:O125" si="13">HLOOKUP(D$117,$86:$102,9,FALSE)</f>
        <v>41.537353000000003</v>
      </c>
      <c r="E125" s="107">
        <f t="shared" si="13"/>
        <v>44.650032000000003</v>
      </c>
      <c r="F125" s="107">
        <f t="shared" si="13"/>
        <v>34.850726000000002</v>
      </c>
      <c r="G125" s="107">
        <f t="shared" si="13"/>
        <v>32.896220999999997</v>
      </c>
      <c r="H125" s="107">
        <f t="shared" si="13"/>
        <v>24.884706000000001</v>
      </c>
      <c r="I125" s="107">
        <f t="shared" si="13"/>
        <v>22.636651000000001</v>
      </c>
      <c r="J125" s="107">
        <f t="shared" si="13"/>
        <v>23.970113999999999</v>
      </c>
      <c r="K125" s="107">
        <f t="shared" si="13"/>
        <v>30.744498</v>
      </c>
      <c r="L125" s="107">
        <f t="shared" si="13"/>
        <v>45.305076999999997</v>
      </c>
      <c r="M125" s="107">
        <f t="shared" si="13"/>
        <v>44.568354999999997</v>
      </c>
      <c r="N125" s="107">
        <f t="shared" si="13"/>
        <v>58.305483000000002</v>
      </c>
      <c r="O125" s="124">
        <f t="shared" si="13"/>
        <v>53.273465000000002</v>
      </c>
    </row>
    <row r="126" spans="1:26">
      <c r="A126" s="203"/>
      <c r="B126" s="113" t="s">
        <v>22</v>
      </c>
      <c r="C126" s="107">
        <f>HLOOKUP(C$117,$86:$102,10,FALSE)</f>
        <v>0.140066</v>
      </c>
      <c r="D126" s="107">
        <f t="shared" ref="D126:O126" si="14">HLOOKUP(D$117,$86:$102,10,FALSE)</f>
        <v>0.102288</v>
      </c>
      <c r="E126" s="107">
        <f t="shared" si="14"/>
        <v>9.2054999999999998E-2</v>
      </c>
      <c r="F126" s="107">
        <f t="shared" si="14"/>
        <v>0.14128099999999999</v>
      </c>
      <c r="G126" s="107">
        <f t="shared" si="14"/>
        <v>0.14801500000000001</v>
      </c>
      <c r="H126" s="107">
        <f t="shared" si="14"/>
        <v>0.14354</v>
      </c>
      <c r="I126" s="107">
        <f t="shared" si="14"/>
        <v>0.12625700000000001</v>
      </c>
      <c r="J126" s="107">
        <f t="shared" si="14"/>
        <v>0.10422099999999999</v>
      </c>
      <c r="K126" s="107">
        <f t="shared" si="14"/>
        <v>3.9530000000000003E-2</v>
      </c>
      <c r="L126" s="107">
        <f t="shared" si="14"/>
        <v>4.0002000000000003E-2</v>
      </c>
      <c r="M126" s="107">
        <f t="shared" si="14"/>
        <v>1.5544000000000001E-2</v>
      </c>
      <c r="N126" s="107">
        <f t="shared" si="14"/>
        <v>4.1384999999999998E-2</v>
      </c>
      <c r="O126" s="124">
        <f t="shared" si="14"/>
        <v>7.8099000000000002E-2</v>
      </c>
    </row>
    <row r="127" spans="1:26">
      <c r="A127" s="203"/>
      <c r="B127" s="113" t="s">
        <v>23</v>
      </c>
      <c r="C127" s="107">
        <f>HLOOKUP(C$117,$86:$102,11,FALSE)</f>
        <v>3.7329490000000001</v>
      </c>
      <c r="D127" s="107">
        <f t="shared" ref="D127:O127" si="15">HLOOKUP(D$117,$86:$102,11,FALSE)</f>
        <v>3.1795529999999999</v>
      </c>
      <c r="E127" s="107">
        <f t="shared" si="15"/>
        <v>3.6746310000000002</v>
      </c>
      <c r="F127" s="107">
        <f t="shared" si="15"/>
        <v>2.995241</v>
      </c>
      <c r="G127" s="107">
        <f t="shared" si="15"/>
        <v>1.6210690000000001</v>
      </c>
      <c r="H127" s="107">
        <f t="shared" si="15"/>
        <v>1.996553</v>
      </c>
      <c r="I127" s="107">
        <f t="shared" si="15"/>
        <v>3.1565249999999998</v>
      </c>
      <c r="J127" s="107">
        <f t="shared" si="15"/>
        <v>3.9370180000000001</v>
      </c>
      <c r="K127" s="107">
        <f t="shared" si="15"/>
        <v>3.7397490000000002</v>
      </c>
      <c r="L127" s="107">
        <f t="shared" si="15"/>
        <v>3.4851179999999999</v>
      </c>
      <c r="M127" s="107">
        <f t="shared" si="15"/>
        <v>1.9095409999999999</v>
      </c>
      <c r="N127" s="107">
        <f t="shared" si="15"/>
        <v>3.5397620000000001</v>
      </c>
      <c r="O127" s="124">
        <f t="shared" si="15"/>
        <v>3.4609559999999999</v>
      </c>
    </row>
    <row r="128" spans="1:26">
      <c r="A128" s="203"/>
      <c r="B128" s="105" t="s">
        <v>55</v>
      </c>
      <c r="C128" s="107">
        <f t="shared" ref="C128:O128" si="16">HLOOKUP(C$117,$86:$102,13,FALSE)</f>
        <v>15.5976535</v>
      </c>
      <c r="D128" s="107">
        <f t="shared" si="16"/>
        <v>12.541195999999999</v>
      </c>
      <c r="E128" s="107">
        <f t="shared" si="16"/>
        <v>14.683114</v>
      </c>
      <c r="F128" s="107">
        <f t="shared" si="16"/>
        <v>9.9340825000000006</v>
      </c>
      <c r="G128" s="107">
        <f t="shared" si="16"/>
        <v>10.861402</v>
      </c>
      <c r="H128" s="107">
        <f t="shared" si="16"/>
        <v>10.810193999999999</v>
      </c>
      <c r="I128" s="107">
        <f t="shared" si="16"/>
        <v>8.9918355000000005</v>
      </c>
      <c r="J128" s="107">
        <f t="shared" si="16"/>
        <v>10.485035</v>
      </c>
      <c r="K128" s="107">
        <f t="shared" si="16"/>
        <v>5.6085469999999997</v>
      </c>
      <c r="L128" s="107">
        <f t="shared" si="16"/>
        <v>12.829401000000001</v>
      </c>
      <c r="M128" s="107">
        <f t="shared" si="16"/>
        <v>11.323399</v>
      </c>
      <c r="N128" s="107">
        <f t="shared" si="16"/>
        <v>12.2750895</v>
      </c>
      <c r="O128" s="124">
        <f t="shared" si="16"/>
        <v>16.584269500000001</v>
      </c>
    </row>
    <row r="129" spans="1:15">
      <c r="A129" s="203"/>
      <c r="B129" s="105" t="s">
        <v>54</v>
      </c>
      <c r="C129" s="107">
        <f>HLOOKUP(C$117,$86:$102,12,FALSE)</f>
        <v>15.5976535</v>
      </c>
      <c r="D129" s="107">
        <f t="shared" ref="D129:O129" si="17">HLOOKUP(D$117,$86:$102,12,FALSE)</f>
        <v>12.541195999999999</v>
      </c>
      <c r="E129" s="107">
        <f t="shared" si="17"/>
        <v>14.683114</v>
      </c>
      <c r="F129" s="107">
        <f t="shared" si="17"/>
        <v>9.9340825000000006</v>
      </c>
      <c r="G129" s="107">
        <f t="shared" si="17"/>
        <v>10.861402</v>
      </c>
      <c r="H129" s="107">
        <f t="shared" si="17"/>
        <v>10.810193999999999</v>
      </c>
      <c r="I129" s="107">
        <f t="shared" si="17"/>
        <v>8.9918355000000005</v>
      </c>
      <c r="J129" s="107">
        <f t="shared" si="17"/>
        <v>10.485035</v>
      </c>
      <c r="K129" s="107">
        <f t="shared" si="17"/>
        <v>5.6085469999999997</v>
      </c>
      <c r="L129" s="107">
        <f t="shared" si="17"/>
        <v>12.829401000000001</v>
      </c>
      <c r="M129" s="107">
        <f t="shared" si="17"/>
        <v>11.323399</v>
      </c>
      <c r="N129" s="107">
        <f t="shared" si="17"/>
        <v>12.2750895</v>
      </c>
      <c r="O129" s="124">
        <f t="shared" si="17"/>
        <v>16.584269500000001</v>
      </c>
    </row>
    <row r="130" spans="1:15">
      <c r="A130" s="203"/>
      <c r="B130" s="114" t="s">
        <v>2</v>
      </c>
      <c r="C130" s="115">
        <f>HLOOKUP(C$117,$86:$102,14,FALSE)</f>
        <v>422.34463899999997</v>
      </c>
      <c r="D130" s="115">
        <f t="shared" ref="D130:O130" si="18">HLOOKUP(D$117,$86:$102,14,FALSE)</f>
        <v>565.983338</v>
      </c>
      <c r="E130" s="115">
        <f t="shared" si="18"/>
        <v>529.62082399999997</v>
      </c>
      <c r="F130" s="115">
        <f t="shared" si="18"/>
        <v>435.40925900000002</v>
      </c>
      <c r="G130" s="115">
        <f t="shared" si="18"/>
        <v>363.93801500000001</v>
      </c>
      <c r="H130" s="115">
        <f t="shared" si="18"/>
        <v>302.20483200000001</v>
      </c>
      <c r="I130" s="115">
        <f t="shared" si="18"/>
        <v>305.99322599999999</v>
      </c>
      <c r="J130" s="115">
        <f t="shared" si="18"/>
        <v>322.739238</v>
      </c>
      <c r="K130" s="115">
        <f t="shared" si="18"/>
        <v>292.19124699999998</v>
      </c>
      <c r="L130" s="115">
        <f t="shared" si="18"/>
        <v>317.70156900000001</v>
      </c>
      <c r="M130" s="115">
        <f t="shared" si="18"/>
        <v>321.59470199999998</v>
      </c>
      <c r="N130" s="115">
        <f t="shared" si="18"/>
        <v>356.56604199999998</v>
      </c>
      <c r="O130" s="125">
        <f t="shared" si="18"/>
        <v>390.102236</v>
      </c>
    </row>
    <row r="131" spans="1:15">
      <c r="A131" s="203"/>
      <c r="B131" s="105" t="s">
        <v>21</v>
      </c>
      <c r="C131" s="116">
        <f>HLOOKUP(C$117,$86:$102,15,FALSE)</f>
        <v>124.350134</v>
      </c>
      <c r="D131" s="116">
        <f t="shared" ref="D131:O131" si="19">HLOOKUP(D$117,$86:$102,15,FALSE)</f>
        <v>168.54782399999999</v>
      </c>
      <c r="E131" s="116">
        <f t="shared" si="19"/>
        <v>175.00929099999999</v>
      </c>
      <c r="F131" s="116">
        <f t="shared" si="19"/>
        <v>130.854702</v>
      </c>
      <c r="G131" s="116">
        <f t="shared" si="19"/>
        <v>131.44748999999999</v>
      </c>
      <c r="H131" s="116">
        <f t="shared" si="19"/>
        <v>70.735690000000005</v>
      </c>
      <c r="I131" s="116">
        <f t="shared" si="19"/>
        <v>112.440268</v>
      </c>
      <c r="J131" s="116">
        <f t="shared" si="19"/>
        <v>122.760274</v>
      </c>
      <c r="K131" s="116">
        <f t="shared" si="19"/>
        <v>114.74408200000001</v>
      </c>
      <c r="L131" s="116">
        <f t="shared" si="19"/>
        <v>110.667727</v>
      </c>
      <c r="M131" s="116">
        <f t="shared" si="19"/>
        <v>109.36235000000001</v>
      </c>
      <c r="N131" s="116">
        <f t="shared" si="19"/>
        <v>117.764884</v>
      </c>
      <c r="O131" s="116">
        <f t="shared" si="19"/>
        <v>145.36358899999999</v>
      </c>
    </row>
    <row r="132" spans="1:15">
      <c r="A132" s="203"/>
      <c r="B132" s="117" t="s">
        <v>1</v>
      </c>
      <c r="C132" s="118">
        <f>HLOOKUP(C$117,$86:$102,16,FALSE)</f>
        <v>546.69477300000005</v>
      </c>
      <c r="D132" s="118">
        <f t="shared" ref="D132:O132" si="20">HLOOKUP(D$117,$86:$102,16,FALSE)</f>
        <v>734.53116199999999</v>
      </c>
      <c r="E132" s="118">
        <f t="shared" si="20"/>
        <v>704.63011500000005</v>
      </c>
      <c r="F132" s="118">
        <f t="shared" si="20"/>
        <v>566.26396099999999</v>
      </c>
      <c r="G132" s="118">
        <f t="shared" si="20"/>
        <v>495.38550500000002</v>
      </c>
      <c r="H132" s="118">
        <f t="shared" si="20"/>
        <v>372.94052199999999</v>
      </c>
      <c r="I132" s="118">
        <f t="shared" si="20"/>
        <v>418.433494</v>
      </c>
      <c r="J132" s="118">
        <f t="shared" si="20"/>
        <v>445.49951199999998</v>
      </c>
      <c r="K132" s="118">
        <f t="shared" si="20"/>
        <v>406.93532900000002</v>
      </c>
      <c r="L132" s="118">
        <f t="shared" si="20"/>
        <v>428.36929600000002</v>
      </c>
      <c r="M132" s="118">
        <f t="shared" si="20"/>
        <v>430.95705199999998</v>
      </c>
      <c r="N132" s="118">
        <f t="shared" si="20"/>
        <v>474.33092599999998</v>
      </c>
      <c r="O132" s="118">
        <f t="shared" si="20"/>
        <v>535.465825</v>
      </c>
    </row>
    <row r="133" spans="1:15" ht="14.25">
      <c r="A133" s="204"/>
      <c r="B133" s="126" t="s">
        <v>75</v>
      </c>
      <c r="C133" s="127">
        <f>C120+C121+C123</f>
        <v>77.204378999999989</v>
      </c>
      <c r="D133" s="127">
        <f>D120+D121+D123</f>
        <v>124.68270699999999</v>
      </c>
      <c r="E133" s="127">
        <f t="shared" ref="E133:O133" si="21">E120+E121+E123</f>
        <v>118.33977300000001</v>
      </c>
      <c r="F133" s="127">
        <f t="shared" si="21"/>
        <v>82.054295999999994</v>
      </c>
      <c r="G133" s="127">
        <f t="shared" si="21"/>
        <v>61.254111000000002</v>
      </c>
      <c r="H133" s="127">
        <f t="shared" si="21"/>
        <v>30.185099999999998</v>
      </c>
      <c r="I133" s="127">
        <f t="shared" si="21"/>
        <v>28.871046999999997</v>
      </c>
      <c r="J133" s="127">
        <f t="shared" si="21"/>
        <v>30.443576</v>
      </c>
      <c r="K133" s="127">
        <f t="shared" si="21"/>
        <v>28.621776999999998</v>
      </c>
      <c r="L133" s="127">
        <f t="shared" si="21"/>
        <v>30.374336</v>
      </c>
      <c r="M133" s="127">
        <f t="shared" si="21"/>
        <v>47.711207999999999</v>
      </c>
      <c r="N133" s="127">
        <f t="shared" si="21"/>
        <v>41.291938999999999</v>
      </c>
      <c r="O133" s="127">
        <f t="shared" si="21"/>
        <v>61.203187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jun.-23</v>
      </c>
      <c r="D134" s="111" t="str">
        <f>TEXT(EDATE($A$2,-11),"mmm")&amp;".-"&amp;TEXT(EDATE($A$2,-11),"aa")</f>
        <v>jul.-23</v>
      </c>
      <c r="E134" s="111" t="str">
        <f>TEXT(EDATE($A$2,-10),"mmm")&amp;".-"&amp;TEXT(EDATE($A$2,-10),"aa")</f>
        <v>ago.-23</v>
      </c>
      <c r="F134" s="111" t="str">
        <f>TEXT(EDATE($A$2,-9),"mmm")&amp;".-"&amp;TEXT(EDATE($A$2,-9),"aa")</f>
        <v>sep.-23</v>
      </c>
      <c r="G134" s="111" t="str">
        <f>TEXT(EDATE($A$2,-8),"mmm")&amp;".-"&amp;TEXT(EDATE($A$2,-8),"aa")</f>
        <v>oct.-23</v>
      </c>
      <c r="H134" s="111" t="str">
        <f>TEXT(EDATE($A$2,-7),"mmm")&amp;".-"&amp;TEXT(EDATE($A$2,-7),"aa")</f>
        <v>nov.-23</v>
      </c>
      <c r="I134" s="111" t="str">
        <f>TEXT(EDATE($A$2,-6),"mmm")&amp;".-"&amp;TEXT(EDATE($A$2,-6),"aa")</f>
        <v>dic.-23</v>
      </c>
      <c r="J134" s="111" t="str">
        <f>TEXT(EDATE($A$2,-5),"mmm")&amp;".-"&amp;TEXT(EDATE($A$2,-5),"aa")</f>
        <v>ene.-24</v>
      </c>
      <c r="K134" s="111" t="str">
        <f>TEXT(EDATE($A$2,-4),"mmm")&amp;".-"&amp;TEXT(EDATE($A$2,-4),"aa")</f>
        <v>feb.-24</v>
      </c>
      <c r="L134" s="111" t="str">
        <f>TEXT(EDATE($A$2,-3),"mmm")&amp;".-"&amp;TEXT(EDATE($A$2,-3),"aa")</f>
        <v>mar.-24</v>
      </c>
      <c r="M134" s="111" t="str">
        <f>TEXT(EDATE($A$2,-2),"mmm")&amp;".-"&amp;TEXT(EDATE($A$2,-2),"aa")</f>
        <v>abr.-24</v>
      </c>
      <c r="N134" s="111" t="str">
        <f>TEXT(EDATE($A$2,-1),"mmm")&amp;".-"&amp;TEXT(EDATE($A$2,-1),"aa")</f>
        <v>may.-24</v>
      </c>
      <c r="O134" s="112" t="str">
        <f>TEXT($A$2,"mmm")&amp;".-"&amp;TEXT($A$2,"aa")</f>
        <v>jun.-24</v>
      </c>
    </row>
    <row r="135" spans="1:15" ht="15" customHeight="1">
      <c r="A135" s="203"/>
      <c r="B135" s="105" t="s">
        <v>12</v>
      </c>
      <c r="C135" s="107">
        <f>HLOOKUP(C$117,$86:$115,17,FALSE)</f>
        <v>0.28353699999999998</v>
      </c>
      <c r="D135" s="107">
        <f t="shared" ref="D135:N135" si="22">HLOOKUP(D$117,$86:$115,17,FALSE)</f>
        <v>0.30186600000000002</v>
      </c>
      <c r="E135" s="107">
        <f t="shared" si="22"/>
        <v>0.289545</v>
      </c>
      <c r="F135" s="107">
        <f t="shared" si="22"/>
        <v>0.28924100000000003</v>
      </c>
      <c r="G135" s="107">
        <f t="shared" si="22"/>
        <v>0.30332900000000002</v>
      </c>
      <c r="H135" s="107">
        <f t="shared" si="22"/>
        <v>0.28045300000000001</v>
      </c>
      <c r="I135" s="107">
        <f t="shared" si="22"/>
        <v>0.30560300000000001</v>
      </c>
      <c r="J135" s="107">
        <f t="shared" si="22"/>
        <v>0.29624200000000001</v>
      </c>
      <c r="K135" s="107">
        <f t="shared" si="22"/>
        <v>0.28508299999999998</v>
      </c>
      <c r="L135" s="107">
        <f t="shared" si="22"/>
        <v>0.272924</v>
      </c>
      <c r="M135" s="107">
        <f t="shared" si="22"/>
        <v>0.258407</v>
      </c>
      <c r="N135" s="107">
        <f t="shared" si="22"/>
        <v>0.28213199999999999</v>
      </c>
      <c r="O135" s="144">
        <f>HLOOKUP(O$117,$86:$115,17,FALSE)</f>
        <v>0.27541500000000002</v>
      </c>
    </row>
    <row r="136" spans="1:15">
      <c r="A136" s="203"/>
      <c r="B136" s="105" t="s">
        <v>10</v>
      </c>
      <c r="C136" s="107">
        <f>HLOOKUP(C$117,$86:$115,18,FALSE)+HLOOKUP(C$117,$86:$115,22,FALSE)</f>
        <v>159.42586699999998</v>
      </c>
      <c r="D136" s="107">
        <f>HLOOKUP(D$117,$86:$115,18,FALSE)+HLOOKUP(D$117,$86:$115,22,FALSE)</f>
        <v>147.371253</v>
      </c>
      <c r="E136" s="107">
        <f t="shared" ref="E136:N136" si="23">HLOOKUP(E$117,$86:$115,18,FALSE)+HLOOKUP(E$117,$86:$115,22,FALSE)</f>
        <v>158.13818499999999</v>
      </c>
      <c r="F136" s="107">
        <f t="shared" si="23"/>
        <v>154.76962499999999</v>
      </c>
      <c r="G136" s="107">
        <f t="shared" si="23"/>
        <v>179.17001500000001</v>
      </c>
      <c r="H136" s="107">
        <f t="shared" si="23"/>
        <v>168.212242</v>
      </c>
      <c r="I136" s="107">
        <f t="shared" si="23"/>
        <v>171.03571600000001</v>
      </c>
      <c r="J136" s="107">
        <f t="shared" si="23"/>
        <v>166.77709300000001</v>
      </c>
      <c r="K136" s="107">
        <f t="shared" si="23"/>
        <v>147.58979299999999</v>
      </c>
      <c r="L136" s="107">
        <f t="shared" si="23"/>
        <v>156.05254400000001</v>
      </c>
      <c r="M136" s="107">
        <f t="shared" si="23"/>
        <v>143.99597600000001</v>
      </c>
      <c r="N136" s="107">
        <f t="shared" si="23"/>
        <v>142.89773500000001</v>
      </c>
      <c r="O136" s="124">
        <f>HLOOKUP(O$117,$86:$115,18,FALSE)+HLOOKUP(O$117,$86:$115,22,FALSE)</f>
        <v>147.24789200000001</v>
      </c>
    </row>
    <row r="137" spans="1:15">
      <c r="A137" s="203"/>
      <c r="B137" s="105" t="s">
        <v>9</v>
      </c>
      <c r="C137" s="107">
        <f>HLOOKUP(C$117,$86:$115,19,FALSE)</f>
        <v>20.997603000000002</v>
      </c>
      <c r="D137" s="107">
        <f t="shared" ref="D137:O137" si="24">HLOOKUP(D$117,$86:$115,19,FALSE)</f>
        <v>15.379733999999999</v>
      </c>
      <c r="E137" s="107">
        <f t="shared" si="24"/>
        <v>16.795183000000002</v>
      </c>
      <c r="F137" s="107">
        <f t="shared" si="24"/>
        <v>18.188441000000001</v>
      </c>
      <c r="G137" s="107">
        <f t="shared" si="24"/>
        <v>30.707764999999998</v>
      </c>
      <c r="H137" s="107">
        <f t="shared" si="24"/>
        <v>24.331886999999998</v>
      </c>
      <c r="I137" s="107">
        <f t="shared" si="24"/>
        <v>26.447642999999999</v>
      </c>
      <c r="J137" s="107">
        <f t="shared" si="24"/>
        <v>28.032011000000001</v>
      </c>
      <c r="K137" s="107">
        <f t="shared" si="24"/>
        <v>23.301389</v>
      </c>
      <c r="L137" s="107">
        <f t="shared" si="24"/>
        <v>22.780221000000001</v>
      </c>
      <c r="M137" s="107">
        <f t="shared" si="24"/>
        <v>15.018001</v>
      </c>
      <c r="N137" s="107">
        <f t="shared" si="24"/>
        <v>13.174446</v>
      </c>
      <c r="O137" s="124">
        <f t="shared" si="24"/>
        <v>26.579124</v>
      </c>
    </row>
    <row r="138" spans="1:15">
      <c r="A138" s="203"/>
      <c r="B138" s="105" t="s">
        <v>8</v>
      </c>
      <c r="C138" s="107">
        <f>HLOOKUP(C$117,$86:$115,20,FALSE)</f>
        <v>84.905440999999996</v>
      </c>
      <c r="D138" s="107">
        <f t="shared" ref="D138:O138" si="25">HLOOKUP(D$117,$86:$115,20,FALSE)</f>
        <v>101.065799</v>
      </c>
      <c r="E138" s="107">
        <f t="shared" si="25"/>
        <v>105.31614999999999</v>
      </c>
      <c r="F138" s="107">
        <f t="shared" si="25"/>
        <v>105.510948</v>
      </c>
      <c r="G138" s="107">
        <f t="shared" si="25"/>
        <v>119.677701</v>
      </c>
      <c r="H138" s="107">
        <f t="shared" si="25"/>
        <v>90.916317000000006</v>
      </c>
      <c r="I138" s="107">
        <f t="shared" si="25"/>
        <v>96.450059999999993</v>
      </c>
      <c r="J138" s="107">
        <f t="shared" si="25"/>
        <v>118.36447</v>
      </c>
      <c r="K138" s="107">
        <f t="shared" si="25"/>
        <v>100.186932</v>
      </c>
      <c r="L138" s="107">
        <f t="shared" si="25"/>
        <v>116.04889799999999</v>
      </c>
      <c r="M138" s="107">
        <f t="shared" si="25"/>
        <v>98.285223000000002</v>
      </c>
      <c r="N138" s="107">
        <f t="shared" si="25"/>
        <v>106.53814</v>
      </c>
      <c r="O138" s="124">
        <f t="shared" si="25"/>
        <v>79.128829999999994</v>
      </c>
    </row>
    <row r="139" spans="1:15" ht="14.25">
      <c r="A139" s="203"/>
      <c r="B139" s="105" t="s">
        <v>74</v>
      </c>
      <c r="C139" s="107">
        <f>HLOOKUP(C$117,$86:$115,21,FALSE)</f>
        <v>351.45923099999999</v>
      </c>
      <c r="D139" s="107">
        <f t="shared" ref="D139:O139" si="26">HLOOKUP(D$117,$86:$115,21,FALSE)</f>
        <v>250.52108799999999</v>
      </c>
      <c r="E139" s="107">
        <f t="shared" si="26"/>
        <v>306.93109600000003</v>
      </c>
      <c r="F139" s="107">
        <f t="shared" si="26"/>
        <v>329.65078499999998</v>
      </c>
      <c r="G139" s="107">
        <f t="shared" si="26"/>
        <v>385.37423100000001</v>
      </c>
      <c r="H139" s="107">
        <f t="shared" si="26"/>
        <v>320.60776499999997</v>
      </c>
      <c r="I139" s="107">
        <f t="shared" si="26"/>
        <v>343.70541600000001</v>
      </c>
      <c r="J139" s="107">
        <f t="shared" si="26"/>
        <v>348.60822999999999</v>
      </c>
      <c r="K139" s="107">
        <f t="shared" si="26"/>
        <v>282.95672999999999</v>
      </c>
      <c r="L139" s="107">
        <f t="shared" si="26"/>
        <v>305.966994</v>
      </c>
      <c r="M139" s="107">
        <f t="shared" si="26"/>
        <v>315.19474500000001</v>
      </c>
      <c r="N139" s="107">
        <f t="shared" si="26"/>
        <v>259.74817300000001</v>
      </c>
      <c r="O139" s="124">
        <f t="shared" si="26"/>
        <v>269.75380799999999</v>
      </c>
    </row>
    <row r="140" spans="1:15">
      <c r="A140" s="203"/>
      <c r="B140" s="105" t="s">
        <v>6</v>
      </c>
      <c r="C140" s="107">
        <f>HLOOKUP(C$117,$86:$115,23,FALSE)</f>
        <v>0.80873799999999996</v>
      </c>
      <c r="D140" s="107">
        <f t="shared" ref="D140:O140" si="27">HLOOKUP(D$117,$86:$115,23,FALSE)</f>
        <v>2.7590569999999999</v>
      </c>
      <c r="E140" s="107">
        <f t="shared" si="27"/>
        <v>2.6998280000000001</v>
      </c>
      <c r="F140" s="107">
        <f t="shared" si="27"/>
        <v>1.3149919999999999</v>
      </c>
      <c r="G140" s="107">
        <f t="shared" si="27"/>
        <v>0.44324000000000002</v>
      </c>
      <c r="H140" s="107">
        <f t="shared" si="27"/>
        <v>1.0899650000000001</v>
      </c>
      <c r="I140" s="107">
        <f t="shared" si="27"/>
        <v>0.66913</v>
      </c>
      <c r="J140" s="107">
        <f t="shared" si="27"/>
        <v>0.66808100000000004</v>
      </c>
      <c r="K140" s="107">
        <f t="shared" si="27"/>
        <v>1.414679</v>
      </c>
      <c r="L140" s="107">
        <f t="shared" si="27"/>
        <v>1.5891550000000001</v>
      </c>
      <c r="M140" s="107">
        <f t="shared" si="27"/>
        <v>1.2945469999999999</v>
      </c>
      <c r="N140" s="107">
        <f t="shared" si="27"/>
        <v>2.2523740000000001</v>
      </c>
      <c r="O140" s="124">
        <f t="shared" si="27"/>
        <v>2.6292490000000002</v>
      </c>
    </row>
    <row r="141" spans="1:15">
      <c r="A141" s="203"/>
      <c r="B141" s="105" t="s">
        <v>5</v>
      </c>
      <c r="C141" s="107">
        <f>HLOOKUP(C$117,$86:$115,24,FALSE)</f>
        <v>64.374502000000007</v>
      </c>
      <c r="D141" s="107">
        <f t="shared" ref="D141:O141" si="28">HLOOKUP(D$117,$86:$115,24,FALSE)</f>
        <v>209.601507</v>
      </c>
      <c r="E141" s="107">
        <f t="shared" si="28"/>
        <v>178.40540899999999</v>
      </c>
      <c r="F141" s="107">
        <f t="shared" si="28"/>
        <v>103.255752</v>
      </c>
      <c r="G141" s="107">
        <f t="shared" si="28"/>
        <v>57.760353000000002</v>
      </c>
      <c r="H141" s="107">
        <f t="shared" si="28"/>
        <v>99.230602000000005</v>
      </c>
      <c r="I141" s="107">
        <f t="shared" si="28"/>
        <v>70.608433000000005</v>
      </c>
      <c r="J141" s="107">
        <f t="shared" si="28"/>
        <v>53.195207000000003</v>
      </c>
      <c r="K141" s="107">
        <f t="shared" si="28"/>
        <v>108.751811</v>
      </c>
      <c r="L141" s="107">
        <f t="shared" si="28"/>
        <v>89.282236999999995</v>
      </c>
      <c r="M141" s="107">
        <f t="shared" si="28"/>
        <v>94.671989999999994</v>
      </c>
      <c r="N141" s="107">
        <f t="shared" si="28"/>
        <v>147.019094</v>
      </c>
      <c r="O141" s="124">
        <f t="shared" si="28"/>
        <v>129.87612899999999</v>
      </c>
    </row>
    <row r="142" spans="1:15">
      <c r="A142" s="203"/>
      <c r="B142" s="105" t="s">
        <v>4</v>
      </c>
      <c r="C142" s="107">
        <f>HLOOKUP(C$117,$86:$115,25,FALSE)</f>
        <v>30.793143000000001</v>
      </c>
      <c r="D142" s="107">
        <f t="shared" ref="D142:O142" si="29">HLOOKUP(D$117,$86:$115,25,FALSE)</f>
        <v>35.178874</v>
      </c>
      <c r="E142" s="107">
        <f t="shared" si="29"/>
        <v>33.707680000000003</v>
      </c>
      <c r="F142" s="107">
        <f t="shared" si="29"/>
        <v>31.407260000000001</v>
      </c>
      <c r="G142" s="107">
        <f t="shared" si="29"/>
        <v>29.906251000000001</v>
      </c>
      <c r="H142" s="107">
        <f t="shared" si="29"/>
        <v>25.097702999999999</v>
      </c>
      <c r="I142" s="107">
        <f t="shared" si="29"/>
        <v>23.682936000000002</v>
      </c>
      <c r="J142" s="107">
        <f t="shared" si="29"/>
        <v>24.559023</v>
      </c>
      <c r="K142" s="107">
        <f t="shared" si="29"/>
        <v>26.306543000000001</v>
      </c>
      <c r="L142" s="107">
        <f t="shared" si="29"/>
        <v>31.905954000000001</v>
      </c>
      <c r="M142" s="107">
        <f t="shared" si="29"/>
        <v>35.953691999999997</v>
      </c>
      <c r="N142" s="107">
        <f t="shared" si="29"/>
        <v>35.545333999999997</v>
      </c>
      <c r="O142" s="124">
        <f t="shared" si="29"/>
        <v>36.155456000000001</v>
      </c>
    </row>
    <row r="143" spans="1:15">
      <c r="A143" s="203"/>
      <c r="B143" s="105" t="s">
        <v>22</v>
      </c>
      <c r="C143" s="107">
        <f>HLOOKUP(C$117,$86:$115,26,FALSE)</f>
        <v>0.66513100000000003</v>
      </c>
      <c r="D143" s="107">
        <f t="shared" ref="D143:O143" si="30">HLOOKUP(D$117,$86:$115,26,FALSE)</f>
        <v>0.64607300000000001</v>
      </c>
      <c r="E143" s="107">
        <f t="shared" si="30"/>
        <v>0.37482700000000002</v>
      </c>
      <c r="F143" s="107">
        <f t="shared" si="30"/>
        <v>0.37211699999999998</v>
      </c>
      <c r="G143" s="107">
        <f t="shared" si="30"/>
        <v>0.524733</v>
      </c>
      <c r="H143" s="107">
        <f t="shared" si="30"/>
        <v>0.42454199999999997</v>
      </c>
      <c r="I143" s="107">
        <f t="shared" si="30"/>
        <v>0.44537900000000002</v>
      </c>
      <c r="J143" s="107">
        <f t="shared" si="30"/>
        <v>0.50013399999999997</v>
      </c>
      <c r="K143" s="107">
        <f t="shared" si="30"/>
        <v>0.49944300000000003</v>
      </c>
      <c r="L143" s="107">
        <f t="shared" si="30"/>
        <v>0.57839200000000002</v>
      </c>
      <c r="M143" s="107">
        <f t="shared" si="30"/>
        <v>0.26424700000000001</v>
      </c>
      <c r="N143" s="107">
        <f t="shared" si="30"/>
        <v>0.430983</v>
      </c>
      <c r="O143" s="124">
        <f t="shared" si="30"/>
        <v>0.49796200000000002</v>
      </c>
    </row>
    <row r="144" spans="1:15">
      <c r="A144" s="203"/>
      <c r="B144" s="117" t="s">
        <v>1</v>
      </c>
      <c r="C144" s="118">
        <f>HLOOKUP(C$117,$86:$115,28,FALSE)</f>
        <v>713.71319300000005</v>
      </c>
      <c r="D144" s="118">
        <f t="shared" ref="D144:O144" si="31">HLOOKUP(D$117,$86:$115,28,FALSE)</f>
        <v>762.82525099999998</v>
      </c>
      <c r="E144" s="118">
        <f t="shared" si="31"/>
        <v>802.65790300000003</v>
      </c>
      <c r="F144" s="118">
        <f t="shared" si="31"/>
        <v>744.75916099999995</v>
      </c>
      <c r="G144" s="118">
        <f t="shared" si="31"/>
        <v>803.86761799999999</v>
      </c>
      <c r="H144" s="118">
        <f t="shared" si="31"/>
        <v>730.19147599999997</v>
      </c>
      <c r="I144" s="118">
        <f t="shared" si="31"/>
        <v>733.35031600000002</v>
      </c>
      <c r="J144" s="118">
        <f t="shared" si="31"/>
        <v>741.00049100000001</v>
      </c>
      <c r="K144" s="118">
        <f t="shared" si="31"/>
        <v>691.29240300000004</v>
      </c>
      <c r="L144" s="118">
        <f t="shared" si="31"/>
        <v>724.47731899999997</v>
      </c>
      <c r="M144" s="118">
        <f t="shared" si="31"/>
        <v>704.93682799999999</v>
      </c>
      <c r="N144" s="118">
        <f t="shared" si="31"/>
        <v>707.88841100000002</v>
      </c>
      <c r="O144" s="118">
        <f t="shared" si="31"/>
        <v>692.14386500000001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265.32891099999995</v>
      </c>
      <c r="D146" s="130">
        <f t="shared" ref="D146:N146" si="32">SUM(D136:D138)</f>
        <v>263.81678599999998</v>
      </c>
      <c r="E146" s="130">
        <f t="shared" si="32"/>
        <v>280.24951799999997</v>
      </c>
      <c r="F146" s="130">
        <f t="shared" si="32"/>
        <v>278.46901400000002</v>
      </c>
      <c r="G146" s="130">
        <f t="shared" si="32"/>
        <v>329.55548099999999</v>
      </c>
      <c r="H146" s="130">
        <f t="shared" si="32"/>
        <v>283.46044599999999</v>
      </c>
      <c r="I146" s="130">
        <f t="shared" si="32"/>
        <v>293.93341900000001</v>
      </c>
      <c r="J146" s="130">
        <f t="shared" si="32"/>
        <v>313.17357400000003</v>
      </c>
      <c r="K146" s="130">
        <f t="shared" si="32"/>
        <v>271.07811399999997</v>
      </c>
      <c r="L146" s="130">
        <f t="shared" si="32"/>
        <v>294.881663</v>
      </c>
      <c r="M146" s="130">
        <f t="shared" si="32"/>
        <v>257.29920000000004</v>
      </c>
      <c r="N146" s="130">
        <f t="shared" si="32"/>
        <v>262.610321</v>
      </c>
      <c r="O146" s="131">
        <f>SUM(O136:O138)</f>
        <v>252.95584600000001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123</v>
      </c>
      <c r="B152" s="159" t="s">
        <v>124</v>
      </c>
      <c r="C152" s="175">
        <v>-2.0539999999999999E-2</v>
      </c>
      <c r="D152" s="175">
        <v>-4.7200000000000002E-3</v>
      </c>
      <c r="E152" s="175">
        <v>-1.337E-2</v>
      </c>
      <c r="F152" s="175">
        <v>-2.4499999999999999E-3</v>
      </c>
      <c r="G152" s="175">
        <v>4.1900000000000001E-3</v>
      </c>
      <c r="H152" s="175">
        <v>-2.0999999999999999E-3</v>
      </c>
      <c r="I152" s="175">
        <v>-2.171E-2</v>
      </c>
      <c r="J152" s="175">
        <v>2.8000000000000001E-2</v>
      </c>
      <c r="K152" s="175">
        <v>8.26E-3</v>
      </c>
      <c r="L152" s="175">
        <v>-1.7700000000000001E-3</v>
      </c>
      <c r="M152" s="175">
        <v>-1.49E-3</v>
      </c>
      <c r="N152" s="175">
        <v>1.1520000000000001E-2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123</v>
      </c>
      <c r="B158" s="159" t="s">
        <v>124</v>
      </c>
      <c r="C158" s="175">
        <v>-3.022E-2</v>
      </c>
      <c r="D158" s="175">
        <v>-6.8900000000000003E-3</v>
      </c>
      <c r="E158" s="175">
        <v>-2.7100000000000002E-3</v>
      </c>
      <c r="F158" s="175">
        <v>-2.0619999999999999E-2</v>
      </c>
      <c r="G158" s="175">
        <v>2.0729999999999998E-2</v>
      </c>
      <c r="H158" s="175">
        <v>-9.5E-4</v>
      </c>
      <c r="I158" s="175">
        <v>-1.6000000000000001E-3</v>
      </c>
      <c r="J158" s="175">
        <v>2.3279999999999999E-2</v>
      </c>
      <c r="K158" s="175">
        <v>3.1600000000000003E-2</v>
      </c>
      <c r="L158" s="175">
        <v>-8.0000000000000004E-4</v>
      </c>
      <c r="M158" s="175">
        <v>1.5900000000000001E-3</v>
      </c>
      <c r="N158" s="175">
        <v>3.0810000000000001E-2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U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C7" sqref="C7:C8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Junio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Junio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535.465825</v>
      </c>
      <c r="G9" s="147">
        <f>Dat_01!T24*100</f>
        <v>-2.0539702499999999</v>
      </c>
      <c r="H9" s="75">
        <f>Dat_01!U24/1000</f>
        <v>2721.5579400000001</v>
      </c>
      <c r="I9" s="147">
        <f>Dat_01!W24*100</f>
        <v>0.41941302000000003</v>
      </c>
      <c r="J9" s="75">
        <f>Dat_01!X24/1000</f>
        <v>6013.7426990000004</v>
      </c>
      <c r="K9" s="147">
        <f>Dat_01!Y24*100</f>
        <v>0.82580684000000004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-0.47200000000000003</v>
      </c>
      <c r="H12" s="94"/>
      <c r="I12" s="94">
        <f>Dat_01!H152*100</f>
        <v>-0.21</v>
      </c>
      <c r="J12" s="94"/>
      <c r="K12" s="94">
        <f>Dat_01!L152*100</f>
        <v>-0.17700000000000002</v>
      </c>
    </row>
    <row r="13" spans="3:12">
      <c r="E13" s="77" t="s">
        <v>42</v>
      </c>
      <c r="F13" s="76"/>
      <c r="G13" s="94">
        <f>Dat_01!E152*100</f>
        <v>-1.337</v>
      </c>
      <c r="H13" s="94"/>
      <c r="I13" s="94">
        <f>Dat_01!I152*100</f>
        <v>-2.1709999999999998</v>
      </c>
      <c r="J13" s="94"/>
      <c r="K13" s="94">
        <f>Dat_01!M152*100</f>
        <v>-0.14899999999999999</v>
      </c>
    </row>
    <row r="14" spans="3:12">
      <c r="E14" s="78" t="s">
        <v>43</v>
      </c>
      <c r="F14" s="79"/>
      <c r="G14" s="95">
        <f>Dat_01!F152*100</f>
        <v>-0.245</v>
      </c>
      <c r="H14" s="95"/>
      <c r="I14" s="95">
        <f>Dat_01!J152*100</f>
        <v>2.8000000000000003</v>
      </c>
      <c r="J14" s="95"/>
      <c r="K14" s="95">
        <f>Dat_01!N152*100</f>
        <v>1.1520000000000001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K9" sqref="K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Junio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Junio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692.14386500000001</v>
      </c>
      <c r="G9" s="147">
        <f>Dat_01!AB24*100</f>
        <v>-3.0221282499999997</v>
      </c>
      <c r="H9" s="75">
        <f>Dat_01!AC24/1000</f>
        <v>4261.7393169999996</v>
      </c>
      <c r="I9" s="147">
        <f>Dat_01!AE24*100</f>
        <v>2.0728926899999998</v>
      </c>
      <c r="J9" s="75">
        <f>Dat_01!AF24/1000</f>
        <v>8839.3910419999993</v>
      </c>
      <c r="K9" s="147">
        <f>Dat_01!AG24*100</f>
        <v>3.1604421200000004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-0.68900000000000006</v>
      </c>
      <c r="H12" s="94"/>
      <c r="I12" s="94">
        <f>Dat_01!H158*100</f>
        <v>-9.5000000000000001E-2</v>
      </c>
      <c r="J12" s="94"/>
      <c r="K12" s="94">
        <f>Dat_01!L158*100</f>
        <v>-0.08</v>
      </c>
    </row>
    <row r="13" spans="3:12">
      <c r="E13" s="77" t="s">
        <v>42</v>
      </c>
      <c r="F13" s="76"/>
      <c r="G13" s="94">
        <f>Dat_01!E158*100</f>
        <v>-0.27100000000000002</v>
      </c>
      <c r="H13" s="94"/>
      <c r="I13" s="94">
        <f>Dat_01!I158*100</f>
        <v>-0.16</v>
      </c>
      <c r="J13" s="94"/>
      <c r="K13" s="94">
        <f>Dat_01!M158*100</f>
        <v>0.159</v>
      </c>
    </row>
    <row r="14" spans="3:12">
      <c r="E14" s="78" t="s">
        <v>43</v>
      </c>
      <c r="F14" s="79"/>
      <c r="G14" s="95">
        <f>Dat_01!F158*100</f>
        <v>-2.0619999999999998</v>
      </c>
      <c r="H14" s="95"/>
      <c r="I14" s="95">
        <f>Dat_01!J158*100</f>
        <v>2.3279999999999998</v>
      </c>
      <c r="J14" s="95"/>
      <c r="K14" s="95">
        <f>Dat_01!N158*100</f>
        <v>3.081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130</v>
      </c>
    </row>
    <row r="2" spans="1:2">
      <c r="A2" t="s">
        <v>125</v>
      </c>
    </row>
    <row r="3" spans="1:2">
      <c r="A3" t="s">
        <v>126</v>
      </c>
    </row>
    <row r="4" spans="1:2">
      <c r="A4" t="s">
        <v>128</v>
      </c>
    </row>
    <row r="5" spans="1:2">
      <c r="A5" t="s">
        <v>129</v>
      </c>
    </row>
    <row r="6" spans="1:2">
      <c r="A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G16" sqref="G16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Junio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0.27541500000000002</v>
      </c>
      <c r="I9" s="14">
        <f>IF(Dat_01!AB8*100=-100,"-",Dat_01!AB8*100)</f>
        <v>-2.8645291400000001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2.6292489999999997</v>
      </c>
      <c r="I10" s="14">
        <f>Dat_01!AB15*100</f>
        <v>225.10516385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129.87612899999999</v>
      </c>
      <c r="I11" s="14">
        <f>Dat_01!AB16*100</f>
        <v>101.75088733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53.273464999999995</v>
      </c>
      <c r="G12" s="14">
        <f>Dat_01!T17*100</f>
        <v>42.879083480000006</v>
      </c>
      <c r="H12" s="138">
        <f>Dat_01!Z17/1000</f>
        <v>36.155456000000001</v>
      </c>
      <c r="I12" s="14">
        <f>Dat_01!AB17*100</f>
        <v>17.413984020000001</v>
      </c>
      <c r="J12" s="138" t="s">
        <v>3</v>
      </c>
      <c r="K12" s="14" t="s">
        <v>3</v>
      </c>
      <c r="L12" s="138">
        <f>Dat_01!J17/1000</f>
        <v>7.4099999999999999E-3</v>
      </c>
      <c r="M12" s="14">
        <f>IF(Dat_01!L17*100=-100,"-",Dat_01!L17*100)</f>
        <v>-7.2590738399999992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7.8099000000000002E-2</v>
      </c>
      <c r="G13" s="14">
        <f>IF(Dat_01!T18=-100%,"-",Dat_01!T18*100)</f>
        <v>-44.241286250000002</v>
      </c>
      <c r="H13" s="138">
        <f>Dat_01!Z18/1000</f>
        <v>0.49796200000000002</v>
      </c>
      <c r="I13" s="14">
        <f>IF(Dat_01!AB18*100=-100,"-",Dat_01!AB18*100)</f>
        <v>-25.133244430000001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16.584269499999998</v>
      </c>
      <c r="G14" s="14">
        <f>Dat_01!T21*100</f>
        <v>6.3254129899999993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0.47977949999999997</v>
      </c>
      <c r="M14" s="14">
        <f>Dat_01!L21*100</f>
        <v>3.3006817700000002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69.935833500000001</v>
      </c>
      <c r="G15" s="156">
        <f>((SUM(Dat_01!R8,Dat_01!R15:R18,Dat_01!R20)/SUM(Dat_01!S8,Dat_01!S15:S18,Dat_01!S20))-1)*100</f>
        <v>31.756523177167573</v>
      </c>
      <c r="H15" s="155">
        <f>SUM(H9:H14)</f>
        <v>169.43421099999998</v>
      </c>
      <c r="I15" s="156">
        <f>((SUM(Dat_01!Z8,Dat_01!Z15:Z18,Dat_01!Z20)/SUM(Dat_01!AA8,Dat_01!AA15:AA18,Dat_01!AA20))-1)*100</f>
        <v>74.809514415421901</v>
      </c>
      <c r="J15" s="155" t="s">
        <v>3</v>
      </c>
      <c r="K15" s="156" t="s">
        <v>3</v>
      </c>
      <c r="L15" s="156">
        <f>SUM(L9:L14)</f>
        <v>0.48718949999999994</v>
      </c>
      <c r="M15" s="156">
        <f>((SUM(Dat_01!J8,Dat_01!J15:J18,Dat_01!J21)/SUM(Dat_01!K8,Dat_01!K15:K18,Dat_01!K20))-1)*100</f>
        <v>3.1220928817340621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26.418958</v>
      </c>
      <c r="G16" s="14">
        <f>Dat_01!T9*100</f>
        <v>730.79633806000004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17.869899</v>
      </c>
      <c r="G17" s="20">
        <f>((SUM(Dat_01!R10,Dat_01!R14)/SUM(Dat_01!S10,Dat_01!S14))-1)*100</f>
        <v>-13.901365579277003</v>
      </c>
      <c r="H17" s="139">
        <f>SUM(Dat_01!Z10,Dat_01!Z14)/1000</f>
        <v>147.24789199999998</v>
      </c>
      <c r="I17" s="20">
        <f>((SUM(Dat_01!Z10,Dat_01!Z14)/SUM(Dat_01!AA10,Dat_01!AA14))-1)*100</f>
        <v>-7.6386443612691863</v>
      </c>
      <c r="J17" s="139">
        <f>Dat_01!B10/1000</f>
        <v>14.68455</v>
      </c>
      <c r="K17" s="20">
        <f>Dat_01!D10*100</f>
        <v>-2.0699975899999998</v>
      </c>
      <c r="L17" s="139">
        <f>Dat_01!J10/1000</f>
        <v>14.744446</v>
      </c>
      <c r="M17" s="20">
        <f>Dat_01!L10*100</f>
        <v>-6.06559384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43.333288000000003</v>
      </c>
      <c r="G18" s="20">
        <f>Dat_01!T11*100</f>
        <v>-23.23493654</v>
      </c>
      <c r="H18" s="139">
        <f>Dat_01!Z11/1000</f>
        <v>26.579124</v>
      </c>
      <c r="I18" s="20">
        <f>Dat_01!AB11*100</f>
        <v>26.581705540000002</v>
      </c>
      <c r="J18" s="139">
        <f>Dat_01!B11/1000</f>
        <v>0.18665999999999999</v>
      </c>
      <c r="K18" s="20">
        <f>IF(Dat_01!D11=-100%,"-",Dat_01!D11*100)</f>
        <v>4181.1926605500003</v>
      </c>
      <c r="L18" s="139">
        <f>Dat_01!J11/1000</f>
        <v>0.14105400000000001</v>
      </c>
      <c r="M18" s="20">
        <f>IF(Dat_01!L11*100=-100,"-",Dat_01!L11*100)</f>
        <v>942.99023956999997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79.128830000000008</v>
      </c>
      <c r="I19" s="20">
        <f>Dat_01!AB12*100</f>
        <v>-6.8035816499999999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61.203187</v>
      </c>
      <c r="G20" s="14">
        <f>((SUM(Dat_01!R10:R12,Dat_01!R14)/SUM(Dat_01!S10:S12,Dat_01!S14))-1)*100</f>
        <v>-20.725757019559733</v>
      </c>
      <c r="H20" s="138">
        <f>SUM(H17:H19)</f>
        <v>252.95584600000001</v>
      </c>
      <c r="I20" s="14">
        <f>(H20/(H17/(I17/100+1)+H18/(I18/100+1)+H19/(I19/100+1))-1)*100</f>
        <v>-4.6632931772274011</v>
      </c>
      <c r="J20" s="138">
        <f>SUM(J17:J19)</f>
        <v>14.87121</v>
      </c>
      <c r="K20" s="14">
        <f>((SUM(Dat_01!B10:B12)/SUM(Dat_01!C10:C12))-1)*100</f>
        <v>-0.85400623562226219</v>
      </c>
      <c r="L20" s="138">
        <f>SUM(L17:L19)</f>
        <v>14.8855</v>
      </c>
      <c r="M20" s="14">
        <f>((SUM(Dat_01!J10:J12)/SUM(Dat_01!K10:K12))-1)*100</f>
        <v>-5.2485993368070254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212.499032</v>
      </c>
      <c r="G21" s="14">
        <f>Dat_01!T13*100</f>
        <v>-21.16529371</v>
      </c>
      <c r="H21" s="138">
        <f>Dat_01!Z13/1000</f>
        <v>269.75380799999999</v>
      </c>
      <c r="I21" s="14">
        <f>Dat_01!AB13*100</f>
        <v>-23.247482439999999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3.4609559999999999</v>
      </c>
      <c r="G22" s="14">
        <f>Dat_01!T19*100</f>
        <v>-7.2862768800000008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16.584269499999998</v>
      </c>
      <c r="G23" s="14">
        <f>Dat_01!T20*100</f>
        <v>6.3254129899999993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0.47977949999999997</v>
      </c>
      <c r="M23" s="14">
        <f>Dat_01!L20*100</f>
        <v>3.3006817700000002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320.1664025</v>
      </c>
      <c r="G24" s="156">
        <f>((SUM(Dat_01!R9:R14,Dat_01!R19,Dat_01!R21)/SUM(Dat_01!S9:S14,Dat_01!S19,Dat_01!S21))-1)*100</f>
        <v>-13.296313654148905</v>
      </c>
      <c r="H24" s="140">
        <f>SUM(H16,H20:H23)</f>
        <v>522.709654</v>
      </c>
      <c r="I24" s="156">
        <f>((SUM(Dat_01!Z9:Z14,Dat_01!Z19,Dat_01!Z21)/SUM(Dat_01!AA9:AA14,Dat_01!AA19,Dat_01!AA21))-1)*100</f>
        <v>-15.252966390524403</v>
      </c>
      <c r="J24" s="140">
        <f>SUM(J16,J20:J23)</f>
        <v>14.87121</v>
      </c>
      <c r="K24" s="156">
        <f>((SUM(Dat_01!B9:B14,Dat_01!B19,Dat_01!B21)/SUM(Dat_01!C9:C14,Dat_01!C19,Dat_01!C21))-1)*100</f>
        <v>-0.85400623562226219</v>
      </c>
      <c r="L24" s="140">
        <f>SUM(L16,L20:L23)</f>
        <v>15.3652795</v>
      </c>
      <c r="M24" s="156">
        <f>((SUM(Dat_01!J9:J14,Dat_01!J19,Dat_01!J21)/SUM(Dat_01!K9:K14,Dat_01!K19,Dat_01!K21))-1)*100</f>
        <v>-5.0031075134745144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145.36358900000002</v>
      </c>
      <c r="G25" s="11">
        <f>Dat_01!T23*100</f>
        <v>16.8986187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535.465825</v>
      </c>
      <c r="G26" s="8">
        <f>Dat_01!T24*100</f>
        <v>-2.0539702499999999</v>
      </c>
      <c r="H26" s="142">
        <f>Dat_01!Z24/1000</f>
        <v>692.14386500000001</v>
      </c>
      <c r="I26" s="8">
        <f>Dat_01!AB24*100</f>
        <v>-3.0221282499999997</v>
      </c>
      <c r="J26" s="142">
        <f>Dat_01!B24/1000</f>
        <v>14.87121</v>
      </c>
      <c r="K26" s="8">
        <f>Dat_01!D24*100</f>
        <v>-0.85400623999999992</v>
      </c>
      <c r="L26" s="142">
        <f>Dat_01!J24/1000</f>
        <v>15.852468999999999</v>
      </c>
      <c r="M26" s="8">
        <f>Dat_01!L24*100</f>
        <v>-4.7725147400000001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M20" sqref="M20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Junio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Junio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K14" sqref="K14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Junio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Junio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2024-07-12T08:54:04Z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