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3\JUN\INF_ELABORADA\"/>
    </mc:Choice>
  </mc:AlternateContent>
  <xr:revisionPtr revIDLastSave="0" documentId="8_{E5A76818-FBAF-44FD-A907-F8356E3D16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e" sheetId="16" r:id="rId1"/>
    <sheet name="SN1" sheetId="8" r:id="rId2"/>
    <sheet name="SN2" sheetId="10" r:id="rId3"/>
    <sheet name="Mozart Reports" sheetId="19" state="veryHidden" r:id="rId4"/>
    <sheet name="SN3" sheetId="22" r:id="rId5"/>
    <sheet name="SN4" sheetId="2" r:id="rId6"/>
    <sheet name="SN5" sheetId="13" r:id="rId7"/>
    <sheet name="SN6" sheetId="5" r:id="rId8"/>
    <sheet name="SN7" sheetId="7" r:id="rId9"/>
    <sheet name="Dat_01" sheetId="18" r:id="rId10"/>
  </sheets>
  <externalReferences>
    <externalReference r:id="rId11"/>
  </externalReferences>
  <definedNames>
    <definedName name="_xlnm.Print_Area" localSheetId="4">#REF!</definedName>
    <definedName name="_xlnm.Print_Area">#REF!</definedName>
    <definedName name="_xlnm.Database" localSheetId="4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 localSheetId="4">#REF!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 localSheetId="4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 localSheetId="4">#REF!</definedName>
    <definedName name="MSTR.BANDA_PARA_CONSEJO_PROCESOS">#REF!</definedName>
    <definedName name="MSTR.BANDA_PARA_CONSEJO_PROCESOS1" localSheetId="4">#REF!</definedName>
    <definedName name="MSTR.BANDA_PARA_CONSEJO_PROCESOS1">#REF!</definedName>
    <definedName name="MSTR.BANDA_PARA_CONSEJO_PROCESOS10" localSheetId="4">#REF!</definedName>
    <definedName name="MSTR.BANDA_PARA_CONSEJO_PROCESOS10">#REF!</definedName>
    <definedName name="MSTR.BANDA_PARA_CONSEJO_PROCESOS2" localSheetId="4">#REF!</definedName>
    <definedName name="MSTR.BANDA_PARA_CONSEJO_PROCESOS2">#REF!</definedName>
    <definedName name="MSTR.BANDA_PARA_CONSEJO_PROCESOS3" localSheetId="4">#REF!</definedName>
    <definedName name="MSTR.BANDA_PARA_CONSEJO_PROCESOS3">#REF!</definedName>
    <definedName name="MSTR.BANDA_PARA_CONSEJO_PROCESOS4" localSheetId="4">#REF!</definedName>
    <definedName name="MSTR.BANDA_PARA_CONSEJO_PROCESOS4">#REF!</definedName>
    <definedName name="MSTR.BANDA_PARA_CONSEJO_PROCESOS5" localSheetId="4">#REF!</definedName>
    <definedName name="MSTR.BANDA_PARA_CONSEJO_PROCESOS5">#REF!</definedName>
    <definedName name="MSTR.BANDA_PARA_CONSEJO_PROCESOS6" localSheetId="4">#REF!</definedName>
    <definedName name="MSTR.BANDA_PARA_CONSEJO_PROCESOS6">#REF!</definedName>
    <definedName name="MSTR.BANDA_PARA_CONSEJO_PROCESOS7" localSheetId="4">#REF!</definedName>
    <definedName name="MSTR.BANDA_PARA_CONSEJO_PROCESOS7">#REF!</definedName>
    <definedName name="MSTR.BANDA_PARA_CONSEJO_PROCESOS8" localSheetId="4">#REF!</definedName>
    <definedName name="MSTR.BANDA_PARA_CONSEJO_PROCESOS8">#REF!</definedName>
    <definedName name="MSTR.BANDA_PARA_CONSEJO_PROCESOS9" localSheetId="4">#REF!</definedName>
    <definedName name="MSTR.BANDA_PARA_CONSEJO_PROCESOS9">#REF!</definedName>
    <definedName name="MSTR.Liquidación_por_Segmentos" localSheetId="4">#REF!</definedName>
    <definedName name="MSTR.Liquidación_por_Segmentos">#REF!</definedName>
    <definedName name="MSTR.Liquidación_por_Segmentos1" localSheetId="4">#REF!</definedName>
    <definedName name="MSTR.Liquidación_por_Segmentos1">#REF!</definedName>
    <definedName name="MSTR.Liquidación_por_Segmentos10" localSheetId="4">#REF!</definedName>
    <definedName name="MSTR.Liquidación_por_Segmentos10">#REF!</definedName>
    <definedName name="MSTR.Liquidación_por_Segmentos11" localSheetId="4">#REF!</definedName>
    <definedName name="MSTR.Liquidación_por_Segmentos11">#REF!</definedName>
    <definedName name="MSTR.Liquidación_por_Segmentos2" localSheetId="4">#REF!</definedName>
    <definedName name="MSTR.Liquidación_por_Segmentos2">#REF!</definedName>
    <definedName name="MSTR.Liquidación_por_Segmentos3" localSheetId="4">#REF!</definedName>
    <definedName name="MSTR.Liquidación_por_Segmentos3">#REF!</definedName>
    <definedName name="MSTR.Liquidación_por_Segmentos4" localSheetId="4">#REF!</definedName>
    <definedName name="MSTR.Liquidación_por_Segmentos4">#REF!</definedName>
    <definedName name="MSTR.Liquidación_por_Segmentos5" localSheetId="4">#REF!</definedName>
    <definedName name="MSTR.Liquidación_por_Segmentos5">#REF!</definedName>
    <definedName name="MSTR.Liquidación_por_Segmentos6" localSheetId="4">#REF!</definedName>
    <definedName name="MSTR.Liquidación_por_Segmentos6">#REF!</definedName>
    <definedName name="MSTR.Liquidación_por_Segmentos7" localSheetId="4">#REF!</definedName>
    <definedName name="MSTR.Liquidación_por_Segmentos7">#REF!</definedName>
    <definedName name="MSTR.Liquidación_por_Segmentos8" localSheetId="4">#REF!</definedName>
    <definedName name="MSTR.Liquidación_por_Segmentos8">#REF!</definedName>
    <definedName name="MSTR.Liquidación_por_Segmentos9" localSheetId="4">#REF!</definedName>
    <definedName name="MSTR.Liquidación_por_Segmentos9">#REF!</definedName>
    <definedName name="MSTR.Serie_Balance_Nuevo_Energía_Eléctrica_Mensual.1" localSheetId="4">#REF!</definedName>
    <definedName name="MSTR.Serie_Balance_Nuevo_Energía_Eléctrica_Mensual.1">#REF!</definedName>
    <definedName name="MSTR.Serie_Balance_Nuevo_Energía_Eléctrica_Mes_Baleares" localSheetId="4">#REF!</definedName>
    <definedName name="MSTR.Serie_Balance_Nuevo_Energía_Eléctrica_Mes_Baleares">#REF!</definedName>
    <definedName name="MSTR.Variación_y_componentes_mensual_de_la_demanda" xml:space="preserve">                               Dat_01!$A$149:$N$152</definedName>
    <definedName name="MSTR.Variación_y_componentes_mensual_de_la_demanda.1" xml:space="preserve">                               Dat_01!$A$155:$N$158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 xml:space="preserve">                                   Dat_01!$A$85:$U$114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6" i="18" l="1"/>
  <c r="R26" i="18"/>
  <c r="B47" i="18"/>
  <c r="G68" i="18" l="1"/>
  <c r="B26" i="18"/>
  <c r="I17" i="22"/>
  <c r="G17" i="22"/>
  <c r="H17" i="22"/>
  <c r="I13" i="22"/>
  <c r="M20" i="22"/>
  <c r="K20" i="22"/>
  <c r="M18" i="22"/>
  <c r="M12" i="22"/>
  <c r="I9" i="22"/>
  <c r="C47" i="18" l="1"/>
  <c r="C68" i="18" l="1"/>
  <c r="K18" i="22" l="1"/>
  <c r="B56" i="18" l="1"/>
  <c r="C72" i="18" l="1"/>
  <c r="G52" i="18" l="1"/>
  <c r="G77" i="18" l="1"/>
  <c r="G76" i="18"/>
  <c r="G75" i="18"/>
  <c r="G74" i="18"/>
  <c r="G73" i="18"/>
  <c r="G72" i="18"/>
  <c r="G71" i="18"/>
  <c r="G70" i="18"/>
  <c r="G69" i="18"/>
  <c r="B52" i="18" l="1"/>
  <c r="C71" i="18" l="1"/>
  <c r="C79" i="18"/>
  <c r="C78" i="18"/>
  <c r="C77" i="18"/>
  <c r="C76" i="18"/>
  <c r="C75" i="18"/>
  <c r="C74" i="18"/>
  <c r="C73" i="18"/>
  <c r="C70" i="18"/>
  <c r="C69" i="18"/>
  <c r="D69" i="18" l="1"/>
  <c r="D75" i="18"/>
  <c r="D70" i="18"/>
  <c r="D76" i="18"/>
  <c r="D71" i="18"/>
  <c r="D73" i="18"/>
  <c r="D77" i="18"/>
  <c r="D68" i="18"/>
  <c r="D74" i="18"/>
  <c r="D78" i="18"/>
  <c r="C80" i="18"/>
  <c r="B68" i="18" s="1"/>
  <c r="B79" i="18" l="1"/>
  <c r="B73" i="18"/>
  <c r="B72" i="18"/>
  <c r="B78" i="18"/>
  <c r="B71" i="18"/>
  <c r="B74" i="18"/>
  <c r="B76" i="18"/>
  <c r="B75" i="18"/>
  <c r="B77" i="18"/>
  <c r="B70" i="18"/>
  <c r="B69" i="18"/>
  <c r="B62" i="18"/>
  <c r="B61" i="18"/>
  <c r="B60" i="18"/>
  <c r="B59" i="18"/>
  <c r="B58" i="18"/>
  <c r="B57" i="18"/>
  <c r="B55" i="18"/>
  <c r="B53" i="18"/>
  <c r="B54" i="18"/>
  <c r="G53" i="18"/>
  <c r="G54" i="18"/>
  <c r="G55" i="18"/>
  <c r="B80" i="18" l="1"/>
  <c r="O117" i="18"/>
  <c r="O144" i="18" s="1"/>
  <c r="O136" i="18" l="1"/>
  <c r="O135" i="18"/>
  <c r="O140" i="18"/>
  <c r="O142" i="18"/>
  <c r="O141" i="18"/>
  <c r="O143" i="18"/>
  <c r="O119" i="18"/>
  <c r="C26" i="18" l="1"/>
  <c r="D26" i="18" l="1"/>
  <c r="M24" i="22" l="1"/>
  <c r="B29" i="18" l="1"/>
  <c r="K14" i="10" l="1"/>
  <c r="K13" i="10"/>
  <c r="K12" i="10"/>
  <c r="I14" i="10"/>
  <c r="I13" i="10"/>
  <c r="I12" i="10"/>
  <c r="G14" i="10"/>
  <c r="G13" i="10"/>
  <c r="G12" i="10"/>
  <c r="K14" i="8"/>
  <c r="K13" i="8"/>
  <c r="K12" i="8"/>
  <c r="I14" i="8"/>
  <c r="I13" i="8"/>
  <c r="I12" i="8"/>
  <c r="G14" i="8"/>
  <c r="G13" i="8"/>
  <c r="G12" i="8"/>
  <c r="G61" i="18" l="1"/>
  <c r="G60" i="18"/>
  <c r="G59" i="18"/>
  <c r="G58" i="18"/>
  <c r="G57" i="18"/>
  <c r="G56" i="18"/>
  <c r="F17" i="22" l="1"/>
  <c r="M26" i="22" l="1"/>
  <c r="L26" i="22"/>
  <c r="K26" i="22"/>
  <c r="J26" i="22"/>
  <c r="I26" i="22"/>
  <c r="H26" i="22"/>
  <c r="G26" i="22"/>
  <c r="F26" i="22"/>
  <c r="G25" i="22"/>
  <c r="F25" i="22"/>
  <c r="K24" i="22"/>
  <c r="I24" i="22"/>
  <c r="G24" i="22"/>
  <c r="M23" i="22"/>
  <c r="L23" i="22"/>
  <c r="G23" i="22"/>
  <c r="F23" i="22"/>
  <c r="H22" i="22"/>
  <c r="G22" i="22"/>
  <c r="F22" i="22"/>
  <c r="I21" i="22"/>
  <c r="H21" i="22"/>
  <c r="G21" i="22"/>
  <c r="F21" i="22"/>
  <c r="G20" i="22"/>
  <c r="I19" i="22"/>
  <c r="H19" i="22"/>
  <c r="L18" i="22"/>
  <c r="J18" i="22"/>
  <c r="I18" i="22"/>
  <c r="H18" i="22"/>
  <c r="G18" i="22"/>
  <c r="F18" i="22"/>
  <c r="F20" i="22" s="1"/>
  <c r="M17" i="22"/>
  <c r="L17" i="22"/>
  <c r="K17" i="22"/>
  <c r="J17" i="22"/>
  <c r="F16" i="22"/>
  <c r="M15" i="22"/>
  <c r="I15" i="22"/>
  <c r="G15" i="22"/>
  <c r="M14" i="22"/>
  <c r="L14" i="22"/>
  <c r="G14" i="22"/>
  <c r="F14" i="22"/>
  <c r="H13" i="22"/>
  <c r="G13" i="22"/>
  <c r="F13" i="22"/>
  <c r="L12" i="22"/>
  <c r="I12" i="22"/>
  <c r="H12" i="22"/>
  <c r="G12" i="22"/>
  <c r="F12" i="22"/>
  <c r="I11" i="22"/>
  <c r="H11" i="22"/>
  <c r="G11" i="22"/>
  <c r="F11" i="22"/>
  <c r="I10" i="22"/>
  <c r="H10" i="22"/>
  <c r="H9" i="22"/>
  <c r="J20" i="22" l="1"/>
  <c r="J24" i="22" s="1"/>
  <c r="L20" i="22"/>
  <c r="L24" i="22" s="1"/>
  <c r="L15" i="22"/>
  <c r="H15" i="22"/>
  <c r="F15" i="22"/>
  <c r="F24" i="22"/>
  <c r="H20" i="22"/>
  <c r="I20" i="22" s="1"/>
  <c r="H24" i="22" l="1"/>
  <c r="O134" i="18" l="1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23" i="18" l="1"/>
  <c r="O120" i="18"/>
  <c r="O139" i="18"/>
  <c r="O138" i="18"/>
  <c r="O137" i="18"/>
  <c r="N117" i="18"/>
  <c r="N144" i="18" s="1"/>
  <c r="O121" i="18"/>
  <c r="O122" i="18"/>
  <c r="O124" i="18"/>
  <c r="O125" i="18"/>
  <c r="O126" i="18"/>
  <c r="O127" i="18"/>
  <c r="O128" i="18"/>
  <c r="O129" i="18"/>
  <c r="O130" i="18"/>
  <c r="O131" i="18"/>
  <c r="O132" i="18"/>
  <c r="O146" i="18" l="1"/>
  <c r="N140" i="18"/>
  <c r="N142" i="18"/>
  <c r="N141" i="18"/>
  <c r="N143" i="18"/>
  <c r="N136" i="18"/>
  <c r="O133" i="18"/>
  <c r="N120" i="18"/>
  <c r="N123" i="18"/>
  <c r="N135" i="18"/>
  <c r="N137" i="18"/>
  <c r="N138" i="18"/>
  <c r="N139" i="18"/>
  <c r="M117" i="18"/>
  <c r="M144" i="18" s="1"/>
  <c r="N119" i="18"/>
  <c r="N121" i="18"/>
  <c r="N122" i="18"/>
  <c r="N124" i="18"/>
  <c r="N125" i="18"/>
  <c r="N126" i="18"/>
  <c r="N127" i="18"/>
  <c r="N128" i="18"/>
  <c r="N130" i="18"/>
  <c r="N132" i="18"/>
  <c r="N129" i="18"/>
  <c r="N131" i="18"/>
  <c r="M140" i="18" l="1"/>
  <c r="M142" i="18"/>
  <c r="M141" i="18"/>
  <c r="M143" i="18"/>
  <c r="M136" i="18"/>
  <c r="M120" i="18"/>
  <c r="M123" i="18"/>
  <c r="N133" i="18"/>
  <c r="N146" i="18"/>
  <c r="M135" i="18"/>
  <c r="M137" i="18"/>
  <c r="M138" i="18"/>
  <c r="M139" i="18"/>
  <c r="L117" i="18"/>
  <c r="L144" i="18" s="1"/>
  <c r="M119" i="18"/>
  <c r="M121" i="18"/>
  <c r="M122" i="18"/>
  <c r="M124" i="18"/>
  <c r="M125" i="18"/>
  <c r="M126" i="18"/>
  <c r="M127" i="18"/>
  <c r="M128" i="18"/>
  <c r="M129" i="18"/>
  <c r="M130" i="18"/>
  <c r="M131" i="18"/>
  <c r="M132" i="18"/>
  <c r="L141" i="18" l="1"/>
  <c r="L143" i="18"/>
  <c r="L136" i="18"/>
  <c r="L140" i="18"/>
  <c r="L142" i="18"/>
  <c r="L123" i="18"/>
  <c r="L120" i="18"/>
  <c r="M133" i="18"/>
  <c r="M146" i="18"/>
  <c r="L135" i="18"/>
  <c r="L137" i="18"/>
  <c r="L138" i="18"/>
  <c r="L139" i="18"/>
  <c r="K117" i="18"/>
  <c r="K144" i="18" s="1"/>
  <c r="L119" i="18"/>
  <c r="L122" i="18"/>
  <c r="L126" i="18"/>
  <c r="L132" i="18"/>
  <c r="L121" i="18"/>
  <c r="L125" i="18"/>
  <c r="L129" i="18"/>
  <c r="L131" i="18"/>
  <c r="L124" i="18"/>
  <c r="L128" i="18"/>
  <c r="L127" i="18"/>
  <c r="L130" i="18"/>
  <c r="E3" i="16"/>
  <c r="M3" i="22" s="1"/>
  <c r="G8" i="22" s="1"/>
  <c r="I8" i="22" s="1"/>
  <c r="K8" i="22" s="1"/>
  <c r="M8" i="22" s="1"/>
  <c r="K9" i="10"/>
  <c r="I9" i="10"/>
  <c r="G9" i="10"/>
  <c r="J9" i="10"/>
  <c r="H9" i="10"/>
  <c r="F9" i="10"/>
  <c r="K9" i="8"/>
  <c r="J9" i="8"/>
  <c r="I9" i="8"/>
  <c r="H9" i="8"/>
  <c r="G9" i="8"/>
  <c r="F9" i="8"/>
  <c r="K141" i="18" l="1"/>
  <c r="K143" i="18"/>
  <c r="K136" i="18"/>
  <c r="K142" i="18"/>
  <c r="K140" i="18"/>
  <c r="K120" i="18"/>
  <c r="K123" i="18"/>
  <c r="L133" i="18"/>
  <c r="E3" i="13"/>
  <c r="K135" i="18"/>
  <c r="K139" i="18"/>
  <c r="K138" i="18"/>
  <c r="K137" i="18"/>
  <c r="J117" i="18"/>
  <c r="J144" i="18" s="1"/>
  <c r="K119" i="18"/>
  <c r="K121" i="18"/>
  <c r="K122" i="18"/>
  <c r="K124" i="18"/>
  <c r="K125" i="18"/>
  <c r="K126" i="18"/>
  <c r="K127" i="18"/>
  <c r="K128" i="18"/>
  <c r="K129" i="18"/>
  <c r="K130" i="18"/>
  <c r="K131" i="18"/>
  <c r="K132" i="18"/>
  <c r="L146" i="18"/>
  <c r="K3" i="10"/>
  <c r="F7" i="10" s="1"/>
  <c r="G8" i="10" s="1"/>
  <c r="E3" i="5"/>
  <c r="E3" i="7"/>
  <c r="E3" i="2"/>
  <c r="K3" i="8"/>
  <c r="F7" i="8" s="1"/>
  <c r="G8" i="8" s="1"/>
  <c r="G62" i="18"/>
  <c r="G78" i="18"/>
  <c r="B63" i="18"/>
  <c r="C56" i="18" s="1"/>
  <c r="J141" i="18" l="1"/>
  <c r="J143" i="18"/>
  <c r="J136" i="18"/>
  <c r="J140" i="18"/>
  <c r="J142" i="18"/>
  <c r="H55" i="18"/>
  <c r="H59" i="18"/>
  <c r="H56" i="18"/>
  <c r="H54" i="18"/>
  <c r="H58" i="18"/>
  <c r="H52" i="18"/>
  <c r="H60" i="18"/>
  <c r="H53" i="18"/>
  <c r="H61" i="18"/>
  <c r="H57" i="18"/>
  <c r="C58" i="18"/>
  <c r="C62" i="18"/>
  <c r="C59" i="18"/>
  <c r="C53" i="18"/>
  <c r="C55" i="18"/>
  <c r="C54" i="18"/>
  <c r="C52" i="18"/>
  <c r="C57" i="18"/>
  <c r="C60" i="18"/>
  <c r="C61" i="18"/>
  <c r="J120" i="18"/>
  <c r="J123" i="18"/>
  <c r="K133" i="18"/>
  <c r="J135" i="18"/>
  <c r="J137" i="18"/>
  <c r="J138" i="18"/>
  <c r="J139" i="18"/>
  <c r="I117" i="18"/>
  <c r="I144" i="18" s="1"/>
  <c r="J119" i="18"/>
  <c r="J121" i="18"/>
  <c r="J122" i="18"/>
  <c r="J124" i="18"/>
  <c r="J125" i="18"/>
  <c r="J126" i="18"/>
  <c r="J127" i="18"/>
  <c r="J128" i="18"/>
  <c r="J129" i="18"/>
  <c r="J131" i="18"/>
  <c r="J130" i="18"/>
  <c r="J132" i="18"/>
  <c r="K146" i="18"/>
  <c r="I141" i="18" l="1"/>
  <c r="I143" i="18"/>
  <c r="I136" i="18"/>
  <c r="I142" i="18"/>
  <c r="I140" i="18"/>
  <c r="I120" i="18"/>
  <c r="I123" i="18"/>
  <c r="J133" i="18"/>
  <c r="J146" i="18"/>
  <c r="I135" i="18"/>
  <c r="I137" i="18"/>
  <c r="I138" i="18"/>
  <c r="I139" i="18"/>
  <c r="H117" i="18"/>
  <c r="H144" i="18" s="1"/>
  <c r="I119" i="18"/>
  <c r="I121" i="18"/>
  <c r="I122" i="18"/>
  <c r="I124" i="18"/>
  <c r="I125" i="18"/>
  <c r="I126" i="18"/>
  <c r="I127" i="18"/>
  <c r="I128" i="18"/>
  <c r="I129" i="18"/>
  <c r="I130" i="18"/>
  <c r="I131" i="18"/>
  <c r="I132" i="18"/>
  <c r="H62" i="18"/>
  <c r="C63" i="18"/>
  <c r="H143" i="18" l="1"/>
  <c r="H136" i="18"/>
  <c r="H140" i="18"/>
  <c r="H142" i="18"/>
  <c r="H141" i="18"/>
  <c r="H123" i="18"/>
  <c r="H120" i="18"/>
  <c r="I133" i="18"/>
  <c r="H135" i="18"/>
  <c r="H137" i="18"/>
  <c r="H138" i="18"/>
  <c r="H139" i="18"/>
  <c r="I146" i="18"/>
  <c r="G117" i="18"/>
  <c r="G144" i="18" s="1"/>
  <c r="H119" i="18"/>
  <c r="H121" i="18"/>
  <c r="H125" i="18"/>
  <c r="H129" i="18"/>
  <c r="H126" i="18"/>
  <c r="H131" i="18"/>
  <c r="H124" i="18"/>
  <c r="H128" i="18"/>
  <c r="H130" i="18"/>
  <c r="H132" i="18"/>
  <c r="H127" i="18"/>
  <c r="H122" i="18"/>
  <c r="K8" i="10"/>
  <c r="I8" i="10"/>
  <c r="G143" i="18" l="1"/>
  <c r="G140" i="18"/>
  <c r="G142" i="18"/>
  <c r="G141" i="18"/>
  <c r="G136" i="18"/>
  <c r="G123" i="18"/>
  <c r="G120" i="18"/>
  <c r="H133" i="18"/>
  <c r="H146" i="18"/>
  <c r="G138" i="18"/>
  <c r="G137" i="18"/>
  <c r="G135" i="18"/>
  <c r="G139" i="18"/>
  <c r="F117" i="18"/>
  <c r="F144" i="18" s="1"/>
  <c r="G119" i="18"/>
  <c r="G121" i="18"/>
  <c r="G122" i="18"/>
  <c r="G124" i="18"/>
  <c r="G125" i="18"/>
  <c r="G126" i="18"/>
  <c r="G127" i="18"/>
  <c r="G128" i="18"/>
  <c r="G129" i="18"/>
  <c r="G130" i="18"/>
  <c r="G131" i="18"/>
  <c r="G132" i="18"/>
  <c r="K8" i="8"/>
  <c r="I8" i="8"/>
  <c r="F140" i="18" l="1"/>
  <c r="F142" i="18"/>
  <c r="F141" i="18"/>
  <c r="F143" i="18"/>
  <c r="F136" i="18"/>
  <c r="F120" i="18"/>
  <c r="F123" i="18"/>
  <c r="G133" i="18"/>
  <c r="G146" i="18"/>
  <c r="F135" i="18"/>
  <c r="F137" i="18"/>
  <c r="F138" i="18"/>
  <c r="F139" i="18"/>
  <c r="E117" i="18"/>
  <c r="E144" i="18" s="1"/>
  <c r="F119" i="18"/>
  <c r="F121" i="18"/>
  <c r="F122" i="18"/>
  <c r="F124" i="18"/>
  <c r="F125" i="18"/>
  <c r="F126" i="18"/>
  <c r="F127" i="18"/>
  <c r="F128" i="18"/>
  <c r="F129" i="18"/>
  <c r="F130" i="18"/>
  <c r="F132" i="18"/>
  <c r="F131" i="18"/>
  <c r="E12" i="16"/>
  <c r="E16" i="16"/>
  <c r="E15" i="16"/>
  <c r="E14" i="16"/>
  <c r="E13" i="16"/>
  <c r="E11" i="16"/>
  <c r="E9" i="16"/>
  <c r="E8" i="16"/>
  <c r="E142" i="18" l="1"/>
  <c r="E141" i="18"/>
  <c r="E143" i="18"/>
  <c r="E136" i="18"/>
  <c r="E140" i="18"/>
  <c r="E120" i="18"/>
  <c r="E123" i="18"/>
  <c r="F133" i="18"/>
  <c r="E135" i="18"/>
  <c r="E137" i="18"/>
  <c r="E138" i="18"/>
  <c r="E139" i="18"/>
  <c r="F146" i="18"/>
  <c r="D117" i="18"/>
  <c r="D144" i="18" s="1"/>
  <c r="E119" i="18"/>
  <c r="E121" i="18"/>
  <c r="E122" i="18"/>
  <c r="E124" i="18"/>
  <c r="E125" i="18"/>
  <c r="E126" i="18"/>
  <c r="E127" i="18"/>
  <c r="E128" i="18"/>
  <c r="E129" i="18"/>
  <c r="E130" i="18"/>
  <c r="E131" i="18"/>
  <c r="E132" i="18"/>
  <c r="D142" i="18" l="1"/>
  <c r="D141" i="18"/>
  <c r="D143" i="18"/>
  <c r="D136" i="18"/>
  <c r="D140" i="18"/>
  <c r="D123" i="18"/>
  <c r="D120" i="18"/>
  <c r="E133" i="18"/>
  <c r="E146" i="18"/>
  <c r="D135" i="18"/>
  <c r="D137" i="18"/>
  <c r="D138" i="18"/>
  <c r="D139" i="18"/>
  <c r="C117" i="18"/>
  <c r="D119" i="18"/>
  <c r="D121" i="18"/>
  <c r="D124" i="18"/>
  <c r="D128" i="18"/>
  <c r="D129" i="18"/>
  <c r="D127" i="18"/>
  <c r="D131" i="18"/>
  <c r="D122" i="18"/>
  <c r="D126" i="18"/>
  <c r="D125" i="18"/>
  <c r="D130" i="18"/>
  <c r="D132" i="18"/>
  <c r="C144" i="18" l="1"/>
  <c r="C119" i="18"/>
  <c r="C135" i="18"/>
  <c r="C132" i="18"/>
  <c r="C130" i="18"/>
  <c r="C141" i="18"/>
  <c r="C120" i="18"/>
  <c r="C136" i="18"/>
  <c r="C142" i="18"/>
  <c r="C139" i="18"/>
  <c r="C140" i="18"/>
  <c r="C122" i="18"/>
  <c r="C143" i="18"/>
  <c r="D133" i="18"/>
  <c r="C123" i="18"/>
  <c r="D146" i="18"/>
  <c r="C131" i="18"/>
  <c r="C125" i="18"/>
  <c r="C121" i="18"/>
  <c r="C138" i="18"/>
  <c r="C137" i="18"/>
  <c r="C127" i="18"/>
  <c r="C129" i="18"/>
  <c r="C126" i="18"/>
  <c r="C124" i="18"/>
  <c r="C128" i="18"/>
  <c r="C133" i="18" l="1"/>
  <c r="C146" i="18"/>
</calcChain>
</file>

<file path=xl/sharedStrings.xml><?xml version="1.0" encoding="utf-8"?>
<sst xmlns="http://schemas.openxmlformats.org/spreadsheetml/2006/main" count="428" uniqueCount="132">
  <si>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</si>
  <si>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</si>
  <si>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</si>
  <si>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</si>
  <si>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</si>
  <si>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</si>
  <si>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</si>
  <si>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</si>
  <si>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</si>
  <si>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</si>
  <si>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</si>
  <si>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</si>
  <si>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</si>
  <si>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</si>
  <si>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</si>
  <si>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</si>
  <si>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</si>
  <si>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</si>
  <si>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</si>
  <si>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</si>
  <si>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</si>
  <si>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</si>
  <si>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</si>
  <si>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</si>
  <si>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</si>
  <si>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</si>
  <si>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</si>
  <si>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</si>
  <si>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</si>
  <si>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</si>
  <si>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</si>
  <si>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</si>
  <si>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</si>
  <si>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</si>
  <si>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</si>
  <si>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</si>
  <si>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</si>
  <si>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</si>
  <si>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</si>
  <si>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</si>
  <si>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</si>
  <si>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</si>
  <si>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</si>
  <si>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</si>
  <si>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</si>
  <si>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</si>
  <si>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</si>
  <si>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</si>
  <si>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</si>
  <si>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</si>
  <si>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</si>
  <si>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</si>
  <si>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</si>
  <si>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</si>
  <si>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</si>
  <si>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</si>
  <si>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</si>
  <si>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</si>
  <si>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</si>
  <si>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</si>
  <si>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</si>
  <si>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</si>
  <si>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</si>
  <si>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</si>
  <si>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</si>
  <si>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</si>
  <si>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</si>
  <si>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</si>
  <si>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</si>
  <si>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</si>
  <si>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</si>
  <si>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</si>
  <si>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</si>
  <si>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</si>
  <si>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</si>
  <si>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</si>
  <si>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</si>
  <si>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</si>
  <si>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Motores diesel</t>
  </si>
  <si>
    <t>Demanda transporte (b.c.)</t>
  </si>
  <si>
    <t>Generación renovable</t>
  </si>
  <si>
    <t>Generación no renovable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</si>
  <si>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biogás y biomasa.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</si>
  <si>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(2)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</si>
  <si>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</si>
  <si>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</si>
  <si>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</si>
  <si>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</si>
  <si>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 y turbina de gas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</si>
  <si>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vapor.</t>
    </r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</si>
  <si>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</si>
  <si>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</si>
  <si>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</si>
  <si>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</si>
  <si>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</si>
  <si>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</si>
  <si>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</si>
  <si>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</si>
  <si>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</si>
  <si>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</si>
  <si>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</si>
  <si>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</si>
  <si>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Día</t>
  </si>
  <si>
    <t>Demanda No Peninsular</t>
  </si>
  <si>
    <t>MWh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</si>
  <si>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</si>
  <si>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</si>
  <si>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</si>
  <si>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</si>
  <si>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</si>
  <si>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</si>
  <si>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</si>
  <si>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</si>
  <si>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</si>
  <si>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</si>
  <si>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</si>
  <si>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</si>
  <si>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</si>
  <si>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</si>
  <si>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</si>
  <si>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</si>
  <si>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>Abril 2023</t>
  </si>
  <si>
    <t>Mayo 2023</t>
  </si>
  <si>
    <t>Junio 2023</t>
  </si>
  <si>
    <t>30/06/2023</t>
  </si>
  <si>
    <t>Julio 2023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</si>
  <si>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ut="07/13/2023 10:15:48" si="2.0000000149f722d792a2b4bf8eedcaf944e504d75e3e9e6c7f99274e31f58203ab0bd2f1a6c49098339364bb1f75e5d31ecc45357694145076ec6513cc1773bcd39b3cfcebefab9254b0ff6f91884a4d930bdf1441ce723a402f3c14826478e353ab4818a4e1abb26ea49a90343c8c6e94d248d1d36a70c477e06368352594361434a19981995080b7af6a28cbdd0ab818cacdd1fd3f4a495ee3d2f2c35d69394559.p.3082.0.1.Europe/Madrid.upriv*_1*_pidn2*_15*_session*-lat*_1.00000001f6fe3bb583883d25372c946e40e825d8bc6025e075045f740f53b9c2aa3739a0da6a61070c15499d253ecb1bec0cbbe7048e9cc6.000000016a8efd11677a1623a28cd788b3db2f43bc6025e0198d1d09c2d645c28e39cc6c00804fe8ebb028b0e0dc16d19a0d520d026c257a.0.1.1.BDEbi.D066E1C611E6257C10D00080EF253B44.0-3082.1.1_-0.1.0_-3082.1.1_5.5.0.*0.000000016ae94bbd73f701be1943bcd669aaa985c911585a06ef8b8e9a67b3ec337c5e1f582e7671.0.23.11*.2*.0400*.31152J.e.00000001b4dfad4af1b644156a546da0398d9c69c911585ac0136bc36d9b85ec852197118ba5f79c.0.10*.131*.122*.122.0.0" msgID="378C1ECF11EE2166EC870080EFA543DA"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nrr="77"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</si>
  <si>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ut="07/13/2023 10:19:29" si="2.0000000149f722d792a2b4bf8eedcaf944e504d75e3e9e6c7f99274e31f58203ab0bd2f1a6c49098339364bb1f75e5d31ecc45357694145076ec6513cc1773bcd39b3cfcebefab9254b0ff6f91884a4d930bdf1441ce723a402f3c14826478e353ab4818a4e1abb26ea49a90343c8c6e94d248d1d36a70c477e06368352594361434a19981995080b7af6a28cbdd0ab818cacdd1fd3f4a495ee3d2f2c35d69394559.p.3082.0.1.Europe/Madrid.upriv*_1*_pidn2*_15*_session*-lat*_1.00000001f6fe3bb583883d25372c946e40e825d8bc6025e075045f740f53b9c2aa3739a0da6a61070c15499d253ecb1bec0cbbe7048e9cc6.000000016a8efd11677a1623a28cd788b3db2f43bc6025e0198d1d09c2d645c28e39cc6c00804fe8ebb028b0e0dc16d19a0d520d026c257a.0.1.1.BDEbi.D066E1C611E6257C10D00080EF253B44.0-3082.1.1_-0.1.0_-3082.1.1_5.5.0.*0.000000016ae94bbd73f701be1943bcd669aaa985c911585a06ef8b8e9a67b3ec337c5e1f582e7671.0.23.11*.2*.0400*.31152J.e.00000001b4dfad4af1b644156a546da0398d9c69c911585ac0136bc36d9b85ec852197118ba5f79c.0.10*.131*.122*.122.0.0" msgID="429D274011EE2166EC870080EF4583DA"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nrr="1360" nrc="2560"&gt;&lt;pg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</si>
  <si>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ut="07/13/2023 10:28:48" si="2.0000000149f722d792a2b4bf8eedcaf944e504d75e3e9e6c7f99274e31f58203ab0bd2f1a6c49098339364bb1f75e5d31ecc45357694145076ec6513cc1773bcd39b3cfcebefab9254b0ff6f91884a4d930bdf1441ce723a402f3c14826478e353ab4818a4e1abb26ea49a90343c8c6e94d248d1d36a70c477e06368352594361434a19981995080b7af6a28cbdd0ab818cacdd1fd3f4a495ee3d2f2c35d69394559.p.3082.0.1.Europe/Madrid.upriv*_1*_pidn2*_15*_session*-lat*_1.00000001f6fe3bb583883d25372c946e40e825d8bc6025e075045f740f53b9c2aa3739a0da6a61070c15499d253ecb1bec0cbbe7048e9cc6.000000016a8efd11677a1623a28cd788b3db2f43bc6025e0198d1d09c2d645c28e39cc6c00804fe8ebb028b0e0dc16d19a0d520d026c257a.0.1.1.BDEbi.D066E1C611E6257C10D00080EF253B44.0-3082.1.1_-0.1.0_-3082.1.1_5.5.0.*0.000000016ae94bbd73f701be1943bcd669aaa985c911585a06ef8b8e9a67b3ec337c5e1f582e7671.0.23.11*.2*.0400*.31152J.e.00000001b4dfad4af1b644156a546da0398d9c69c911585ac0136bc36d9b85ec852197118ba5f79c.0.10*.131*.122*.122.0.0" msgID="4728BE4111EE2167EC870080EFF5E3D9"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rows="30" cols="21" /&gt;&lt;esdo ews="" ece="" ptn="" /&gt;&lt;/excel&gt;&lt;pgs&gt;&lt;pg rows="27" cols="19" nrr="1953" nrc="1501"&gt;&lt;pg /&gt;&lt;bls&gt;&lt;bl sr="1" sc="1" rfetch="27" cfetch="19" posid="1" darows="0" dacols="1"&gt;&lt;excel&gt;&lt;epo ews="Dat_01" ece="A85" enr="MSTR.Serie_Balance_B.C._Mensual_Baleares_y_Canarias" ptn="" qtn="" rows="30" cols="21" /&gt;&lt;esdo ews="" ece="" ptn="" /&gt;&lt;/excel&gt;&lt;gridRng&gt;&lt;sect id="TITLE_AREA" rngprop="1:1:3:2" /&gt;&lt;sect id="ROWHEADERS_AREA" rngprop="4:1:27:2" /&gt;&lt;sect id="COLUMNHEADERS_AREA" rngprop="1:3:3:19" /&gt;&lt;sect id="DATA_AREA" rngprop="4:3:27:19" /&gt;&lt;/gridRng&gt;&lt;shapes /&gt;&lt;/bl&gt;&lt;/bls&gt;&lt;/pg&gt;&lt;/pgs&gt;&lt;/rptloc&gt;&lt;/mi&gt;</t>
  </si>
  <si>
    <t>&lt;mi app="e" ver="22"&gt;&lt;rptloc guid="46be085985a64833bb3aeeff779c845d"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ut="07/13/2023 10:33:34" si="2.00000001c8d0ac68a92b440ff6e8e7a32f5af93222c7676c465fc8151fb378fa301bbaabbc21a5d997db9c7b4efbb069b3291bdacc4bcce53187b645e783984cd6a5dd411facbbe758d795dbf4a84655fee723217057deb77223027fa7f0ed561e2044db7d97b423415884e8020caba17790e45b9219a332e1b16857f9ee8565154626171a34ab2916e142ae893cedf924f8e9850ee192c15f01bd1f739f82e2cc56.p.3082.0.1.Europe/Madrid.upriv*_1*_pidn2*_13*_session*-lat*_1.000000015e75b018522290211c1d9af282e85294bc6025e07b12bdede89e8e288f281f6bd93567fd1476b4b55121d03b0a9cda3c10c940d3.0000000161d35ececfb5f24f5c28fbdfa70c4fc8bc6025e05dd3334aef5e3d8c8ed9c3fbba604c6a7d10663350598bbe95f1db0171c98db4.0.1.1.BDEbi.D066E1C611E6257C10D00080EF253B44.0-3082.1.1_-0.1.0_-3082.1.1_5.5.0.*0.00000001705fa6430d9b4a0ac6564c68f2ad6fefc911585adbb40ea3346acc54134eb1f97722bafb.0.23.11*.2*.0400*.31152J.e.0000000197dac3c040d9f02a9220ea7bfc9399dec911585ac4c081b2438f885d1b66453f5fd2efa9.0.10*.131*.122*.122.0.0" msgID="B13B07E311EE2168EC870080EF8502D8"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ece="A149" enr="MSTR.Variación_y_componentes_mensual_de_la_demanda" ptn="" qtn="" rows="4" cols="14" /&gt;&lt;esdo ews="" ece="" ptn="" /&gt;&lt;/excel&gt;&lt;pgs&gt;&lt;pg rows="1" cols="12" nrr="106" nrc="708"&gt;&lt;pg /&gt;&lt;bls&gt;&lt;bl sr="1" sc="1" rfetch="1" cfetch="12" posid="1" darows="0" dacols="1"&gt;&lt;excel&gt;&lt;epo ews="Dat_01" ece="A149" enr="MSTR.Variación_y_componentes_mensual_de_la_demanda"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</si>
  <si>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701613ab41f0494dbc92aa03a36077d5</t>
  </si>
  <si>
    <t>&lt;mi app="e" ver="22"&gt;&lt;rptloc guid="54366d04b22743eeb2dce8e8ff3e5594"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ut="07/13/2023 10:33:58" si="2.00000001c8d0ac68a92b440ff6e8e7a32f5af93222c7676c465fc8151fb378fa301bbaabbc21a5d997db9c7b4efbb069b3291bdacc4bcce53187b645e783984cd6a5dd411facbbe758d795dbf4a84655fee723217057deb77223027fa7f0ed561e2044db7d97b423415884e8020caba17790e45b9219a332e1b16857f9ee8565154626171a34ab2916e142ae893cedf924f8e9850ee192c15f01bd1f739f82e2cc56.p.3082.0.1.Europe/Madrid.upriv*_1*_pidn2*_13*_session*-lat*_1.000000015e75b018522290211c1d9af282e85294bc6025e07b12bdede89e8e288f281f6bd93567fd1476b4b55121d03b0a9cda3c10c940d3.0000000161d35ececfb5f24f5c28fbdfa70c4fc8bc6025e05dd3334aef5e3d8c8ed9c3fbba604c6a7d10663350598bbe95f1db0171c98db4.0.1.1.BDEbi.D066E1C611E6257C10D00080EF253B44.0-3082.1.1_-0.1.0_-3082.1.1_5.5.0.*0.00000001705fa6430d9b4a0ac6564c68f2ad6fefc911585adbb40ea3346acc54134eb1f97722bafb.0.23.11*.2*.0400*.31152J.e.0000000197dac3c040d9f02a9220ea7bfc9399dec911585ac4c081b2438f885d1b66453f5fd2efa9.0.10*.131*.122*.122.0.0" msgID="BEDAA6AB11EE2168EC870080EF2544DB"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ece="A155" enr="MSTR.Variación_y_componentes_mensual_de_la_demanda.1" ptn="" qtn="" rows="4" cols="14" /&gt;&lt;esdo ews="" ece="" ptn="" /&gt;&lt;/excel&gt;&lt;pgs&gt;&lt;pg rows="1" cols="12" nrr="61" nrc="744"&gt;&lt;pg /&gt;&lt;bls&gt;&lt;bl sr="1" sc="1" rfetch="1" cfetch="12" posid="1" darows="0" dacols="1"&gt;&lt;excel&gt;&lt;epo ews="Dat_01" ece="A155" enr="MSTR.Variación_y_componentes_mensual_de_la_demanda.1"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</si>
</sst>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0.0_)"/>
    <numFmt numFmtId="170" formatCode="0.000_)"/>
    <numFmt numFmtId="171" formatCode="#,##0.00000"/>
    <numFmt numFmtId="172" formatCode="#,##0.000000"/>
    <numFmt numFmtId="173" formatCode="0.000"/>
    <numFmt numFmtId="174" formatCode="0.0%"/>
  </numFmts>
  <fonts count="52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9"/>
      <color rgb="FFFF0000"/>
      <name val="Segoe UI"/>
      <family val="2"/>
    </font>
    <font>
      <sz val="9"/>
      <color theme="0"/>
      <name val="Segoe UI"/>
      <family val="2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FDF"/>
        <bgColor rgb="FFFFFFFF"/>
      </patternFill>
    </fill>
  </fills>
  <borders count="33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5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  <xf numFmtId="0" fontId="47" fillId="11" borderId="10">
      <alignment vertical="center" wrapText="1"/>
    </xf>
    <xf numFmtId="0" fontId="47" fillId="11" borderId="10">
      <alignment horizontal="center" wrapText="1"/>
    </xf>
    <xf numFmtId="0" fontId="48" fillId="5" borderId="10">
      <alignment horizontal="left" vertical="center" wrapText="1"/>
    </xf>
    <xf numFmtId="10" fontId="19" fillId="5" borderId="10">
      <alignment horizontal="right" vertical="center"/>
    </xf>
    <xf numFmtId="9" fontId="51" fillId="0" borderId="0" applyFont="0" applyFill="0" applyBorder="0" applyAlignment="0" applyProtection="0"/>
  </cellStyleXfs>
  <cellXfs count="218">
    <xf numFmtId="0" fontId="0" fillId="0" borderId="0" xfId="0"/>
    <xf numFmtId="0" fontId="2" fillId="0" borderId="0" xfId="1" applyFont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Font="1" applyAlignment="1">
      <alignment vertical="center" wrapText="1"/>
    </xf>
    <xf numFmtId="3" fontId="2" fillId="0" borderId="0" xfId="1" applyNumberFormat="1" applyFont="1"/>
    <xf numFmtId="164" fontId="4" fillId="0" borderId="0" xfId="1" applyNumberFormat="1" applyFont="1"/>
    <xf numFmtId="165" fontId="7" fillId="2" borderId="1" xfId="3" applyNumberFormat="1" applyFont="1" applyFill="1" applyBorder="1" applyAlignment="1">
      <alignment horizontal="right" indent="1"/>
    </xf>
    <xf numFmtId="3" fontId="7" fillId="2" borderId="1" xfId="1" applyNumberFormat="1" applyFont="1" applyFill="1" applyBorder="1" applyAlignment="1">
      <alignment horizontal="left"/>
    </xf>
    <xf numFmtId="0" fontId="2" fillId="0" borderId="0" xfId="1" applyFont="1" applyAlignment="1">
      <alignment vertical="top"/>
    </xf>
    <xf numFmtId="165" fontId="5" fillId="2" borderId="1" xfId="3" applyNumberFormat="1" applyFont="1" applyFill="1" applyBorder="1" applyAlignment="1">
      <alignment horizontal="right" indent="1"/>
    </xf>
    <xf numFmtId="165" fontId="5" fillId="2" borderId="1" xfId="2" applyNumberFormat="1" applyFont="1" applyFill="1" applyBorder="1" applyAlignment="1">
      <alignment horizontal="left"/>
    </xf>
    <xf numFmtId="0" fontId="2" fillId="0" borderId="0" xfId="1" applyFont="1" applyAlignment="1">
      <alignment vertical="center"/>
    </xf>
    <xf numFmtId="165" fontId="5" fillId="2" borderId="0" xfId="3" applyNumberFormat="1" applyFont="1" applyFill="1" applyAlignment="1">
      <alignment horizontal="right" indent="1"/>
    </xf>
    <xf numFmtId="166" fontId="5" fillId="2" borderId="0" xfId="4" applyFont="1" applyFill="1" applyAlignment="1">
      <alignment horizontal="left"/>
    </xf>
    <xf numFmtId="165" fontId="2" fillId="0" borderId="0" xfId="1" applyNumberFormat="1" applyFont="1"/>
    <xf numFmtId="165" fontId="5" fillId="2" borderId="0" xfId="2" applyNumberFormat="1" applyFont="1" applyFill="1" applyAlignment="1">
      <alignment horizontal="left"/>
    </xf>
    <xf numFmtId="3" fontId="4" fillId="0" borderId="0" xfId="1" applyNumberFormat="1" applyFont="1"/>
    <xf numFmtId="0" fontId="8" fillId="0" borderId="0" xfId="1" applyFont="1" applyAlignment="1">
      <alignment vertical="top" wrapText="1"/>
    </xf>
    <xf numFmtId="165" fontId="9" fillId="2" borderId="0" xfId="3" applyNumberFormat="1" applyFont="1" applyFill="1" applyAlignment="1">
      <alignment horizontal="right" indent="1"/>
    </xf>
    <xf numFmtId="0" fontId="9" fillId="2" borderId="0" xfId="2" applyFont="1" applyFill="1" applyAlignment="1">
      <alignment horizontal="left" indent="1"/>
    </xf>
    <xf numFmtId="0" fontId="10" fillId="0" borderId="0" xfId="1" applyFont="1"/>
    <xf numFmtId="0" fontId="4" fillId="0" borderId="0" xfId="1" applyFont="1"/>
    <xf numFmtId="3" fontId="11" fillId="3" borderId="2" xfId="1" applyNumberFormat="1" applyFont="1" applyFill="1" applyBorder="1" applyAlignment="1">
      <alignment horizontal="right" indent="1"/>
    </xf>
    <xf numFmtId="0" fontId="12" fillId="3" borderId="2" xfId="2" applyFont="1" applyFill="1" applyBorder="1" applyAlignment="1">
      <alignment horizontal="center"/>
    </xf>
    <xf numFmtId="0" fontId="12" fillId="3" borderId="0" xfId="2" applyFont="1" applyFill="1" applyAlignment="1">
      <alignment horizontal="center"/>
    </xf>
    <xf numFmtId="166" fontId="14" fillId="0" borderId="0" xfId="4" applyFont="1"/>
    <xf numFmtId="166" fontId="14" fillId="0" borderId="0" xfId="4" applyFont="1" applyAlignment="1">
      <alignment horizontal="right"/>
    </xf>
    <xf numFmtId="0" fontId="14" fillId="0" borderId="0" xfId="5" applyFont="1" applyAlignment="1">
      <alignment horizontal="right"/>
    </xf>
    <xf numFmtId="0" fontId="16" fillId="0" borderId="0" xfId="6" applyFont="1"/>
    <xf numFmtId="0" fontId="15" fillId="0" borderId="0" xfId="6"/>
    <xf numFmtId="166" fontId="10" fillId="0" borderId="0" xfId="4" applyFont="1"/>
    <xf numFmtId="0" fontId="17" fillId="0" borderId="0" xfId="6" applyFont="1"/>
    <xf numFmtId="0" fontId="8" fillId="0" borderId="0" xfId="2" applyFont="1" applyAlignment="1">
      <alignment vertical="center"/>
    </xf>
    <xf numFmtId="0" fontId="7" fillId="0" borderId="0" xfId="6" applyFont="1" applyAlignment="1">
      <alignment vertical="top" wrapText="1"/>
    </xf>
    <xf numFmtId="0" fontId="2" fillId="0" borderId="0" xfId="6" applyFont="1" applyAlignment="1">
      <alignment horizontal="justify" vertical="center" wrapText="1"/>
    </xf>
    <xf numFmtId="0" fontId="2" fillId="0" borderId="0" xfId="6" applyFont="1" applyAlignment="1">
      <alignment vertical="center" wrapText="1"/>
    </xf>
    <xf numFmtId="166" fontId="19" fillId="0" borderId="0" xfId="7" applyFont="1" applyAlignment="1">
      <alignment horizontal="left" readingOrder="1"/>
    </xf>
    <xf numFmtId="0" fontId="17" fillId="0" borderId="0" xfId="6" applyFont="1" applyAlignment="1">
      <alignment horizontal="left" indent="1"/>
    </xf>
    <xf numFmtId="0" fontId="8" fillId="0" borderId="0" xfId="6" applyFont="1" applyAlignment="1">
      <alignment horizontal="left" vertical="center" indent="1"/>
    </xf>
    <xf numFmtId="0" fontId="20" fillId="0" borderId="0" xfId="6" applyFont="1"/>
    <xf numFmtId="0" fontId="2" fillId="0" borderId="0" xfId="6" applyFont="1" applyAlignment="1">
      <alignment horizontal="left" vertical="top"/>
    </xf>
    <xf numFmtId="0" fontId="8" fillId="0" borderId="0" xfId="6" applyFont="1" applyAlignment="1">
      <alignment horizontal="left"/>
    </xf>
    <xf numFmtId="0" fontId="5" fillId="0" borderId="0" xfId="6" applyFont="1" applyAlignment="1">
      <alignment horizontal="left" vertical="top" wrapText="1"/>
    </xf>
    <xf numFmtId="0" fontId="8" fillId="0" borderId="0" xfId="6" applyFont="1"/>
    <xf numFmtId="166" fontId="14" fillId="0" borderId="0" xfId="4" quotePrefix="1" applyFont="1" applyAlignment="1">
      <alignment horizontal="right"/>
    </xf>
    <xf numFmtId="0" fontId="2" fillId="0" borderId="0" xfId="6" applyFont="1"/>
    <xf numFmtId="166" fontId="8" fillId="0" borderId="0" xfId="4" applyFont="1"/>
    <xf numFmtId="0" fontId="21" fillId="0" borderId="0" xfId="5" applyFont="1" applyAlignment="1">
      <alignment horizontal="right"/>
    </xf>
    <xf numFmtId="166" fontId="0" fillId="0" borderId="0" xfId="4" applyFont="1"/>
    <xf numFmtId="0" fontId="5" fillId="0" borderId="0" xfId="8" applyFont="1" applyAlignment="1">
      <alignment wrapText="1"/>
    </xf>
    <xf numFmtId="0" fontId="5" fillId="0" borderId="0" xfId="8" applyFont="1" applyAlignment="1">
      <alignment horizontal="justify" wrapText="1"/>
    </xf>
    <xf numFmtId="0" fontId="2" fillId="0" borderId="0" xfId="4" applyNumberFormat="1" applyFont="1"/>
    <xf numFmtId="0" fontId="2" fillId="0" borderId="0" xfId="8" applyFont="1" applyAlignment="1">
      <alignment vertical="center" wrapText="1"/>
    </xf>
    <xf numFmtId="0" fontId="2" fillId="0" borderId="0" xfId="8" applyFont="1" applyAlignment="1">
      <alignment horizontal="justify" wrapText="1"/>
    </xf>
    <xf numFmtId="3" fontId="0" fillId="0" borderId="0" xfId="4" applyNumberFormat="1" applyFont="1"/>
    <xf numFmtId="166" fontId="3" fillId="0" borderId="0" xfId="4"/>
    <xf numFmtId="166" fontId="17" fillId="0" borderId="0" xfId="4" applyFont="1" applyAlignment="1">
      <alignment horizontal="left" indent="1"/>
    </xf>
    <xf numFmtId="166" fontId="8" fillId="0" borderId="0" xfId="4" applyFont="1" applyAlignment="1">
      <alignment horizontal="left" vertical="center" indent="1"/>
    </xf>
    <xf numFmtId="166" fontId="20" fillId="0" borderId="0" xfId="4" applyFont="1"/>
    <xf numFmtId="166" fontId="17" fillId="0" borderId="0" xfId="4" applyFont="1"/>
    <xf numFmtId="166" fontId="8" fillId="0" borderId="0" xfId="4" applyFont="1" applyAlignment="1">
      <alignment horizontal="left"/>
    </xf>
    <xf numFmtId="166" fontId="17" fillId="0" borderId="0" xfId="4" applyFont="1" applyAlignment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/>
    <xf numFmtId="0" fontId="21" fillId="0" borderId="0" xfId="5" applyFont="1"/>
    <xf numFmtId="0" fontId="8" fillId="0" borderId="0" xfId="6" applyFont="1" applyAlignment="1">
      <alignment vertical="top" wrapText="1"/>
    </xf>
    <xf numFmtId="166" fontId="21" fillId="0" borderId="0" xfId="4" applyFont="1" applyAlignment="1">
      <alignment horizontal="right"/>
    </xf>
    <xf numFmtId="0" fontId="23" fillId="4" borderId="0" xfId="10" applyFont="1" applyFill="1" applyAlignment="1">
      <alignment horizontal="left"/>
    </xf>
    <xf numFmtId="166" fontId="23" fillId="4" borderId="5" xfId="4" applyFont="1" applyFill="1" applyBorder="1"/>
    <xf numFmtId="167" fontId="23" fillId="4" borderId="5" xfId="4" applyNumberFormat="1" applyFont="1" applyFill="1" applyBorder="1" applyAlignment="1">
      <alignment horizontal="right"/>
    </xf>
    <xf numFmtId="2" fontId="23" fillId="4" borderId="5" xfId="4" applyNumberFormat="1" applyFont="1" applyFill="1" applyBorder="1" applyAlignment="1">
      <alignment horizontal="right" indent="1"/>
    </xf>
    <xf numFmtId="0" fontId="7" fillId="0" borderId="0" xfId="10" applyFont="1" applyAlignment="1">
      <alignment vertical="top" wrapText="1"/>
    </xf>
    <xf numFmtId="166" fontId="24" fillId="2" borderId="0" xfId="4" applyFont="1" applyFill="1" applyAlignment="1">
      <alignment horizontal="left"/>
    </xf>
    <xf numFmtId="3" fontId="7" fillId="2" borderId="0" xfId="4" applyNumberFormat="1" applyFont="1" applyFill="1" applyAlignment="1">
      <alignment horizontal="right"/>
    </xf>
    <xf numFmtId="167" fontId="5" fillId="2" borderId="0" xfId="4" applyNumberFormat="1" applyFont="1" applyFill="1" applyAlignment="1">
      <alignment horizontal="right"/>
    </xf>
    <xf numFmtId="166" fontId="5" fillId="2" borderId="0" xfId="4" applyFont="1" applyFill="1" applyAlignment="1">
      <alignment horizontal="left" indent="1"/>
    </xf>
    <xf numFmtId="166" fontId="5" fillId="2" borderId="5" xfId="4" applyFont="1" applyFill="1" applyBorder="1" applyAlignment="1">
      <alignment horizontal="left" indent="1"/>
    </xf>
    <xf numFmtId="167" fontId="5" fillId="2" borderId="5" xfId="4" applyNumberFormat="1" applyFont="1" applyFill="1" applyBorder="1" applyAlignment="1">
      <alignment horizontal="right"/>
    </xf>
    <xf numFmtId="165" fontId="2" fillId="0" borderId="0" xfId="3" applyNumberFormat="1" applyFont="1" applyAlignment="1">
      <alignment horizontal="right" indent="1"/>
    </xf>
    <xf numFmtId="166" fontId="2" fillId="0" borderId="0" xfId="4" applyFont="1" applyAlignment="1">
      <alignment horizontal="left"/>
    </xf>
    <xf numFmtId="1" fontId="18" fillId="0" borderId="0" xfId="4" applyNumberFormat="1" applyFont="1" applyAlignment="1">
      <alignment horizontal="right" indent="1"/>
    </xf>
    <xf numFmtId="0" fontId="2" fillId="0" borderId="0" xfId="4" applyNumberFormat="1" applyFont="1" applyAlignment="1">
      <alignment horizontal="left"/>
    </xf>
    <xf numFmtId="0" fontId="3" fillId="0" borderId="0" xfId="11"/>
    <xf numFmtId="0" fontId="1" fillId="0" borderId="0" xfId="11" applyFont="1"/>
    <xf numFmtId="0" fontId="25" fillId="0" borderId="0" xfId="11" applyFont="1"/>
    <xf numFmtId="0" fontId="26" fillId="0" borderId="0" xfId="11" applyFont="1"/>
    <xf numFmtId="0" fontId="8" fillId="0" borderId="0" xfId="11" applyFont="1"/>
    <xf numFmtId="0" fontId="8" fillId="0" borderId="0" xfId="11" applyFont="1" applyAlignment="1">
      <alignment horizontal="right" vertical="center"/>
    </xf>
    <xf numFmtId="0" fontId="26" fillId="2" borderId="0" xfId="11" applyFont="1" applyFill="1" applyAlignment="1">
      <alignment horizontal="left" indent="1"/>
    </xf>
    <xf numFmtId="0" fontId="27" fillId="2" borderId="0" xfId="11" applyFont="1" applyFill="1" applyAlignment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Alignment="1">
      <alignment horizontal="right"/>
    </xf>
    <xf numFmtId="168" fontId="5" fillId="2" borderId="0" xfId="4" applyNumberFormat="1" applyFont="1" applyFill="1" applyAlignment="1">
      <alignment horizontal="right"/>
    </xf>
    <xf numFmtId="168" fontId="5" fillId="2" borderId="5" xfId="4" applyNumberFormat="1" applyFont="1" applyFill="1" applyBorder="1" applyAlignment="1">
      <alignment horizontal="right"/>
    </xf>
    <xf numFmtId="0" fontId="11" fillId="3" borderId="2" xfId="1" quotePrefix="1" applyFont="1" applyFill="1" applyBorder="1" applyAlignment="1">
      <alignment horizontal="right" indent="1"/>
    </xf>
    <xf numFmtId="0" fontId="23" fillId="4" borderId="5" xfId="4" quotePrefix="1" applyNumberFormat="1" applyFont="1" applyFill="1" applyBorder="1" applyAlignment="1">
      <alignment horizontal="right" indent="1"/>
    </xf>
    <xf numFmtId="0" fontId="23" fillId="4" borderId="5" xfId="4" applyNumberFormat="1" applyFont="1" applyFill="1" applyBorder="1" applyAlignment="1">
      <alignment horizontal="right" indent="1"/>
    </xf>
    <xf numFmtId="11" fontId="0" fillId="0" borderId="0" xfId="0" applyNumberFormat="1"/>
    <xf numFmtId="166" fontId="43" fillId="0" borderId="0" xfId="4" applyFont="1"/>
    <xf numFmtId="0" fontId="44" fillId="0" borderId="0" xfId="6" applyFont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Alignment="1">
      <alignment horizontal="right" indent="1"/>
    </xf>
    <xf numFmtId="165" fontId="44" fillId="2" borderId="0" xfId="3" applyNumberFormat="1" applyFont="1" applyFill="1" applyAlignment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>
      <alignment horizontal="right" indent="1"/>
    </xf>
    <xf numFmtId="165" fontId="43" fillId="2" borderId="3" xfId="3" applyNumberFormat="1" applyFont="1" applyFill="1" applyBorder="1" applyAlignment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166" fontId="44" fillId="2" borderId="0" xfId="4" applyFont="1" applyFill="1" applyAlignment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Alignment="1">
      <alignment horizontal="right" indent="1"/>
    </xf>
    <xf numFmtId="165" fontId="44" fillId="2" borderId="1" xfId="3" applyNumberFormat="1" applyFont="1" applyFill="1" applyBorder="1" applyAlignment="1">
      <alignment horizontal="right" indent="1"/>
    </xf>
    <xf numFmtId="3" fontId="43" fillId="2" borderId="1" xfId="3" applyNumberFormat="1" applyFont="1" applyFill="1" applyBorder="1"/>
    <xf numFmtId="165" fontId="43" fillId="2" borderId="1" xfId="3" applyNumberFormat="1" applyFont="1" applyFill="1" applyBorder="1" applyAlignment="1">
      <alignment horizontal="right" indent="1"/>
    </xf>
    <xf numFmtId="3" fontId="43" fillId="0" borderId="4" xfId="3" applyNumberFormat="1" applyFont="1" applyBorder="1"/>
    <xf numFmtId="3" fontId="43" fillId="0" borderId="4" xfId="3" applyNumberFormat="1" applyFont="1" applyBorder="1" applyAlignment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>
      <alignment horizontal="right" indent="1"/>
    </xf>
    <xf numFmtId="165" fontId="44" fillId="2" borderId="26" xfId="3" applyNumberFormat="1" applyFont="1" applyFill="1" applyBorder="1" applyAlignment="1">
      <alignment horizontal="right" indent="1"/>
    </xf>
    <xf numFmtId="165" fontId="43" fillId="2" borderId="26" xfId="3" applyNumberFormat="1" applyFont="1" applyFill="1" applyBorder="1" applyAlignment="1">
      <alignment horizontal="right" indent="1"/>
    </xf>
    <xf numFmtId="165" fontId="44" fillId="0" borderId="8" xfId="2" applyNumberFormat="1" applyFont="1" applyBorder="1" applyAlignment="1">
      <alignment horizontal="left"/>
    </xf>
    <xf numFmtId="165" fontId="44" fillId="0" borderId="8" xfId="3" applyNumberFormat="1" applyFont="1" applyBorder="1" applyAlignment="1">
      <alignment horizontal="right" indent="1"/>
    </xf>
    <xf numFmtId="166" fontId="42" fillId="9" borderId="29" xfId="4" applyFont="1" applyFill="1" applyBorder="1" applyAlignment="1">
      <alignment horizontal="center" vertical="center"/>
    </xf>
    <xf numFmtId="3" fontId="43" fillId="0" borderId="30" xfId="3" applyNumberFormat="1" applyFont="1" applyBorder="1" applyAlignment="1">
      <alignment horizontal="right" indent="1"/>
    </xf>
    <xf numFmtId="3" fontId="44" fillId="0" borderId="8" xfId="3" applyNumberFormat="1" applyFont="1" applyBorder="1" applyAlignment="1">
      <alignment horizontal="right" indent="1"/>
    </xf>
    <xf numFmtId="3" fontId="44" fillId="0" borderId="28" xfId="3" applyNumberFormat="1" applyFont="1" applyBorder="1" applyAlignment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3" fontId="5" fillId="2" borderId="0" xfId="3" applyNumberFormat="1" applyFont="1" applyFill="1" applyAlignment="1">
      <alignment horizontal="right" indent="1"/>
    </xf>
    <xf numFmtId="3" fontId="9" fillId="2" borderId="0" xfId="3" applyNumberFormat="1" applyFont="1" applyFill="1" applyAlignment="1">
      <alignment horizontal="right" indent="1"/>
    </xf>
    <xf numFmtId="3" fontId="7" fillId="2" borderId="2" xfId="3" applyNumberFormat="1" applyFont="1" applyFill="1" applyBorder="1" applyAlignment="1">
      <alignment horizontal="right" indent="1"/>
    </xf>
    <xf numFmtId="3" fontId="5" fillId="2" borderId="1" xfId="3" applyNumberFormat="1" applyFont="1" applyFill="1" applyBorder="1" applyAlignment="1">
      <alignment horizontal="right" indent="1"/>
    </xf>
    <xf numFmtId="3" fontId="7" fillId="2" borderId="1" xfId="3" applyNumberFormat="1" applyFont="1" applyFill="1" applyBorder="1" applyAlignment="1">
      <alignment horizontal="right" indent="1"/>
    </xf>
    <xf numFmtId="0" fontId="42" fillId="9" borderId="31" xfId="0" applyFont="1" applyFill="1" applyBorder="1" applyAlignment="1">
      <alignment horizontal="center"/>
    </xf>
    <xf numFmtId="165" fontId="44" fillId="2" borderId="32" xfId="3" applyNumberFormat="1" applyFont="1" applyFill="1" applyBorder="1" applyAlignment="1">
      <alignment horizontal="right" indent="1"/>
    </xf>
    <xf numFmtId="165" fontId="4" fillId="0" borderId="0" xfId="1" applyNumberFormat="1" applyFont="1"/>
    <xf numFmtId="4" fontId="4" fillId="0" borderId="0" xfId="1" applyNumberFormat="1" applyFont="1"/>
    <xf numFmtId="165" fontId="7" fillId="2" borderId="0" xfId="4" applyNumberFormat="1" applyFont="1" applyFill="1" applyAlignment="1">
      <alignment horizontal="right"/>
    </xf>
    <xf numFmtId="0" fontId="2" fillId="10" borderId="0" xfId="6" applyFont="1" applyFill="1"/>
    <xf numFmtId="165" fontId="3" fillId="0" borderId="0" xfId="4" applyNumberFormat="1"/>
    <xf numFmtId="165" fontId="2" fillId="0" borderId="0" xfId="6" applyNumberFormat="1" applyFont="1"/>
    <xf numFmtId="165" fontId="17" fillId="0" borderId="0" xfId="6" applyNumberFormat="1" applyFont="1"/>
    <xf numFmtId="165" fontId="7" fillId="2" borderId="2" xfId="4" applyNumberFormat="1" applyFont="1" applyFill="1" applyBorder="1"/>
    <xf numFmtId="3" fontId="7" fillId="0" borderId="0" xfId="3" applyNumberFormat="1" applyFont="1" applyAlignment="1">
      <alignment horizontal="right" indent="1"/>
    </xf>
    <xf numFmtId="165" fontId="7" fillId="0" borderId="0" xfId="3" applyNumberFormat="1" applyFont="1" applyAlignment="1">
      <alignment horizontal="right" indent="1"/>
    </xf>
    <xf numFmtId="3" fontId="7" fillId="2" borderId="2" xfId="4" applyNumberFormat="1" applyFont="1" applyFill="1" applyBorder="1" applyAlignment="1">
      <alignment horizontal="right" indent="1"/>
    </xf>
    <xf numFmtId="165" fontId="7" fillId="2" borderId="2" xfId="4" applyNumberFormat="1" applyFont="1" applyFill="1" applyBorder="1" applyAlignment="1">
      <alignment horizontal="right" indent="1"/>
    </xf>
    <xf numFmtId="0" fontId="47" fillId="11" borderId="10" xfId="30" applyAlignment="1">
      <alignment vertical="center"/>
    </xf>
    <xf numFmtId="0" fontId="47" fillId="11" borderId="10" xfId="31" applyAlignment="1">
      <alignment horizontal="center"/>
    </xf>
    <xf numFmtId="0" fontId="48" fillId="5" borderId="10" xfId="32" quotePrefix="1" applyAlignment="1">
      <alignment horizontal="left" vertical="center"/>
    </xf>
    <xf numFmtId="169" fontId="3" fillId="0" borderId="0" xfId="4" applyNumberFormat="1"/>
    <xf numFmtId="0" fontId="33" fillId="7" borderId="10" xfId="19" quotePrefix="1" applyAlignment="1">
      <alignment horizontal="center" vertical="center"/>
    </xf>
    <xf numFmtId="3" fontId="45" fillId="0" borderId="0" xfId="0" applyNumberFormat="1" applyFont="1"/>
    <xf numFmtId="168" fontId="45" fillId="0" borderId="0" xfId="0" applyNumberFormat="1" applyFont="1"/>
    <xf numFmtId="170" fontId="10" fillId="0" borderId="0" xfId="4" applyNumberFormat="1" applyFont="1"/>
    <xf numFmtId="0" fontId="49" fillId="0" borderId="0" xfId="0" applyFont="1"/>
    <xf numFmtId="172" fontId="0" fillId="0" borderId="0" xfId="0" applyNumberFormat="1"/>
    <xf numFmtId="171" fontId="45" fillId="0" borderId="0" xfId="0" applyNumberFormat="1" applyFont="1"/>
    <xf numFmtId="168" fontId="50" fillId="0" borderId="0" xfId="0" applyNumberFormat="1" applyFont="1"/>
    <xf numFmtId="0" fontId="50" fillId="0" borderId="0" xfId="0" applyFont="1"/>
    <xf numFmtId="164" fontId="45" fillId="0" borderId="0" xfId="0" applyNumberFormat="1" applyFont="1"/>
    <xf numFmtId="164" fontId="34" fillId="5" borderId="10" xfId="28" applyAlignment="1">
      <alignment horizontal="right" vertical="center"/>
    </xf>
    <xf numFmtId="10" fontId="34" fillId="5" borderId="10" xfId="17" applyAlignment="1">
      <alignment horizontal="right" vertical="center"/>
    </xf>
    <xf numFmtId="164" fontId="32" fillId="6" borderId="10" xfId="29" applyAlignment="1">
      <alignment horizontal="right" vertical="center"/>
    </xf>
    <xf numFmtId="10" fontId="32" fillId="6" borderId="10" xfId="15" applyAlignment="1">
      <alignment horizontal="right" vertical="center"/>
    </xf>
    <xf numFmtId="165" fontId="34" fillId="5" borderId="10" xfId="16" applyAlignment="1">
      <alignment horizontal="right" vertical="center"/>
    </xf>
    <xf numFmtId="165" fontId="32" fillId="6" borderId="10" xfId="13" applyAlignment="1">
      <alignment horizontal="right" vertical="center"/>
    </xf>
    <xf numFmtId="10" fontId="19" fillId="5" borderId="10" xfId="33" applyAlignment="1">
      <alignment horizontal="right" vertical="center"/>
    </xf>
    <xf numFmtId="173" fontId="34" fillId="5" borderId="10" xfId="16" applyNumberFormat="1">
      <alignment horizontal="right" vertical="center"/>
    </xf>
    <xf numFmtId="173" fontId="32" fillId="6" borderId="10" xfId="13" applyNumberFormat="1">
      <alignment horizontal="right" vertical="center"/>
    </xf>
    <xf numFmtId="173" fontId="0" fillId="0" borderId="0" xfId="0" applyNumberFormat="1"/>
    <xf numFmtId="0" fontId="33" fillId="7" borderId="10" xfId="23" quotePrefix="1" applyAlignment="1">
      <alignment horizontal="center"/>
    </xf>
    <xf numFmtId="0" fontId="47" fillId="11" borderId="10" xfId="31" quotePrefix="1" applyAlignment="1">
      <alignment horizontal="center"/>
    </xf>
    <xf numFmtId="0" fontId="33" fillId="7" borderId="10" xfId="19" quotePrefix="1" applyAlignment="1">
      <alignment horizontal="center" vertical="center"/>
    </xf>
    <xf numFmtId="174" fontId="45" fillId="0" borderId="0" xfId="34" applyNumberFormat="1" applyFont="1"/>
    <xf numFmtId="166" fontId="5" fillId="0" borderId="0" xfId="4" applyFont="1" applyAlignment="1">
      <alignment horizontal="justify" wrapText="1"/>
    </xf>
    <xf numFmtId="0" fontId="7" fillId="0" borderId="0" xfId="10" applyFont="1" applyAlignment="1">
      <alignment horizontal="left" vertical="top" wrapText="1"/>
    </xf>
    <xf numFmtId="2" fontId="23" fillId="4" borderId="0" xfId="4" quotePrefix="1" applyNumberFormat="1" applyFont="1" applyFill="1" applyAlignment="1">
      <alignment horizontal="right" indent="1"/>
    </xf>
    <xf numFmtId="2" fontId="23" fillId="4" borderId="0" xfId="4" applyNumberFormat="1" applyFont="1" applyFill="1" applyAlignment="1">
      <alignment horizontal="right" indent="1"/>
    </xf>
    <xf numFmtId="166" fontId="5" fillId="0" borderId="6" xfId="4" applyFont="1" applyBorder="1" applyAlignment="1">
      <alignment horizontal="left"/>
    </xf>
    <xf numFmtId="0" fontId="7" fillId="0" borderId="0" xfId="1" applyFont="1" applyAlignment="1">
      <alignment horizontal="left" vertical="top" wrapText="1"/>
    </xf>
    <xf numFmtId="3" fontId="11" fillId="3" borderId="2" xfId="2" applyNumberFormat="1" applyFont="1" applyFill="1" applyBorder="1" applyAlignment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0" xfId="2" applyFont="1" applyAlignment="1">
      <alignment horizontal="justify" vertical="center" wrapText="1"/>
    </xf>
    <xf numFmtId="0" fontId="5" fillId="0" borderId="0" xfId="2" applyFont="1" applyAlignment="1">
      <alignment horizontal="left"/>
    </xf>
    <xf numFmtId="0" fontId="5" fillId="0" borderId="7" xfId="4" applyNumberFormat="1" applyFont="1" applyBorder="1" applyAlignment="1">
      <alignment horizontal="justify"/>
    </xf>
    <xf numFmtId="0" fontId="5" fillId="0" borderId="0" xfId="4" applyNumberFormat="1" applyFont="1" applyAlignment="1">
      <alignment horizontal="justify" wrapText="1"/>
    </xf>
    <xf numFmtId="0" fontId="7" fillId="0" borderId="0" xfId="6" applyFont="1" applyAlignment="1">
      <alignment horizontal="left" vertical="top" wrapText="1"/>
    </xf>
    <xf numFmtId="166" fontId="7" fillId="0" borderId="0" xfId="4" applyFont="1" applyAlignment="1">
      <alignment horizontal="left" vertical="top" wrapText="1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47" fillId="11" borderId="10" xfId="31" quotePrefix="1" applyAlignment="1">
      <alignment horizont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7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7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35">
    <cellStyle name="consejo" xfId="25" xr:uid="{00000000-0005-0000-0000-000000000000}"/>
    <cellStyle name="Hipervínculo 2" xfId="12" xr:uid="{00000000-0005-0000-0000-000001000000}"/>
    <cellStyle name="Hipervínculo 3" xfId="9" xr:uid="{00000000-0005-0000-0000-000002000000}"/>
    <cellStyle name="MSTRStyle.Todos.c1_3d3d080f-6df6-44a9-b5f1-04b3c7a77bcb" xfId="22" xr:uid="{00000000-0005-0000-0000-000003000000}"/>
    <cellStyle name="MSTRStyle.Todos.c10_f4ec6803-3c9c-42db-8e64-4a966d1fcf79" xfId="31" xr:uid="{752F4119-93EB-483F-86BA-ABFFFA183B3C}"/>
    <cellStyle name="MSTRStyle.Todos.c13_ad47ecc7-7d15-4cb6-8d9a-93aa07ca2c9c" xfId="19" xr:uid="{00000000-0005-0000-0000-000004000000}"/>
    <cellStyle name="MSTRStyle.Todos.c16_3321957e-8d69-4b7d-b341-a61e10f4c85f" xfId="28" xr:uid="{00000000-0005-0000-0000-000005000000}"/>
    <cellStyle name="MSTRStyle.Todos.c16_992610b3-1d75-4a3b-aec2-5e10b699bccc" xfId="16" xr:uid="{00000000-0005-0000-0000-000006000000}"/>
    <cellStyle name="MSTRStyle.Todos.c18_2edb5857-a1bf-42f0-9a50-c8f838c8cf47" xfId="17" xr:uid="{00000000-0005-0000-0000-000007000000}"/>
    <cellStyle name="MSTRStyle.Todos.c19_064608f2-5935-4cf9-a2ea-5b767d2f9646" xfId="20" xr:uid="{00000000-0005-0000-0000-000008000000}"/>
    <cellStyle name="MSTRStyle.Todos.c2_e2ab52e8-4747-4d05-9824-941fa4c21d4d" xfId="14" xr:uid="{00000000-0005-0000-0000-000009000000}"/>
    <cellStyle name="MSTRStyle.Todos.c2_f50bc28b-be07-4640-987b-277588810208" xfId="30" xr:uid="{E1C143AA-C94F-45FC-8B52-0276A429C036}"/>
    <cellStyle name="MSTRStyle.Todos.c20_8265551a-eda9-4950-be81-f3edd1f706c5" xfId="26" xr:uid="{00000000-0005-0000-0000-00000A000000}"/>
    <cellStyle name="MSTRStyle.Todos.c21_3101a5c9-3ba0-4c6d-a6f9-97deae704e2f" xfId="27" xr:uid="{00000000-0005-0000-0000-00000B000000}"/>
    <cellStyle name="MSTRStyle.Todos.c21_6668c9a3-2aa2-48fb-8c2d-7bab965807c5" xfId="29" xr:uid="{00000000-0005-0000-0000-00000C000000}"/>
    <cellStyle name="MSTRStyle.Todos.c22_b4931035-0805-433b-baf6-e882aeb4ab92" xfId="21" xr:uid="{00000000-0005-0000-0000-00000D000000}"/>
    <cellStyle name="MSTRStyle.Todos.c23_da26eb4b-ec0b-4c23-ba57-a8c5e38b6641" xfId="13" xr:uid="{00000000-0005-0000-0000-00000E000000}"/>
    <cellStyle name="MSTRStyle.Todos.c24_277c111b-2fd6-40e0-9a71-ae0aed61da69" xfId="33" xr:uid="{E4E13A25-84FA-4D92-9574-DDAFD38278EB}"/>
    <cellStyle name="MSTRStyle.Todos.c24_ac422d6a-d102-4f53-b7ea-bd7f18181498" xfId="15" xr:uid="{00000000-0005-0000-0000-00000F000000}"/>
    <cellStyle name="MSTRStyle.Todos.c3_22694d2a-25c9-4a77-b7ec-578f9598a798" xfId="32" xr:uid="{6C3AFD25-FC45-4009-897D-69BFBDDBABA5}"/>
    <cellStyle name="MSTRStyle.Todos.c3_ee34052e-6a5a-4931-979c-9f16bd5045b9" xfId="18" xr:uid="{00000000-0005-0000-0000-000010000000}"/>
    <cellStyle name="MSTRStyle.Todos.c7_81c12adb-1e68-4af7-a308-cda2119f5b62" xfId="24" xr:uid="{00000000-0005-0000-0000-000011000000}"/>
    <cellStyle name="MSTRStyle.Todos.c9_caa3568f-cc2a-4a40-813f-c12ba6feac0e" xfId="23" xr:uid="{00000000-0005-0000-0000-000012000000}"/>
    <cellStyle name="Normal" xfId="0" builtinId="0"/>
    <cellStyle name="Normal 2" xfId="4" xr:uid="{00000000-0005-0000-0000-000014000000}"/>
    <cellStyle name="Normal 2 2" xfId="11" xr:uid="{00000000-0005-0000-0000-000015000000}"/>
    <cellStyle name="Normal 3 2" xfId="2" xr:uid="{00000000-0005-0000-0000-000016000000}"/>
    <cellStyle name="Normal 4 2" xfId="7" xr:uid="{00000000-0005-0000-0000-000017000000}"/>
    <cellStyle name="Normal 7" xfId="10" xr:uid="{00000000-0005-0000-0000-000018000000}"/>
    <cellStyle name="Normal_5 Regimen Especial" xfId="6" xr:uid="{00000000-0005-0000-0000-000019000000}"/>
    <cellStyle name="Normal_7 Red de Transporte - Salvo perdidas" xfId="8" xr:uid="{00000000-0005-0000-0000-00001A000000}"/>
    <cellStyle name="Normal_A1 Comparacion Internacional" xfId="5" xr:uid="{00000000-0005-0000-0000-00001B000000}"/>
    <cellStyle name="Normal_cuadro 1.1 2" xfId="3" xr:uid="{00000000-0005-0000-0000-00001C000000}"/>
    <cellStyle name="Normal_TTTTTTTT" xfId="1" xr:uid="{00000000-0005-0000-0000-00001D000000}"/>
    <cellStyle name="Porcentaje" xfId="34" builtinId="5"/>
  </cellStyles>
  <dxfs count="0"/>
  <tableStyles count="0" defaultTableStyle="TableStyleMedium2" defaultPivotStyle="PivotStyleLight16"/>
  <colors>
    <mruColors>
      <color rgb="FFF5F5F5"/>
      <color rgb="FFA99BBD"/>
      <color rgb="FF9FA5BD"/>
      <color rgb="FF9A5CBC"/>
      <color rgb="FFA0A0A0"/>
      <color rgb="FF6FB114"/>
      <color rgb="FFE48500"/>
      <color rgb="FF666666"/>
      <color rgb="FF8FA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EEA-45C4-9558-406490191873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EEA-45C4-9558-406490191873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EEA-45C4-9558-406490191873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EEA-45C4-9558-406490191873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EEA-45C4-9558-406490191873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EEA-45C4-9558-406490191873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EEA-45C4-9558-406490191873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EEA-45C4-9558-406490191873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EEA-45C4-9558-406490191873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EEA-45C4-9558-406490191873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BEEA-45C4-9558-406490191873}"/>
              </c:ext>
            </c:extLst>
          </c:dPt>
          <c:dPt>
            <c:idx val="11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7-BEEA-45C4-9558-406490191873}"/>
              </c:ext>
            </c:extLst>
          </c:dPt>
          <c:dLbls>
            <c:dLbl>
              <c:idx val="0"/>
              <c:layout>
                <c:manualLayout>
                  <c:x val="0.14634146341463403"/>
                  <c:y val="-0.117647058823529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A-45C4-9558-406490191873}"/>
                </c:ext>
              </c:extLst>
            </c:dLbl>
            <c:dLbl>
              <c:idx val="1"/>
              <c:layout>
                <c:manualLayout>
                  <c:x val="0.20487804878048779"/>
                  <c:y val="-1.69661880500231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A-45C4-9558-406490191873}"/>
                </c:ext>
              </c:extLst>
            </c:dLbl>
            <c:dLbl>
              <c:idx val="2"/>
              <c:layout>
                <c:manualLayout>
                  <c:x val="0.20162601626016249"/>
                  <c:y val="5.11110467809170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EEA-45C4-9558-406490191873}"/>
                </c:ext>
              </c:extLst>
            </c:dLbl>
            <c:dLbl>
              <c:idx val="3"/>
              <c:layout>
                <c:manualLayout>
                  <c:x val="0.38279418731195175"/>
                  <c:y val="3.06801181102362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30809055118110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EEA-45C4-9558-40649019187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A-45C4-9558-406490191873}"/>
                </c:ext>
              </c:extLst>
            </c:dLbl>
            <c:dLbl>
              <c:idx val="5"/>
              <c:layout>
                <c:manualLayout>
                  <c:x val="-0.15609743294283338"/>
                  <c:y val="0.171568627450980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EEA-45C4-9558-406490191873}"/>
                </c:ext>
              </c:extLst>
            </c:dLbl>
            <c:dLbl>
              <c:idx val="6"/>
              <c:layout>
                <c:manualLayout>
                  <c:x val="-0.1951219512195122"/>
                  <c:y val="6.00499999999999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EA-45C4-9558-406490191873}"/>
                </c:ext>
              </c:extLst>
            </c:dLbl>
            <c:dLbl>
              <c:idx val="7"/>
              <c:layout>
                <c:manualLayout>
                  <c:x val="-0.18099212598425196"/>
                  <c:y val="-7.27724409448819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EEA-45C4-9558-40649019187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EA-45C4-9558-406490191873}"/>
                </c:ext>
              </c:extLst>
            </c:dLbl>
            <c:dLbl>
              <c:idx val="9"/>
              <c:layout>
                <c:manualLayout>
                  <c:x val="-0.11219512195121957"/>
                  <c:y val="-0.157824803149606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52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EEA-45C4-9558-40649019187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EA-45C4-9558-406490191873}"/>
                </c:ext>
              </c:extLst>
            </c:dLbl>
            <c:dLbl>
              <c:idx val="11"/>
              <c:layout>
                <c:manualLayout>
                  <c:x val="0.14614582933230902"/>
                  <c:y val="-0.135244712058051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310492286025225"/>
                      <c:h val="0.175392156862745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BEEA-45C4-9558-40649019187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0.58348152363585259</c:v>
                </c:pt>
                <c:pt idx="1">
                  <c:v>3.8083059571665827</c:v>
                </c:pt>
                <c:pt idx="2">
                  <c:v>10.35771668285731</c:v>
                </c:pt>
                <c:pt idx="3">
                  <c:v>49.459019179712236</c:v>
                </c:pt>
                <c:pt idx="4">
                  <c:v>0</c:v>
                </c:pt>
                <c:pt idx="5">
                  <c:v>0.69531904810248424</c:v>
                </c:pt>
                <c:pt idx="6">
                  <c:v>2.861971244043656</c:v>
                </c:pt>
                <c:pt idx="7">
                  <c:v>2.861971244043656</c:v>
                </c:pt>
                <c:pt idx="8">
                  <c:v>1.0308316215023792E-2</c:v>
                </c:pt>
                <c:pt idx="9">
                  <c:v>6.5297986861990429</c:v>
                </c:pt>
                <c:pt idx="10">
                  <c:v>1.5438437486932837E-2</c:v>
                </c:pt>
                <c:pt idx="11">
                  <c:v>22.816669680537228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EEA-45C4-9558-4064901918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8BE-45E5-8605-BBA0B2133770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8BE-45E5-8605-BBA0B2133770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8BE-45E5-8605-BBA0B213377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BE-45E5-8605-BBA0B2133770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8BE-45E5-8605-BBA0B2133770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8BE-45E5-8605-BBA0B2133770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8BE-45E5-8605-BBA0B2133770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8BE-45E5-8605-BBA0B2133770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8BE-45E5-8605-BBA0B2133770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8BE-45E5-8605-BBA0B2133770}"/>
              </c:ext>
            </c:extLst>
          </c:dPt>
          <c:dPt>
            <c:idx val="10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5-B8BE-45E5-8605-BBA0B2133770}"/>
              </c:ext>
            </c:extLst>
          </c:dPt>
          <c:dLbls>
            <c:dLbl>
              <c:idx val="0"/>
              <c:layout>
                <c:manualLayout>
                  <c:x val="0.12032520325203253"/>
                  <c:y val="-0.112745098039215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E-45E5-8605-BBA0B2133770}"/>
                </c:ext>
              </c:extLst>
            </c:dLbl>
            <c:dLbl>
              <c:idx val="1"/>
              <c:layout>
                <c:manualLayout>
                  <c:x val="0.16910569105691056"/>
                  <c:y val="-7.35294117647059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E-45E5-8605-BBA0B2133770}"/>
                </c:ext>
              </c:extLst>
            </c:dLbl>
            <c:dLbl>
              <c:idx val="2"/>
              <c:layout>
                <c:manualLayout>
                  <c:x val="0.1983739837398373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E-45E5-8605-BBA0B2133770}"/>
                </c:ext>
              </c:extLst>
            </c:dLbl>
            <c:dLbl>
              <c:idx val="3"/>
              <c:layout>
                <c:manualLayout>
                  <c:x val="-0.12682926829268293"/>
                  <c:y val="0.192460317460317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BE-45E5-8605-BBA0B21337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BE-45E5-8605-BBA0B2133770}"/>
                </c:ext>
              </c:extLst>
            </c:dLbl>
            <c:dLbl>
              <c:idx val="5"/>
              <c:layout>
                <c:manualLayout>
                  <c:x val="-0.24390243902439024"/>
                  <c:y val="0.254803937007874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BE-45E5-8605-BBA0B2133770}"/>
                </c:ext>
              </c:extLst>
            </c:dLbl>
            <c:dLbl>
              <c:idx val="6"/>
              <c:layout>
                <c:manualLayout>
                  <c:x val="-0.25691056910569104"/>
                  <c:y val="0.132352755905511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BE-45E5-8605-BBA0B2133770}"/>
                </c:ext>
              </c:extLst>
            </c:dLbl>
            <c:dLbl>
              <c:idx val="7"/>
              <c:layout>
                <c:manualLayout>
                  <c:x val="-0.25040650406504067"/>
                  <c:y val="4.90196078431372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BE-45E5-8605-BBA0B2133770}"/>
                </c:ext>
              </c:extLst>
            </c:dLbl>
            <c:dLbl>
              <c:idx val="8"/>
              <c:layout>
                <c:manualLayout>
                  <c:x val="-0.18373996543115037"/>
                  <c:y val="-0.113264242704956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358090551181102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8BE-45E5-8605-BBA0B2133770}"/>
                </c:ext>
              </c:extLst>
            </c:dLbl>
            <c:dLbl>
              <c:idx val="9"/>
              <c:layout>
                <c:manualLayout>
                  <c:x val="-8.7364701363549124E-2"/>
                  <c:y val="-0.142325536513818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8BE-45E5-8605-BBA0B2133770}"/>
                </c:ext>
              </c:extLst>
            </c:dLbl>
            <c:dLbl>
              <c:idx val="10"/>
              <c:layout>
                <c:manualLayout>
                  <c:x val="3.0894308943089432E-2"/>
                  <c:y val="-0.161764705882352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05148988729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B8BE-45E5-8605-BBA0B21337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11.261253138102607</c:v>
                </c:pt>
                <c:pt idx="1">
                  <c:v>6.5083693509597991</c:v>
                </c:pt>
                <c:pt idx="2">
                  <c:v>28.15780168984114</c:v>
                </c:pt>
                <c:pt idx="3">
                  <c:v>38.419922086835143</c:v>
                </c:pt>
                <c:pt idx="4">
                  <c:v>0</c:v>
                </c:pt>
                <c:pt idx="5">
                  <c:v>0.53799096148572279</c:v>
                </c:pt>
                <c:pt idx="6">
                  <c:v>1.7461478746477508</c:v>
                </c:pt>
                <c:pt idx="7">
                  <c:v>1.7461478746477508</c:v>
                </c:pt>
                <c:pt idx="8">
                  <c:v>0.16656103055630617</c:v>
                </c:pt>
                <c:pt idx="9">
                  <c:v>11.356359603271372</c:v>
                </c:pt>
                <c:pt idx="10">
                  <c:v>9.9446389652398645E-2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BE-45E5-8605-BBA0B21337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jun.-22</c:v>
                </c:pt>
                <c:pt idx="1">
                  <c:v>jul.-22</c:v>
                </c:pt>
                <c:pt idx="2">
                  <c:v>ago.-22</c:v>
                </c:pt>
                <c:pt idx="3">
                  <c:v>sep.-22</c:v>
                </c:pt>
                <c:pt idx="4">
                  <c:v>oct.-22</c:v>
                </c:pt>
                <c:pt idx="5">
                  <c:v>nov.-22</c:v>
                </c:pt>
                <c:pt idx="6">
                  <c:v>dic.-22</c:v>
                </c:pt>
                <c:pt idx="7">
                  <c:v>ene.-23</c:v>
                </c:pt>
                <c:pt idx="8">
                  <c:v>feb.-23</c:v>
                </c:pt>
                <c:pt idx="9">
                  <c:v>mar.-23</c:v>
                </c:pt>
                <c:pt idx="10">
                  <c:v>abr.-23</c:v>
                </c:pt>
                <c:pt idx="11">
                  <c:v>may.-23</c:v>
                </c:pt>
                <c:pt idx="12">
                  <c:v>jun.-23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29.141857000000002</c:v>
                </c:pt>
                <c:pt idx="1">
                  <c:v>50.189168000000002</c:v>
                </c:pt>
                <c:pt idx="2">
                  <c:v>5.2653150000000002</c:v>
                </c:pt>
                <c:pt idx="3">
                  <c:v>-0.60380599999999995</c:v>
                </c:pt>
                <c:pt idx="4">
                  <c:v>-0.613232</c:v>
                </c:pt>
                <c:pt idx="5">
                  <c:v>-0.58811800000000003</c:v>
                </c:pt>
                <c:pt idx="6">
                  <c:v>-0.62679200000000002</c:v>
                </c:pt>
                <c:pt idx="7">
                  <c:v>-0.72771799999999998</c:v>
                </c:pt>
                <c:pt idx="8">
                  <c:v>-0.70697299999999996</c:v>
                </c:pt>
                <c:pt idx="9">
                  <c:v>-0.51834000000000002</c:v>
                </c:pt>
                <c:pt idx="10">
                  <c:v>-0.60865999999999998</c:v>
                </c:pt>
                <c:pt idx="11">
                  <c:v>-0.83296899999999996</c:v>
                </c:pt>
                <c:pt idx="12">
                  <c:v>3.1799559999999998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E-4BAA-AB4A-BDDE9C9AFA43}"/>
            </c:ext>
          </c:extLst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jun.-22</c:v>
                </c:pt>
                <c:pt idx="1">
                  <c:v>jul.-22</c:v>
                </c:pt>
                <c:pt idx="2">
                  <c:v>ago.-22</c:v>
                </c:pt>
                <c:pt idx="3">
                  <c:v>sep.-22</c:v>
                </c:pt>
                <c:pt idx="4">
                  <c:v>oct.-22</c:v>
                </c:pt>
                <c:pt idx="5">
                  <c:v>nov.-22</c:v>
                </c:pt>
                <c:pt idx="6">
                  <c:v>dic.-22</c:v>
                </c:pt>
                <c:pt idx="7">
                  <c:v>ene.-23</c:v>
                </c:pt>
                <c:pt idx="8">
                  <c:v>feb.-23</c:v>
                </c:pt>
                <c:pt idx="9">
                  <c:v>mar.-23</c:v>
                </c:pt>
                <c:pt idx="10">
                  <c:v>abr.-23</c:v>
                </c:pt>
                <c:pt idx="11">
                  <c:v>may.-23</c:v>
                </c:pt>
                <c:pt idx="12">
                  <c:v>jun.-23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85.898263999999998</c:v>
                </c:pt>
                <c:pt idx="1">
                  <c:v>121.496702</c:v>
                </c:pt>
                <c:pt idx="2">
                  <c:v>132.469054</c:v>
                </c:pt>
                <c:pt idx="3">
                  <c:v>93.246324000000001</c:v>
                </c:pt>
                <c:pt idx="4">
                  <c:v>60.668753000000002</c:v>
                </c:pt>
                <c:pt idx="5">
                  <c:v>32.393524999999997</c:v>
                </c:pt>
                <c:pt idx="6">
                  <c:v>28.980339000000001</c:v>
                </c:pt>
                <c:pt idx="7">
                  <c:v>54.403029000000004</c:v>
                </c:pt>
                <c:pt idx="8">
                  <c:v>47.337153999999998</c:v>
                </c:pt>
                <c:pt idx="9">
                  <c:v>40.752212</c:v>
                </c:pt>
                <c:pt idx="10">
                  <c:v>36.577028999999996</c:v>
                </c:pt>
                <c:pt idx="11">
                  <c:v>47.925082000000003</c:v>
                </c:pt>
                <c:pt idx="12">
                  <c:v>77.204378999999989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E-4BAA-AB4A-BDDE9C9AFA43}"/>
            </c:ext>
          </c:extLst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jun.-22</c:v>
                </c:pt>
                <c:pt idx="1">
                  <c:v>jul.-22</c:v>
                </c:pt>
                <c:pt idx="2">
                  <c:v>ago.-22</c:v>
                </c:pt>
                <c:pt idx="3">
                  <c:v>sep.-22</c:v>
                </c:pt>
                <c:pt idx="4">
                  <c:v>oct.-22</c:v>
                </c:pt>
                <c:pt idx="5">
                  <c:v>nov.-22</c:v>
                </c:pt>
                <c:pt idx="6">
                  <c:v>dic.-22</c:v>
                </c:pt>
                <c:pt idx="7">
                  <c:v>ene.-23</c:v>
                </c:pt>
                <c:pt idx="8">
                  <c:v>feb.-23</c:v>
                </c:pt>
                <c:pt idx="9">
                  <c:v>mar.-23</c:v>
                </c:pt>
                <c:pt idx="10">
                  <c:v>abr.-23</c:v>
                </c:pt>
                <c:pt idx="11">
                  <c:v>may.-23</c:v>
                </c:pt>
                <c:pt idx="12">
                  <c:v>jun.-23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367.58788099999998</c:v>
                </c:pt>
                <c:pt idx="1">
                  <c:v>396.959791</c:v>
                </c:pt>
                <c:pt idx="2">
                  <c:v>456.377207</c:v>
                </c:pt>
                <c:pt idx="3">
                  <c:v>377.07382699999999</c:v>
                </c:pt>
                <c:pt idx="4">
                  <c:v>297.32130999999998</c:v>
                </c:pt>
                <c:pt idx="5">
                  <c:v>234.47985499999999</c:v>
                </c:pt>
                <c:pt idx="6">
                  <c:v>251.18496099999999</c:v>
                </c:pt>
                <c:pt idx="7">
                  <c:v>236.33414099999999</c:v>
                </c:pt>
                <c:pt idx="8">
                  <c:v>250.50749099999999</c:v>
                </c:pt>
                <c:pt idx="9">
                  <c:v>233.28242</c:v>
                </c:pt>
                <c:pt idx="10">
                  <c:v>207.738203</c:v>
                </c:pt>
                <c:pt idx="11">
                  <c:v>231.47546199999999</c:v>
                </c:pt>
                <c:pt idx="12">
                  <c:v>269.55010299999998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E-4BAA-AB4A-BDDE9C9AFA43}"/>
            </c:ext>
          </c:extLst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jun.-22</c:v>
                </c:pt>
                <c:pt idx="1">
                  <c:v>jul.-22</c:v>
                </c:pt>
                <c:pt idx="2">
                  <c:v>ago.-22</c:v>
                </c:pt>
                <c:pt idx="3">
                  <c:v>sep.-22</c:v>
                </c:pt>
                <c:pt idx="4">
                  <c:v>oct.-22</c:v>
                </c:pt>
                <c:pt idx="5">
                  <c:v>nov.-22</c:v>
                </c:pt>
                <c:pt idx="6">
                  <c:v>dic.-22</c:v>
                </c:pt>
                <c:pt idx="7">
                  <c:v>ene.-23</c:v>
                </c:pt>
                <c:pt idx="8">
                  <c:v>feb.-23</c:v>
                </c:pt>
                <c:pt idx="9">
                  <c:v>mar.-23</c:v>
                </c:pt>
                <c:pt idx="10">
                  <c:v>abr.-23</c:v>
                </c:pt>
                <c:pt idx="11">
                  <c:v>may.-23</c:v>
                </c:pt>
                <c:pt idx="12">
                  <c:v>jun.-23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6.1459E-2</c:v>
                </c:pt>
                <c:pt idx="1">
                  <c:v>3.0289E-2</c:v>
                </c:pt>
                <c:pt idx="2">
                  <c:v>3.2219999999999999E-2</c:v>
                </c:pt>
                <c:pt idx="3">
                  <c:v>1.2760000000000001E-2</c:v>
                </c:pt>
                <c:pt idx="4">
                  <c:v>2.8530000000000001E-3</c:v>
                </c:pt>
                <c:pt idx="5">
                  <c:v>2.5883E-2</c:v>
                </c:pt>
                <c:pt idx="6">
                  <c:v>0.100989</c:v>
                </c:pt>
                <c:pt idx="7">
                  <c:v>0.21573000000000001</c:v>
                </c:pt>
                <c:pt idx="8">
                  <c:v>0.18323999999999999</c:v>
                </c:pt>
                <c:pt idx="9">
                  <c:v>0.20035</c:v>
                </c:pt>
                <c:pt idx="10">
                  <c:v>0.12734500000000001</c:v>
                </c:pt>
                <c:pt idx="11">
                  <c:v>0.24965100000000001</c:v>
                </c:pt>
                <c:pt idx="12">
                  <c:v>5.6180000000000001E-2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CE-4BAA-AB4A-BDDE9C9AFA43}"/>
            </c:ext>
          </c:extLst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jun.-22</c:v>
                </c:pt>
                <c:pt idx="1">
                  <c:v>jul.-22</c:v>
                </c:pt>
                <c:pt idx="2">
                  <c:v>ago.-22</c:v>
                </c:pt>
                <c:pt idx="3">
                  <c:v>sep.-22</c:v>
                </c:pt>
                <c:pt idx="4">
                  <c:v>oct.-22</c:v>
                </c:pt>
                <c:pt idx="5">
                  <c:v>nov.-22</c:v>
                </c:pt>
                <c:pt idx="6">
                  <c:v>dic.-22</c:v>
                </c:pt>
                <c:pt idx="7">
                  <c:v>ene.-23</c:v>
                </c:pt>
                <c:pt idx="8">
                  <c:v>feb.-23</c:v>
                </c:pt>
                <c:pt idx="9">
                  <c:v>mar.-23</c:v>
                </c:pt>
                <c:pt idx="10">
                  <c:v>abr.-23</c:v>
                </c:pt>
                <c:pt idx="11">
                  <c:v>may.-23</c:v>
                </c:pt>
                <c:pt idx="12">
                  <c:v>jun.-23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29.26784</c:v>
                </c:pt>
                <c:pt idx="1">
                  <c:v>33.069572000000001</c:v>
                </c:pt>
                <c:pt idx="2">
                  <c:v>29.670628000000001</c:v>
                </c:pt>
                <c:pt idx="3">
                  <c:v>25.077711000000001</c:v>
                </c:pt>
                <c:pt idx="4">
                  <c:v>23.563777000000002</c:v>
                </c:pt>
                <c:pt idx="5">
                  <c:v>17.217534000000001</c:v>
                </c:pt>
                <c:pt idx="6">
                  <c:v>15.034399000000001</c:v>
                </c:pt>
                <c:pt idx="7">
                  <c:v>18.176791999999999</c:v>
                </c:pt>
                <c:pt idx="8">
                  <c:v>21.958507000000001</c:v>
                </c:pt>
                <c:pt idx="9">
                  <c:v>34.017825999999999</c:v>
                </c:pt>
                <c:pt idx="10">
                  <c:v>36.519472</c:v>
                </c:pt>
                <c:pt idx="11">
                  <c:v>33.460431999999997</c:v>
                </c:pt>
                <c:pt idx="12">
                  <c:v>35.587198000000001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CE-4BAA-AB4A-BDDE9C9AFA43}"/>
            </c:ext>
          </c:extLst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jun.-22</c:v>
                </c:pt>
                <c:pt idx="1">
                  <c:v>jul.-22</c:v>
                </c:pt>
                <c:pt idx="2">
                  <c:v>ago.-22</c:v>
                </c:pt>
                <c:pt idx="3">
                  <c:v>sep.-22</c:v>
                </c:pt>
                <c:pt idx="4">
                  <c:v>oct.-22</c:v>
                </c:pt>
                <c:pt idx="5">
                  <c:v>nov.-22</c:v>
                </c:pt>
                <c:pt idx="6">
                  <c:v>dic.-22</c:v>
                </c:pt>
                <c:pt idx="7">
                  <c:v>ene.-23</c:v>
                </c:pt>
                <c:pt idx="8">
                  <c:v>feb.-23</c:v>
                </c:pt>
                <c:pt idx="9">
                  <c:v>mar.-23</c:v>
                </c:pt>
                <c:pt idx="10">
                  <c:v>abr.-23</c:v>
                </c:pt>
                <c:pt idx="11">
                  <c:v>may.-23</c:v>
                </c:pt>
                <c:pt idx="12">
                  <c:v>jun.-23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0.111179</c:v>
                </c:pt>
                <c:pt idx="1">
                  <c:v>9.5128000000000004E-2</c:v>
                </c:pt>
                <c:pt idx="2">
                  <c:v>5.6752999999999998E-2</c:v>
                </c:pt>
                <c:pt idx="3">
                  <c:v>7.1924000000000002E-2</c:v>
                </c:pt>
                <c:pt idx="4">
                  <c:v>9.6991999999999995E-2</c:v>
                </c:pt>
                <c:pt idx="5">
                  <c:v>8.4503999999999996E-2</c:v>
                </c:pt>
                <c:pt idx="6">
                  <c:v>7.7099000000000001E-2</c:v>
                </c:pt>
                <c:pt idx="7">
                  <c:v>9.3608999999999998E-2</c:v>
                </c:pt>
                <c:pt idx="8">
                  <c:v>0.13599800000000001</c:v>
                </c:pt>
                <c:pt idx="9">
                  <c:v>0.11230800000000001</c:v>
                </c:pt>
                <c:pt idx="10">
                  <c:v>7.399E-2</c:v>
                </c:pt>
                <c:pt idx="11">
                  <c:v>9.0162999999999993E-2</c:v>
                </c:pt>
                <c:pt idx="12">
                  <c:v>8.4139000000000005E-2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CE-4BAA-AB4A-BDDE9C9AFA43}"/>
            </c:ext>
          </c:extLst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jun.-22</c:v>
                </c:pt>
                <c:pt idx="1">
                  <c:v>jul.-22</c:v>
                </c:pt>
                <c:pt idx="2">
                  <c:v>ago.-22</c:v>
                </c:pt>
                <c:pt idx="3">
                  <c:v>sep.-22</c:v>
                </c:pt>
                <c:pt idx="4">
                  <c:v>oct.-22</c:v>
                </c:pt>
                <c:pt idx="5">
                  <c:v>nov.-22</c:v>
                </c:pt>
                <c:pt idx="6">
                  <c:v>dic.-22</c:v>
                </c:pt>
                <c:pt idx="7">
                  <c:v>ene.-23</c:v>
                </c:pt>
                <c:pt idx="8">
                  <c:v>feb.-23</c:v>
                </c:pt>
                <c:pt idx="9">
                  <c:v>mar.-23</c:v>
                </c:pt>
                <c:pt idx="10">
                  <c:v>abr.-23</c:v>
                </c:pt>
                <c:pt idx="11">
                  <c:v>may.-23</c:v>
                </c:pt>
                <c:pt idx="12">
                  <c:v>jun.-23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1.5363420000000001</c:v>
                </c:pt>
                <c:pt idx="1">
                  <c:v>1.1719729999999999</c:v>
                </c:pt>
                <c:pt idx="2">
                  <c:v>5.1333999999999998E-2</c:v>
                </c:pt>
                <c:pt idx="3">
                  <c:v>2.0373130000000002</c:v>
                </c:pt>
                <c:pt idx="4">
                  <c:v>1.826864</c:v>
                </c:pt>
                <c:pt idx="5">
                  <c:v>2.5541079999999998</c:v>
                </c:pt>
                <c:pt idx="6">
                  <c:v>2.9410020000000001</c:v>
                </c:pt>
                <c:pt idx="7">
                  <c:v>3.055609</c:v>
                </c:pt>
                <c:pt idx="8">
                  <c:v>3.0516040000000002</c:v>
                </c:pt>
                <c:pt idx="9">
                  <c:v>3.5856219999999999</c:v>
                </c:pt>
                <c:pt idx="10">
                  <c:v>3.6202459999999999</c:v>
                </c:pt>
                <c:pt idx="11">
                  <c:v>3.5176020000000001</c:v>
                </c:pt>
                <c:pt idx="12">
                  <c:v>3.7894670000000001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CE-4BAA-AB4A-BDDE9C9AFA43}"/>
            </c:ext>
          </c:extLst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jun.-22</c:v>
                </c:pt>
                <c:pt idx="1">
                  <c:v>jul.-22</c:v>
                </c:pt>
                <c:pt idx="2">
                  <c:v>ago.-22</c:v>
                </c:pt>
                <c:pt idx="3">
                  <c:v>sep.-22</c:v>
                </c:pt>
                <c:pt idx="4">
                  <c:v>oct.-22</c:v>
                </c:pt>
                <c:pt idx="5">
                  <c:v>nov.-22</c:v>
                </c:pt>
                <c:pt idx="6">
                  <c:v>dic.-22</c:v>
                </c:pt>
                <c:pt idx="7">
                  <c:v>ene.-23</c:v>
                </c:pt>
                <c:pt idx="8">
                  <c:v>feb.-23</c:v>
                </c:pt>
                <c:pt idx="9">
                  <c:v>mar.-23</c:v>
                </c:pt>
                <c:pt idx="10">
                  <c:v>abr.-23</c:v>
                </c:pt>
                <c:pt idx="11">
                  <c:v>may.-23</c:v>
                </c:pt>
                <c:pt idx="12">
                  <c:v>jun.-23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13.186323</c:v>
                </c:pt>
                <c:pt idx="1">
                  <c:v>16.1606655</c:v>
                </c:pt>
                <c:pt idx="2">
                  <c:v>13.6723105</c:v>
                </c:pt>
                <c:pt idx="3">
                  <c:v>13.5816645</c:v>
                </c:pt>
                <c:pt idx="4">
                  <c:v>11.230755</c:v>
                </c:pt>
                <c:pt idx="5">
                  <c:v>10.188828000000001</c:v>
                </c:pt>
                <c:pt idx="6">
                  <c:v>10.4136255</c:v>
                </c:pt>
                <c:pt idx="7">
                  <c:v>7.3618245</c:v>
                </c:pt>
                <c:pt idx="8">
                  <c:v>9.8298860000000001</c:v>
                </c:pt>
                <c:pt idx="9">
                  <c:v>9.6378819999999994</c:v>
                </c:pt>
                <c:pt idx="10">
                  <c:v>10.65733</c:v>
                </c:pt>
                <c:pt idx="11">
                  <c:v>12.228600500000001</c:v>
                </c:pt>
                <c:pt idx="12">
                  <c:v>15.5976535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CE-4BAA-AB4A-BDDE9C9AFA43}"/>
            </c:ext>
          </c:extLst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13.186323</c:v>
                </c:pt>
                <c:pt idx="1">
                  <c:v>16.1606655</c:v>
                </c:pt>
                <c:pt idx="2">
                  <c:v>13.6723105</c:v>
                </c:pt>
                <c:pt idx="3">
                  <c:v>13.5816645</c:v>
                </c:pt>
                <c:pt idx="4">
                  <c:v>11.230755</c:v>
                </c:pt>
                <c:pt idx="5">
                  <c:v>10.188828000000001</c:v>
                </c:pt>
                <c:pt idx="6">
                  <c:v>10.4136255</c:v>
                </c:pt>
                <c:pt idx="7">
                  <c:v>7.3618245</c:v>
                </c:pt>
                <c:pt idx="8">
                  <c:v>9.8298860000000001</c:v>
                </c:pt>
                <c:pt idx="9">
                  <c:v>9.6378819999999994</c:v>
                </c:pt>
                <c:pt idx="10">
                  <c:v>10.65733</c:v>
                </c:pt>
                <c:pt idx="11">
                  <c:v>12.228600500000001</c:v>
                </c:pt>
                <c:pt idx="12">
                  <c:v>15.5976535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CE-4BAA-AB4A-BDDE9C9AFA43}"/>
            </c:ext>
          </c:extLst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jun.-22</c:v>
                </c:pt>
                <c:pt idx="1">
                  <c:v>jul.-22</c:v>
                </c:pt>
                <c:pt idx="2">
                  <c:v>ago.-22</c:v>
                </c:pt>
                <c:pt idx="3">
                  <c:v>sep.-22</c:v>
                </c:pt>
                <c:pt idx="4">
                  <c:v>oct.-22</c:v>
                </c:pt>
                <c:pt idx="5">
                  <c:v>nov.-22</c:v>
                </c:pt>
                <c:pt idx="6">
                  <c:v>dic.-22</c:v>
                </c:pt>
                <c:pt idx="7">
                  <c:v>ene.-23</c:v>
                </c:pt>
                <c:pt idx="8">
                  <c:v>feb.-23</c:v>
                </c:pt>
                <c:pt idx="9">
                  <c:v>mar.-23</c:v>
                </c:pt>
                <c:pt idx="10">
                  <c:v>abr.-23</c:v>
                </c:pt>
                <c:pt idx="11">
                  <c:v>may.-23</c:v>
                </c:pt>
                <c:pt idx="12">
                  <c:v>jun.-23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35.225064000000003</c:v>
                </c:pt>
                <c:pt idx="1">
                  <c:v>67.033137999999994</c:v>
                </c:pt>
                <c:pt idx="2">
                  <c:v>77.653036</c:v>
                </c:pt>
                <c:pt idx="3">
                  <c:v>70.647335999999996</c:v>
                </c:pt>
                <c:pt idx="4">
                  <c:v>61.365385000000003</c:v>
                </c:pt>
                <c:pt idx="5">
                  <c:v>55.991686000000001</c:v>
                </c:pt>
                <c:pt idx="6">
                  <c:v>79.778822000000005</c:v>
                </c:pt>
                <c:pt idx="7">
                  <c:v>123.950131</c:v>
                </c:pt>
                <c:pt idx="8">
                  <c:v>89.734262000000001</c:v>
                </c:pt>
                <c:pt idx="9">
                  <c:v>82.194308000000007</c:v>
                </c:pt>
                <c:pt idx="10">
                  <c:v>98.033413999999993</c:v>
                </c:pt>
                <c:pt idx="11">
                  <c:v>118.762416</c:v>
                </c:pt>
                <c:pt idx="12">
                  <c:v>124.350134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CE-4BAA-AB4A-BDDE9C9A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48296"/>
        <c:axId val="851548688"/>
      </c:barChart>
      <c:catAx>
        <c:axId val="85154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688"/>
        <c:crosses val="autoZero"/>
        <c:auto val="1"/>
        <c:lblAlgn val="ctr"/>
        <c:lblOffset val="100"/>
        <c:noMultiLvlLbl val="1"/>
      </c:catAx>
      <c:valAx>
        <c:axId val="851548688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2B7E-47AC-BF15-7A49F50B4E8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2B7E-47AC-BF15-7A49F50B4E88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2B7E-47AC-BF15-7A49F50B4E88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2B7E-47AC-BF15-7A49F50B4E88}"/>
              </c:ext>
            </c:extLst>
          </c:dPt>
          <c:dPt>
            <c:idx val="4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9-2B7E-47AC-BF15-7A49F50B4E88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2B7E-47AC-BF15-7A49F50B4E88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2B7E-47AC-BF15-7A49F50B4E88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2B7E-47AC-BF15-7A49F50B4E88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1-2B7E-47AC-BF15-7A49F50B4E88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2B7E-47AC-BF15-7A49F50B4E88}"/>
              </c:ext>
            </c:extLst>
          </c:dPt>
          <c:dLbls>
            <c:dLbl>
              <c:idx val="0"/>
              <c:layout>
                <c:manualLayout>
                  <c:x val="0.15609756097560964"/>
                  <c:y val="-0.102745098039215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E-47AC-BF15-7A49F50B4E88}"/>
                </c:ext>
              </c:extLst>
            </c:dLbl>
            <c:dLbl>
              <c:idx val="1"/>
              <c:layout>
                <c:manualLayout>
                  <c:x val="0.17235772357723578"/>
                  <c:y val="2.94117647058823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7E-47AC-BF15-7A49F50B4E88}"/>
                </c:ext>
              </c:extLst>
            </c:dLbl>
            <c:dLbl>
              <c:idx val="2"/>
              <c:layout>
                <c:manualLayout>
                  <c:x val="0.12520325203252033"/>
                  <c:y val="0.187666134012660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64701574803149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B7E-47AC-BF15-7A49F50B4E88}"/>
                </c:ext>
              </c:extLst>
            </c:dLbl>
            <c:dLbl>
              <c:idx val="3"/>
              <c:layout>
                <c:manualLayout>
                  <c:x val="-0.18536585365853658"/>
                  <c:y val="0.14460784313725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B7E-47AC-BF15-7A49F50B4E88}"/>
                </c:ext>
              </c:extLst>
            </c:dLbl>
            <c:dLbl>
              <c:idx val="4"/>
              <c:layout>
                <c:manualLayout>
                  <c:x val="-0.17235772357723578"/>
                  <c:y val="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7E-47AC-BF15-7A49F50B4E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7E-47AC-BF15-7A49F50B4E88}"/>
                </c:ext>
              </c:extLst>
            </c:dLbl>
            <c:dLbl>
              <c:idx val="6"/>
              <c:layout>
                <c:manualLayout>
                  <c:x val="-0.16910569105691056"/>
                  <c:y val="-9.80392156862745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7E-47AC-BF15-7A49F50B4E88}"/>
                </c:ext>
              </c:extLst>
            </c:dLbl>
            <c:dLbl>
              <c:idx val="7"/>
              <c:layout>
                <c:manualLayout>
                  <c:x val="-0.13983739837398373"/>
                  <c:y val="-0.122843307086614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7E-47AC-BF15-7A49F50B4E88}"/>
                </c:ext>
              </c:extLst>
            </c:dLbl>
            <c:dLbl>
              <c:idx val="8"/>
              <c:layout>
                <c:manualLayout>
                  <c:x val="-0.14796760770757317"/>
                  <c:y val="-0.134509842519685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349606299212591"/>
                      <c:h val="0.165809055118110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B7E-47AC-BF15-7A49F50B4E88}"/>
                </c:ext>
              </c:extLst>
            </c:dLbl>
            <c:dLbl>
              <c:idx val="9"/>
              <c:layout>
                <c:manualLayout>
                  <c:x val="7.4796747967479621E-2"/>
                  <c:y val="-0.146324880345839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2B7E-47AC-BF15-7A49F50B4E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14.900139920117756</c:v>
                </c:pt>
                <c:pt idx="1">
                  <c:v>15.911836320649089</c:v>
                </c:pt>
                <c:pt idx="2">
                  <c:v>14.747361846947818</c:v>
                </c:pt>
                <c:pt idx="3">
                  <c:v>26.442828904252945</c:v>
                </c:pt>
                <c:pt idx="4">
                  <c:v>1.1672244790183297</c:v>
                </c:pt>
                <c:pt idx="5">
                  <c:v>4.6444534243661281E-2</c:v>
                </c:pt>
                <c:pt idx="6">
                  <c:v>0.34588955765674062</c:v>
                </c:pt>
                <c:pt idx="7">
                  <c:v>19.811954972531275</c:v>
                </c:pt>
                <c:pt idx="8">
                  <c:v>6.4828302982611925</c:v>
                </c:pt>
                <c:pt idx="9">
                  <c:v>0.14348916632120617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7E-47AC-BF15-7A49F50B4E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B8D8-4D1B-8FB2-029AD8CC36A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B8D8-4D1B-8FB2-029AD8CC36A9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B8D8-4D1B-8FB2-029AD8CC36A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D8-4D1B-8FB2-029AD8CC36A9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9-B8D8-4D1B-8FB2-029AD8CC36A9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B-B8D8-4D1B-8FB2-029AD8CC36A9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D-B8D8-4D1B-8FB2-029AD8CC36A9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F-B8D8-4D1B-8FB2-029AD8CC36A9}"/>
              </c:ext>
            </c:extLst>
          </c:dPt>
          <c:dLbls>
            <c:dLbl>
              <c:idx val="0"/>
              <c:layout>
                <c:manualLayout>
                  <c:x val="0.17560975609756085"/>
                  <c:y val="-6.64705882352941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8-4D1B-8FB2-029AD8CC36A9}"/>
                </c:ext>
              </c:extLst>
            </c:dLbl>
            <c:dLbl>
              <c:idx val="1"/>
              <c:layout>
                <c:manualLayout>
                  <c:x val="0.17886178861788607"/>
                  <c:y val="-9.80392156862745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8-4D1B-8FB2-029AD8CC36A9}"/>
                </c:ext>
              </c:extLst>
            </c:dLbl>
            <c:dLbl>
              <c:idx val="2"/>
              <c:layout>
                <c:manualLayout>
                  <c:x val="0.18049074963190576"/>
                  <c:y val="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8D8-4D1B-8FB2-029AD8CC36A9}"/>
                </c:ext>
              </c:extLst>
            </c:dLbl>
            <c:dLbl>
              <c:idx val="3"/>
              <c:layout>
                <c:manualLayout>
                  <c:x val="-0.15609756097560976"/>
                  <c:y val="0.140866141732283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D8-4D1B-8FB2-029AD8CC36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D8-4D1B-8FB2-029AD8CC36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D8-4D1B-8FB2-029AD8CC36A9}"/>
                </c:ext>
              </c:extLst>
            </c:dLbl>
            <c:dLbl>
              <c:idx val="6"/>
              <c:layout>
                <c:manualLayout>
                  <c:x val="-0.19837398373983739"/>
                  <c:y val="2.79975297205496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D8-4D1B-8FB2-029AD8CC36A9}"/>
                </c:ext>
              </c:extLst>
            </c:dLbl>
            <c:dLbl>
              <c:idx val="7"/>
              <c:layout>
                <c:manualLayout>
                  <c:x val="-0.21463414634146341"/>
                  <c:y val="-4.17118264628686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D8-4D1B-8FB2-029AD8CC36A9}"/>
                </c:ext>
              </c:extLst>
            </c:dLbl>
            <c:dLbl>
              <c:idx val="8"/>
              <c:layout>
                <c:manualLayout>
                  <c:x val="-8.1302093335893985E-3"/>
                  <c:y val="-0.153106183418249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41495291029797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8D8-4D1B-8FB2-029AD8CC36A9}"/>
                </c:ext>
              </c:extLst>
            </c:dLbl>
            <c:dLbl>
              <c:idx val="9"/>
              <c:layout>
                <c:manualLayout>
                  <c:x val="-0.22439011586966268"/>
                  <c:y val="-8.74507874015748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35772357723573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8D8-4D1B-8FB2-029AD8CC36A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22.381559449602982</c:v>
                </c:pt>
                <c:pt idx="1">
                  <c:v>2.9478221363140649</c:v>
                </c:pt>
                <c:pt idx="2">
                  <c:v>11.919748100452599</c:v>
                </c:pt>
                <c:pt idx="3">
                  <c:v>49.340836720920883</c:v>
                </c:pt>
                <c:pt idx="4">
                  <c:v>0</c:v>
                </c:pt>
                <c:pt idx="5">
                  <c:v>3.9847452669001082E-2</c:v>
                </c:pt>
                <c:pt idx="6">
                  <c:v>0.11353752039594063</c:v>
                </c:pt>
                <c:pt idx="7">
                  <c:v>8.900130298925415</c:v>
                </c:pt>
                <c:pt idx="8">
                  <c:v>4.2631415726517945</c:v>
                </c:pt>
                <c:pt idx="9">
                  <c:v>9.3376748067325127E-2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D8-4D1B-8FB2-029AD8CC36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jun.-22</c:v>
                </c:pt>
                <c:pt idx="1">
                  <c:v>jul.-22</c:v>
                </c:pt>
                <c:pt idx="2">
                  <c:v>ago.-22</c:v>
                </c:pt>
                <c:pt idx="3">
                  <c:v>sep.-22</c:v>
                </c:pt>
                <c:pt idx="4">
                  <c:v>oct.-22</c:v>
                </c:pt>
                <c:pt idx="5">
                  <c:v>nov.-22</c:v>
                </c:pt>
                <c:pt idx="6">
                  <c:v>dic.-22</c:v>
                </c:pt>
                <c:pt idx="7">
                  <c:v>ene.-23</c:v>
                </c:pt>
                <c:pt idx="8">
                  <c:v>feb.-23</c:v>
                </c:pt>
                <c:pt idx="9">
                  <c:v>mar.-23</c:v>
                </c:pt>
                <c:pt idx="10">
                  <c:v>abr.-23</c:v>
                </c:pt>
                <c:pt idx="11">
                  <c:v>may.-23</c:v>
                </c:pt>
                <c:pt idx="12">
                  <c:v>jun.-23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0.28138299999999999</c:v>
                </c:pt>
                <c:pt idx="1">
                  <c:v>0.29436099999999998</c:v>
                </c:pt>
                <c:pt idx="2">
                  <c:v>0.29274699999999998</c:v>
                </c:pt>
                <c:pt idx="3">
                  <c:v>0.28892499999999999</c:v>
                </c:pt>
                <c:pt idx="4">
                  <c:v>0.29400900000000002</c:v>
                </c:pt>
                <c:pt idx="5">
                  <c:v>0.27748800000000001</c:v>
                </c:pt>
                <c:pt idx="6">
                  <c:v>0.28856799999999999</c:v>
                </c:pt>
                <c:pt idx="7">
                  <c:v>0.27497500000000002</c:v>
                </c:pt>
                <c:pt idx="8">
                  <c:v>0.25442500000000001</c:v>
                </c:pt>
                <c:pt idx="9">
                  <c:v>0.29023300000000002</c:v>
                </c:pt>
                <c:pt idx="10">
                  <c:v>0.27610800000000002</c:v>
                </c:pt>
                <c:pt idx="11">
                  <c:v>0.29790899999999998</c:v>
                </c:pt>
                <c:pt idx="12">
                  <c:v>0.28383700000000001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0-4520-9E59-43A6B46FC373}"/>
            </c:ext>
          </c:extLst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jun.-22</c:v>
                </c:pt>
                <c:pt idx="1">
                  <c:v>jul.-22</c:v>
                </c:pt>
                <c:pt idx="2">
                  <c:v>ago.-22</c:v>
                </c:pt>
                <c:pt idx="3">
                  <c:v>sep.-22</c:v>
                </c:pt>
                <c:pt idx="4">
                  <c:v>oct.-22</c:v>
                </c:pt>
                <c:pt idx="5">
                  <c:v>nov.-22</c:v>
                </c:pt>
                <c:pt idx="6">
                  <c:v>dic.-22</c:v>
                </c:pt>
                <c:pt idx="7">
                  <c:v>ene.-23</c:v>
                </c:pt>
                <c:pt idx="8">
                  <c:v>feb.-23</c:v>
                </c:pt>
                <c:pt idx="9">
                  <c:v>mar.-23</c:v>
                </c:pt>
                <c:pt idx="10">
                  <c:v>abr.-23</c:v>
                </c:pt>
                <c:pt idx="11">
                  <c:v>may.-23</c:v>
                </c:pt>
                <c:pt idx="12">
                  <c:v>jun.-23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215.54708500000001</c:v>
                </c:pt>
                <c:pt idx="1">
                  <c:v>238.315326</c:v>
                </c:pt>
                <c:pt idx="2">
                  <c:v>264.80231099999997</c:v>
                </c:pt>
                <c:pt idx="3">
                  <c:v>286.046403</c:v>
                </c:pt>
                <c:pt idx="4">
                  <c:v>308.95133199999998</c:v>
                </c:pt>
                <c:pt idx="5">
                  <c:v>271.88252899999998</c:v>
                </c:pt>
                <c:pt idx="6">
                  <c:v>312.87680900000004</c:v>
                </c:pt>
                <c:pt idx="7">
                  <c:v>282.44358199999999</c:v>
                </c:pt>
                <c:pt idx="8">
                  <c:v>296.20417700000002</c:v>
                </c:pt>
                <c:pt idx="9">
                  <c:v>261.84115199999997</c:v>
                </c:pt>
                <c:pt idx="10">
                  <c:v>260.1001</c:v>
                </c:pt>
                <c:pt idx="11">
                  <c:v>261.00792300000001</c:v>
                </c:pt>
                <c:pt idx="12">
                  <c:v>265.32891099999995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0-4520-9E59-43A6B46FC373}"/>
            </c:ext>
          </c:extLst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jun.-22</c:v>
                </c:pt>
                <c:pt idx="1">
                  <c:v>jul.-22</c:v>
                </c:pt>
                <c:pt idx="2">
                  <c:v>ago.-22</c:v>
                </c:pt>
                <c:pt idx="3">
                  <c:v>sep.-22</c:v>
                </c:pt>
                <c:pt idx="4">
                  <c:v>oct.-22</c:v>
                </c:pt>
                <c:pt idx="5">
                  <c:v>nov.-22</c:v>
                </c:pt>
                <c:pt idx="6">
                  <c:v>dic.-22</c:v>
                </c:pt>
                <c:pt idx="7">
                  <c:v>ene.-23</c:v>
                </c:pt>
                <c:pt idx="8">
                  <c:v>feb.-23</c:v>
                </c:pt>
                <c:pt idx="9">
                  <c:v>mar.-23</c:v>
                </c:pt>
                <c:pt idx="10">
                  <c:v>abr.-23</c:v>
                </c:pt>
                <c:pt idx="11">
                  <c:v>may.-23</c:v>
                </c:pt>
                <c:pt idx="12">
                  <c:v>jun.-23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283.58392400000002</c:v>
                </c:pt>
                <c:pt idx="1">
                  <c:v>295.51749599999999</c:v>
                </c:pt>
                <c:pt idx="2">
                  <c:v>269.79137200000002</c:v>
                </c:pt>
                <c:pt idx="3">
                  <c:v>285.29845599999999</c:v>
                </c:pt>
                <c:pt idx="4">
                  <c:v>305.38632699999999</c:v>
                </c:pt>
                <c:pt idx="5">
                  <c:v>309.74341800000002</c:v>
                </c:pt>
                <c:pt idx="6">
                  <c:v>347.66188299999999</c:v>
                </c:pt>
                <c:pt idx="7">
                  <c:v>279.418815</c:v>
                </c:pt>
                <c:pt idx="8">
                  <c:v>289.33312999999998</c:v>
                </c:pt>
                <c:pt idx="9">
                  <c:v>284.83144399999998</c:v>
                </c:pt>
                <c:pt idx="10">
                  <c:v>279.54366599999997</c:v>
                </c:pt>
                <c:pt idx="11">
                  <c:v>275.34098399999999</c:v>
                </c:pt>
                <c:pt idx="12">
                  <c:v>351.45923099999999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0-4520-9E59-43A6B46FC373}"/>
            </c:ext>
          </c:extLst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jun.-22</c:v>
                </c:pt>
                <c:pt idx="1">
                  <c:v>jul.-22</c:v>
                </c:pt>
                <c:pt idx="2">
                  <c:v>ago.-22</c:v>
                </c:pt>
                <c:pt idx="3">
                  <c:v>sep.-22</c:v>
                </c:pt>
                <c:pt idx="4">
                  <c:v>oct.-22</c:v>
                </c:pt>
                <c:pt idx="5">
                  <c:v>nov.-22</c:v>
                </c:pt>
                <c:pt idx="6">
                  <c:v>dic.-22</c:v>
                </c:pt>
                <c:pt idx="7">
                  <c:v>ene.-23</c:v>
                </c:pt>
                <c:pt idx="8">
                  <c:v>feb.-23</c:v>
                </c:pt>
                <c:pt idx="9">
                  <c:v>mar.-23</c:v>
                </c:pt>
                <c:pt idx="10">
                  <c:v>abr.-23</c:v>
                </c:pt>
                <c:pt idx="11">
                  <c:v>may.-23</c:v>
                </c:pt>
                <c:pt idx="12">
                  <c:v>jun.-23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2.44956</c:v>
                </c:pt>
                <c:pt idx="1">
                  <c:v>3.5629430000000002</c:v>
                </c:pt>
                <c:pt idx="2">
                  <c:v>3.5176750000000001</c:v>
                </c:pt>
                <c:pt idx="3">
                  <c:v>2.0750950000000001</c:v>
                </c:pt>
                <c:pt idx="4">
                  <c:v>1.3500719999999999</c:v>
                </c:pt>
                <c:pt idx="5">
                  <c:v>1.1694089999999999</c:v>
                </c:pt>
                <c:pt idx="6">
                  <c:v>0.36710399999999999</c:v>
                </c:pt>
                <c:pt idx="7">
                  <c:v>1.6495040000000001</c:v>
                </c:pt>
                <c:pt idx="8">
                  <c:v>0.82934099999999999</c:v>
                </c:pt>
                <c:pt idx="9">
                  <c:v>1.5724450000000001</c:v>
                </c:pt>
                <c:pt idx="10">
                  <c:v>1.573337</c:v>
                </c:pt>
                <c:pt idx="11">
                  <c:v>2.0671949999999999</c:v>
                </c:pt>
                <c:pt idx="12">
                  <c:v>0.80873799999999996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0-4520-9E59-43A6B46FC373}"/>
            </c:ext>
          </c:extLst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jun.-22</c:v>
                </c:pt>
                <c:pt idx="1">
                  <c:v>jul.-22</c:v>
                </c:pt>
                <c:pt idx="2">
                  <c:v>ago.-22</c:v>
                </c:pt>
                <c:pt idx="3">
                  <c:v>sep.-22</c:v>
                </c:pt>
                <c:pt idx="4">
                  <c:v>oct.-22</c:v>
                </c:pt>
                <c:pt idx="5">
                  <c:v>nov.-22</c:v>
                </c:pt>
                <c:pt idx="6">
                  <c:v>dic.-22</c:v>
                </c:pt>
                <c:pt idx="7">
                  <c:v>ene.-23</c:v>
                </c:pt>
                <c:pt idx="8">
                  <c:v>feb.-23</c:v>
                </c:pt>
                <c:pt idx="9">
                  <c:v>mar.-23</c:v>
                </c:pt>
                <c:pt idx="10">
                  <c:v>abr.-23</c:v>
                </c:pt>
                <c:pt idx="11">
                  <c:v>may.-23</c:v>
                </c:pt>
                <c:pt idx="12">
                  <c:v>jun.-23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160.356527</c:v>
                </c:pt>
                <c:pt idx="1">
                  <c:v>181.49906899999999</c:v>
                </c:pt>
                <c:pt idx="2">
                  <c:v>185.782734</c:v>
                </c:pt>
                <c:pt idx="3">
                  <c:v>123.26133799999999</c:v>
                </c:pt>
                <c:pt idx="4">
                  <c:v>85.078937999999994</c:v>
                </c:pt>
                <c:pt idx="5">
                  <c:v>102.221262</c:v>
                </c:pt>
                <c:pt idx="6">
                  <c:v>37.913117999999997</c:v>
                </c:pt>
                <c:pt idx="7">
                  <c:v>132.72816599999999</c:v>
                </c:pt>
                <c:pt idx="8">
                  <c:v>42.685206000000001</c:v>
                </c:pt>
                <c:pt idx="9">
                  <c:v>131.43829199999999</c:v>
                </c:pt>
                <c:pt idx="10">
                  <c:v>103.68509299999999</c:v>
                </c:pt>
                <c:pt idx="11">
                  <c:v>130.95020099999999</c:v>
                </c:pt>
                <c:pt idx="12">
                  <c:v>63.396431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0-4520-9E59-43A6B46FC373}"/>
            </c:ext>
          </c:extLst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jun.-22</c:v>
                </c:pt>
                <c:pt idx="1">
                  <c:v>jul.-22</c:v>
                </c:pt>
                <c:pt idx="2">
                  <c:v>ago.-22</c:v>
                </c:pt>
                <c:pt idx="3">
                  <c:v>sep.-22</c:v>
                </c:pt>
                <c:pt idx="4">
                  <c:v>oct.-22</c:v>
                </c:pt>
                <c:pt idx="5">
                  <c:v>nov.-22</c:v>
                </c:pt>
                <c:pt idx="6">
                  <c:v>dic.-22</c:v>
                </c:pt>
                <c:pt idx="7">
                  <c:v>ene.-23</c:v>
                </c:pt>
                <c:pt idx="8">
                  <c:v>feb.-23</c:v>
                </c:pt>
                <c:pt idx="9">
                  <c:v>mar.-23</c:v>
                </c:pt>
                <c:pt idx="10">
                  <c:v>abr.-23</c:v>
                </c:pt>
                <c:pt idx="11">
                  <c:v>may.-23</c:v>
                </c:pt>
                <c:pt idx="12">
                  <c:v>jun.-23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30.752493999999999</c:v>
                </c:pt>
                <c:pt idx="1">
                  <c:v>34.434815</c:v>
                </c:pt>
                <c:pt idx="2">
                  <c:v>32.263370000000002</c:v>
                </c:pt>
                <c:pt idx="3">
                  <c:v>26.538736</c:v>
                </c:pt>
                <c:pt idx="4">
                  <c:v>26.753266</c:v>
                </c:pt>
                <c:pt idx="5">
                  <c:v>23.169461999999999</c:v>
                </c:pt>
                <c:pt idx="6">
                  <c:v>19.006923</c:v>
                </c:pt>
                <c:pt idx="7">
                  <c:v>22.065138000000001</c:v>
                </c:pt>
                <c:pt idx="8">
                  <c:v>20.222797</c:v>
                </c:pt>
                <c:pt idx="9">
                  <c:v>32.125762000000002</c:v>
                </c:pt>
                <c:pt idx="10">
                  <c:v>29.890439000000001</c:v>
                </c:pt>
                <c:pt idx="11">
                  <c:v>30.462913</c:v>
                </c:pt>
                <c:pt idx="12">
                  <c:v>30.366741999999999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0-4520-9E59-43A6B46FC373}"/>
            </c:ext>
          </c:extLst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jun.-22</c:v>
                </c:pt>
                <c:pt idx="1">
                  <c:v>jul.-22</c:v>
                </c:pt>
                <c:pt idx="2">
                  <c:v>ago.-22</c:v>
                </c:pt>
                <c:pt idx="3">
                  <c:v>sep.-22</c:v>
                </c:pt>
                <c:pt idx="4">
                  <c:v>oct.-22</c:v>
                </c:pt>
                <c:pt idx="5">
                  <c:v>nov.-22</c:v>
                </c:pt>
                <c:pt idx="6">
                  <c:v>dic.-22</c:v>
                </c:pt>
                <c:pt idx="7">
                  <c:v>ene.-23</c:v>
                </c:pt>
                <c:pt idx="8">
                  <c:v>feb.-23</c:v>
                </c:pt>
                <c:pt idx="9">
                  <c:v>mar.-23</c:v>
                </c:pt>
                <c:pt idx="10">
                  <c:v>abr.-23</c:v>
                </c:pt>
                <c:pt idx="11">
                  <c:v>may.-23</c:v>
                </c:pt>
                <c:pt idx="12">
                  <c:v>jun.-23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0.696106</c:v>
                </c:pt>
                <c:pt idx="1">
                  <c:v>0.688222</c:v>
                </c:pt>
                <c:pt idx="2">
                  <c:v>0.71531400000000001</c:v>
                </c:pt>
                <c:pt idx="3">
                  <c:v>0.714812</c:v>
                </c:pt>
                <c:pt idx="4">
                  <c:v>0.73132799999999998</c:v>
                </c:pt>
                <c:pt idx="5">
                  <c:v>0.76498500000000003</c:v>
                </c:pt>
                <c:pt idx="6">
                  <c:v>0.78453200000000001</c:v>
                </c:pt>
                <c:pt idx="7">
                  <c:v>0.78413299999999997</c:v>
                </c:pt>
                <c:pt idx="8">
                  <c:v>0.71108700000000002</c:v>
                </c:pt>
                <c:pt idx="9">
                  <c:v>0.73842799999999997</c:v>
                </c:pt>
                <c:pt idx="10">
                  <c:v>0.63095199999999996</c:v>
                </c:pt>
                <c:pt idx="11">
                  <c:v>0.65055600000000002</c:v>
                </c:pt>
                <c:pt idx="12">
                  <c:v>0.66513100000000003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D0-4520-9E59-43A6B46F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50256"/>
        <c:axId val="891810736"/>
      </c:barChart>
      <c:catAx>
        <c:axId val="85155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810736"/>
        <c:crosses val="autoZero"/>
        <c:auto val="1"/>
        <c:lblAlgn val="ctr"/>
        <c:lblOffset val="100"/>
        <c:noMultiLvlLbl val="1"/>
      </c:catAx>
      <c:valAx>
        <c:axId val="89181073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50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1</xdr:row>
      <xdr:rowOff>114300</xdr:rowOff>
    </xdr:from>
    <xdr:to>
      <xdr:col>4</xdr:col>
      <xdr:colOff>409574</xdr:colOff>
      <xdr:row>2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2057E3-2298-458F-BD8F-FE7D60DC3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212E58-FDCF-4976-A0A4-FFEEF133A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114300</xdr:rowOff>
    </xdr:from>
    <xdr:to>
      <xdr:col>4</xdr:col>
      <xdr:colOff>114299</xdr:colOff>
      <xdr:row>2</xdr:row>
      <xdr:rowOff>65399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BA55EFE-58DA-4458-9D10-BF763A8A5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120650"/>
          <a:ext cx="1841499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4" y="495300"/>
    <xdr:ext cx="7704000" cy="9525"/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DD808A1B-637E-49A0-9B3F-DE1FFEC744CE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 editAs="oneCell">
    <xdr:from>
      <xdr:col>2</xdr:col>
      <xdr:colOff>28575</xdr:colOff>
      <xdr:row>1</xdr:row>
      <xdr:rowOff>123825</xdr:rowOff>
    </xdr:from>
    <xdr:to>
      <xdr:col>4</xdr:col>
      <xdr:colOff>130174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067006B-9AA2-4202-99DE-36455673D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FF1BC4B-2F3F-49AF-BC0F-C83FAD0EC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3" y="490171"/>
    <xdr:ext cx="8705613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7C4B017-3165-4D21-9E84-1E7CFF5EC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123825</xdr:rowOff>
    </xdr:from>
    <xdr:to>
      <xdr:col>4</xdr:col>
      <xdr:colOff>142874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166A40C-C5EB-40FA-A0C9-45EE1492C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3" y="495300"/>
    <xdr:ext cx="8701950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123824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011151C-71A4-4DF0-8BA0-9FD9F1261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84" customWidth="1"/>
    <col min="2" max="2" width="2.5703125" style="84" customWidth="1"/>
    <col min="3" max="3" width="16.42578125" style="84" customWidth="1"/>
    <col min="4" max="4" width="4.5703125" style="84" customWidth="1"/>
    <col min="5" max="5" width="95.5703125" style="84" customWidth="1"/>
    <col min="6" max="16384" width="11.42578125" style="84"/>
  </cols>
  <sheetData>
    <row r="1" spans="2:15" ht="0.75" customHeight="1"/>
    <row r="2" spans="2:15" ht="21" customHeight="1">
      <c r="B2" s="84" t="s">
        <v>50</v>
      </c>
      <c r="C2" s="85"/>
      <c r="D2" s="85"/>
      <c r="E2" s="29" t="s">
        <v>19</v>
      </c>
    </row>
    <row r="3" spans="2:15" ht="15" customHeight="1">
      <c r="C3" s="85"/>
      <c r="D3" s="85"/>
      <c r="E3" s="46" t="str">
        <f>Dat_01!A2</f>
        <v>Junio 2023</v>
      </c>
    </row>
    <row r="4" spans="2:15" s="87" customFormat="1" ht="20.25" customHeight="1">
      <c r="B4" s="86"/>
      <c r="C4" s="27" t="s">
        <v>46</v>
      </c>
    </row>
    <row r="5" spans="2:15" s="87" customFormat="1" ht="8.25" customHeight="1">
      <c r="B5" s="86"/>
      <c r="C5" s="88"/>
    </row>
    <row r="6" spans="2:15" s="87" customFormat="1" ht="3" customHeight="1">
      <c r="B6" s="86"/>
      <c r="C6" s="88"/>
    </row>
    <row r="7" spans="2:15" s="87" customFormat="1" ht="7.5" customHeight="1">
      <c r="B7" s="86"/>
      <c r="C7" s="89"/>
      <c r="D7" s="90"/>
      <c r="E7" s="90"/>
    </row>
    <row r="8" spans="2:15" ht="12.6" customHeight="1">
      <c r="D8" s="91" t="s">
        <v>51</v>
      </c>
      <c r="E8" s="92" t="str">
        <f>'SN1'!C7</f>
        <v>Componentes de la variación de la demanda Islas Baleares</v>
      </c>
    </row>
    <row r="9" spans="2:15" s="87" customFormat="1" ht="12.6" customHeight="1">
      <c r="B9" s="86"/>
      <c r="C9" s="93"/>
      <c r="D9" s="91" t="s">
        <v>51</v>
      </c>
      <c r="E9" s="92" t="str">
        <f>'SN2'!C7</f>
        <v>Componentes de la variación de la demanda Islas Canarias</v>
      </c>
      <c r="F9" s="84"/>
      <c r="G9" s="84"/>
      <c r="H9" s="84"/>
      <c r="I9" s="84"/>
      <c r="J9" s="84"/>
      <c r="K9" s="84"/>
      <c r="L9" s="84"/>
      <c r="M9" s="84"/>
      <c r="N9" s="84"/>
      <c r="O9" s="84"/>
    </row>
    <row r="10" spans="2:15" s="87" customFormat="1" ht="12.6" customHeight="1">
      <c r="B10" s="86"/>
      <c r="C10" s="93"/>
      <c r="D10" s="91" t="s">
        <v>51</v>
      </c>
      <c r="E10" s="92" t="s">
        <v>53</v>
      </c>
      <c r="F10" s="84"/>
      <c r="G10" s="84"/>
      <c r="H10" s="84"/>
      <c r="I10" s="84"/>
      <c r="J10" s="84"/>
      <c r="K10" s="84"/>
      <c r="L10" s="84"/>
      <c r="M10" s="84"/>
      <c r="N10" s="84"/>
      <c r="O10" s="84"/>
    </row>
    <row r="11" spans="2:15" ht="12.6" customHeight="1">
      <c r="D11" s="91" t="s">
        <v>51</v>
      </c>
      <c r="E11" s="92" t="str">
        <f>'SN4'!C7</f>
        <v>Estructura de potencia instalada Islas Baleares</v>
      </c>
    </row>
    <row r="12" spans="2:15" ht="12.6" customHeight="1">
      <c r="D12" s="91" t="s">
        <v>51</v>
      </c>
      <c r="E12" s="92" t="str">
        <f>'SN4'!C24</f>
        <v>Cobertura de la demanda mensual Islas Baleares</v>
      </c>
    </row>
    <row r="13" spans="2:15" ht="12.6" customHeight="1">
      <c r="D13" s="91" t="s">
        <v>51</v>
      </c>
      <c r="E13" s="92" t="str">
        <f>'SN5'!C7</f>
        <v xml:space="preserve">Evolución de la cobertura de la demanda de las Islas Baleares
</v>
      </c>
    </row>
    <row r="14" spans="2:15" ht="12.6" customHeight="1">
      <c r="D14" s="91" t="s">
        <v>51</v>
      </c>
      <c r="E14" s="92" t="str">
        <f>'SN6'!C7</f>
        <v>Estructura de potencia instalada Islas Canarias</v>
      </c>
    </row>
    <row r="15" spans="2:15" ht="12.6" customHeight="1">
      <c r="D15" s="91" t="s">
        <v>51</v>
      </c>
      <c r="E15" s="92" t="str">
        <f>'SN6'!C24</f>
        <v>Cobertura de la demanda mensual Islas Canarias</v>
      </c>
    </row>
    <row r="16" spans="2:15" ht="12.75" customHeight="1">
      <c r="D16" s="91" t="s">
        <v>51</v>
      </c>
      <c r="E16" s="92" t="str">
        <f>'SN7'!C7</f>
        <v xml:space="preserve">Evolución de la cobertura de la demanda de las Islas Canarias
</v>
      </c>
    </row>
    <row r="17" spans="2:5" s="87" customFormat="1" ht="7.5" customHeight="1">
      <c r="B17" s="86"/>
      <c r="C17" s="89"/>
      <c r="D17" s="90"/>
      <c r="E17" s="90"/>
    </row>
    <row r="18" spans="2:5" ht="12.75" customHeight="1"/>
  </sheetData>
  <hyperlinks>
    <hyperlink ref="E10" location="'SN3'!A1" display="'SN3'!A1" xr:uid="{00000000-0004-0000-0000-000000000000}"/>
    <hyperlink ref="E13" location="'SN5'!A1" display="'SN5'!A1" xr:uid="{00000000-0004-0000-0000-000001000000}"/>
    <hyperlink ref="E11" location="'SN4'!A1" display="'SN4'!A1" xr:uid="{00000000-0004-0000-0000-000002000000}"/>
    <hyperlink ref="E9" location="'SN2'!A1" display="'SN2'!A1" xr:uid="{00000000-0004-0000-0000-000003000000}"/>
    <hyperlink ref="E8" location="'SN1'!A1" display="'SN1'!A1" xr:uid="{00000000-0004-0000-0000-000004000000}"/>
    <hyperlink ref="E16" location="'SN7 A'!A1" display="'SN7 A'!A1" xr:uid="{00000000-0004-0000-0000-000005000000}"/>
    <hyperlink ref="E12" location="'SN4'!A1" display="'SN4'!A1" xr:uid="{00000000-0004-0000-0000-000006000000}"/>
    <hyperlink ref="E14" location="'SN6'!A1" display="'SN6'!A1" xr:uid="{00000000-0004-0000-0000-000007000000}"/>
    <hyperlink ref="E15" location="'SN6'!A1" display="'SN6'!A1" xr:uid="{00000000-0004-0000-0000-000008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G176"/>
  <sheetViews>
    <sheetView zoomScale="90" zoomScaleNormal="90" workbookViewId="0">
      <pane xSplit="1" ySplit="7" topLeftCell="B134" activePane="bottomRight" state="frozen"/>
      <selection pane="topRight" activeCell="B1" sqref="B1"/>
      <selection pane="bottomLeft" activeCell="A8" sqref="A8"/>
      <selection pane="bottomRight" activeCell="B151" sqref="B151"/>
    </sheetView>
  </sheetViews>
  <sheetFormatPr baseColWidth="10" defaultColWidth="11.42578125" defaultRowHeight="12"/>
  <cols>
    <col min="1" max="1" width="9.140625" style="102" bestFit="1" customWidth="1"/>
    <col min="2" max="2" width="16.42578125" style="102" bestFit="1" customWidth="1"/>
    <col min="3" max="3" width="30.42578125" style="102" bestFit="1" customWidth="1"/>
    <col min="4" max="4" width="25.7109375" style="102" bestFit="1" customWidth="1"/>
    <col min="5" max="5" width="26.28515625" style="102" bestFit="1" customWidth="1"/>
    <col min="6" max="6" width="40.28515625" style="102" bestFit="1" customWidth="1"/>
    <col min="7" max="7" width="30.42578125" style="102" bestFit="1" customWidth="1"/>
    <col min="8" max="8" width="25.5703125" style="102" bestFit="1" customWidth="1"/>
    <col min="9" max="9" width="26.140625" style="102" bestFit="1" customWidth="1"/>
    <col min="10" max="10" width="35.42578125" style="102" bestFit="1" customWidth="1"/>
    <col min="11" max="11" width="35.5703125" style="102" bestFit="1" customWidth="1"/>
    <col min="12" max="12" width="30.5703125" style="102" bestFit="1" customWidth="1"/>
    <col min="13" max="13" width="31.28515625" style="102" bestFit="1" customWidth="1"/>
    <col min="14" max="14" width="40.28515625" style="102" bestFit="1" customWidth="1"/>
    <col min="15" max="33" width="14.7109375" style="102" customWidth="1"/>
    <col min="34" max="16384" width="11.42578125" style="102"/>
  </cols>
  <sheetData>
    <row r="1" spans="1:33">
      <c r="A1" s="132" t="s">
        <v>67</v>
      </c>
      <c r="B1" s="132" t="s">
        <v>71</v>
      </c>
    </row>
    <row r="2" spans="1:33">
      <c r="A2" s="133" t="s">
        <v>123</v>
      </c>
      <c r="B2" s="133" t="s">
        <v>124</v>
      </c>
    </row>
    <row r="4" spans="1:33" ht="15">
      <c r="A4" s="134" t="s">
        <v>67</v>
      </c>
      <c r="B4" s="199" t="s">
        <v>123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</row>
    <row r="5" spans="1:33" ht="15">
      <c r="A5" s="134" t="s">
        <v>68</v>
      </c>
      <c r="B5" s="215" t="s">
        <v>15</v>
      </c>
      <c r="C5" s="216"/>
      <c r="D5" s="216"/>
      <c r="E5" s="216"/>
      <c r="F5" s="216"/>
      <c r="G5" s="216"/>
      <c r="H5" s="216"/>
      <c r="I5" s="217"/>
      <c r="J5" s="215" t="s">
        <v>14</v>
      </c>
      <c r="K5" s="216"/>
      <c r="L5" s="216"/>
      <c r="M5" s="216"/>
      <c r="N5" s="216"/>
      <c r="O5" s="216"/>
      <c r="P5" s="216"/>
      <c r="Q5" s="217"/>
      <c r="R5" s="215" t="s">
        <v>57</v>
      </c>
      <c r="S5" s="216"/>
      <c r="T5" s="216"/>
      <c r="U5" s="216"/>
      <c r="V5" s="216"/>
      <c r="W5" s="216"/>
      <c r="X5" s="216"/>
      <c r="Y5" s="217"/>
      <c r="Z5" s="215" t="s">
        <v>58</v>
      </c>
      <c r="AA5" s="216"/>
      <c r="AB5" s="216"/>
      <c r="AC5" s="216"/>
      <c r="AD5" s="216"/>
      <c r="AE5" s="216"/>
      <c r="AF5" s="216"/>
      <c r="AG5" s="216"/>
    </row>
    <row r="6" spans="1:33">
      <c r="A6" s="134" t="s">
        <v>69</v>
      </c>
      <c r="B6" s="183" t="s">
        <v>59</v>
      </c>
      <c r="C6" s="183" t="s">
        <v>60</v>
      </c>
      <c r="D6" s="183" t="s">
        <v>61</v>
      </c>
      <c r="E6" s="183" t="s">
        <v>62</v>
      </c>
      <c r="F6" s="183" t="s">
        <v>63</v>
      </c>
      <c r="G6" s="183" t="s">
        <v>64</v>
      </c>
      <c r="H6" s="183" t="s">
        <v>65</v>
      </c>
      <c r="I6" s="183" t="s">
        <v>66</v>
      </c>
      <c r="J6" s="183" t="s">
        <v>59</v>
      </c>
      <c r="K6" s="183" t="s">
        <v>60</v>
      </c>
      <c r="L6" s="183" t="s">
        <v>61</v>
      </c>
      <c r="M6" s="183" t="s">
        <v>62</v>
      </c>
      <c r="N6" s="183" t="s">
        <v>63</v>
      </c>
      <c r="O6" s="183" t="s">
        <v>64</v>
      </c>
      <c r="P6" s="183" t="s">
        <v>65</v>
      </c>
      <c r="Q6" s="183" t="s">
        <v>66</v>
      </c>
      <c r="R6" s="183" t="s">
        <v>59</v>
      </c>
      <c r="S6" s="183" t="s">
        <v>60</v>
      </c>
      <c r="T6" s="183" t="s">
        <v>61</v>
      </c>
      <c r="U6" s="183" t="s">
        <v>62</v>
      </c>
      <c r="V6" s="183" t="s">
        <v>63</v>
      </c>
      <c r="W6" s="183" t="s">
        <v>64</v>
      </c>
      <c r="X6" s="183" t="s">
        <v>65</v>
      </c>
      <c r="Y6" s="183" t="s">
        <v>66</v>
      </c>
      <c r="Z6" s="183" t="s">
        <v>59</v>
      </c>
      <c r="AA6" s="183" t="s">
        <v>60</v>
      </c>
      <c r="AB6" s="183" t="s">
        <v>61</v>
      </c>
      <c r="AC6" s="183" t="s">
        <v>62</v>
      </c>
      <c r="AD6" s="183" t="s">
        <v>63</v>
      </c>
      <c r="AE6" s="183" t="s">
        <v>64</v>
      </c>
      <c r="AF6" s="183" t="s">
        <v>65</v>
      </c>
      <c r="AG6" s="183" t="s">
        <v>66</v>
      </c>
    </row>
    <row r="7" spans="1:33">
      <c r="A7" s="134" t="s">
        <v>70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</row>
    <row r="8" spans="1:33">
      <c r="A8" s="133" t="s">
        <v>12</v>
      </c>
      <c r="B8" s="171">
        <v>0</v>
      </c>
      <c r="C8" s="171">
        <v>0</v>
      </c>
      <c r="D8" s="172">
        <v>0</v>
      </c>
      <c r="E8" s="171">
        <v>0</v>
      </c>
      <c r="F8" s="171">
        <v>0</v>
      </c>
      <c r="G8" s="172">
        <v>0</v>
      </c>
      <c r="H8" s="171">
        <v>0</v>
      </c>
      <c r="I8" s="172">
        <v>0</v>
      </c>
      <c r="J8" s="171">
        <v>0</v>
      </c>
      <c r="K8" s="171">
        <v>0</v>
      </c>
      <c r="L8" s="172">
        <v>0</v>
      </c>
      <c r="M8" s="171">
        <v>0</v>
      </c>
      <c r="N8" s="171">
        <v>0</v>
      </c>
      <c r="O8" s="172">
        <v>0</v>
      </c>
      <c r="P8" s="171">
        <v>0</v>
      </c>
      <c r="Q8" s="172">
        <v>0</v>
      </c>
      <c r="R8" s="171">
        <v>0</v>
      </c>
      <c r="S8" s="171">
        <v>0</v>
      </c>
      <c r="T8" s="172">
        <v>0</v>
      </c>
      <c r="U8" s="171">
        <v>0</v>
      </c>
      <c r="V8" s="171">
        <v>0</v>
      </c>
      <c r="W8" s="172">
        <v>0</v>
      </c>
      <c r="X8" s="171">
        <v>0</v>
      </c>
      <c r="Y8" s="172">
        <v>0</v>
      </c>
      <c r="Z8" s="171">
        <v>283.83699999999999</v>
      </c>
      <c r="AA8" s="171">
        <v>281.38299999999998</v>
      </c>
      <c r="AB8" s="172">
        <v>8.7212091999999998E-3</v>
      </c>
      <c r="AC8" s="171">
        <v>1677.4870000000001</v>
      </c>
      <c r="AD8" s="171">
        <v>1695.3969999999999</v>
      </c>
      <c r="AE8" s="172">
        <v>-1.0563897399999999E-2</v>
      </c>
      <c r="AF8" s="171">
        <v>3413.585</v>
      </c>
      <c r="AG8" s="172">
        <v>6.2618699200000003E-2</v>
      </c>
    </row>
    <row r="9" spans="1:33">
      <c r="A9" s="133" t="s">
        <v>11</v>
      </c>
      <c r="B9" s="171">
        <v>0</v>
      </c>
      <c r="C9" s="171">
        <v>0</v>
      </c>
      <c r="D9" s="172">
        <v>0</v>
      </c>
      <c r="E9" s="171">
        <v>0</v>
      </c>
      <c r="F9" s="171">
        <v>0</v>
      </c>
      <c r="G9" s="172">
        <v>0</v>
      </c>
      <c r="H9" s="171">
        <v>0</v>
      </c>
      <c r="I9" s="172">
        <v>0</v>
      </c>
      <c r="J9" s="171">
        <v>0</v>
      </c>
      <c r="K9" s="171">
        <v>0</v>
      </c>
      <c r="L9" s="172">
        <v>0</v>
      </c>
      <c r="M9" s="171">
        <v>0</v>
      </c>
      <c r="N9" s="171">
        <v>0</v>
      </c>
      <c r="O9" s="172">
        <v>0</v>
      </c>
      <c r="P9" s="171">
        <v>0</v>
      </c>
      <c r="Q9" s="172">
        <v>0</v>
      </c>
      <c r="R9" s="171">
        <v>3179.9560000000001</v>
      </c>
      <c r="S9" s="171">
        <v>29141.857</v>
      </c>
      <c r="T9" s="172">
        <v>-0.89088011789999999</v>
      </c>
      <c r="U9" s="171">
        <v>-214.70400000000001</v>
      </c>
      <c r="V9" s="171">
        <v>25629.67</v>
      </c>
      <c r="W9" s="172">
        <v>-1.008377166</v>
      </c>
      <c r="X9" s="171">
        <v>52807.830999999998</v>
      </c>
      <c r="Y9" s="172">
        <v>0.65728470880000001</v>
      </c>
      <c r="Z9" s="171">
        <v>0</v>
      </c>
      <c r="AA9" s="171">
        <v>0</v>
      </c>
      <c r="AB9" s="172">
        <v>0</v>
      </c>
      <c r="AC9" s="171">
        <v>0</v>
      </c>
      <c r="AD9" s="171">
        <v>0</v>
      </c>
      <c r="AE9" s="172">
        <v>0</v>
      </c>
      <c r="AF9" s="171">
        <v>0</v>
      </c>
      <c r="AG9" s="172">
        <v>0</v>
      </c>
    </row>
    <row r="10" spans="1:33">
      <c r="A10" s="133" t="s">
        <v>78</v>
      </c>
      <c r="B10" s="171">
        <v>14994.945</v>
      </c>
      <c r="C10" s="171">
        <v>16550.745999999999</v>
      </c>
      <c r="D10" s="172">
        <v>-9.4001865500000004E-2</v>
      </c>
      <c r="E10" s="171">
        <v>90644.66</v>
      </c>
      <c r="F10" s="171">
        <v>97765.686000000002</v>
      </c>
      <c r="G10" s="172">
        <v>-7.2837682500000001E-2</v>
      </c>
      <c r="H10" s="171">
        <v>187799.739</v>
      </c>
      <c r="I10" s="172">
        <v>-5.6721338400000001E-2</v>
      </c>
      <c r="J10" s="171">
        <v>15696.53</v>
      </c>
      <c r="K10" s="171">
        <v>15136.043</v>
      </c>
      <c r="L10" s="172">
        <v>3.7029955599999997E-2</v>
      </c>
      <c r="M10" s="171">
        <v>87311.369000000006</v>
      </c>
      <c r="N10" s="171">
        <v>88101.932000000001</v>
      </c>
      <c r="O10" s="172">
        <v>-8.9732765000000003E-3</v>
      </c>
      <c r="P10" s="171">
        <v>183782.304</v>
      </c>
      <c r="Q10" s="172">
        <v>-3.1747218700000003E-2</v>
      </c>
      <c r="R10" s="171">
        <v>20755.148000000001</v>
      </c>
      <c r="S10" s="171">
        <v>52984.196000000004</v>
      </c>
      <c r="T10" s="172">
        <v>-0.60827662650000003</v>
      </c>
      <c r="U10" s="171">
        <v>66842.554999999993</v>
      </c>
      <c r="V10" s="171">
        <v>220545.38099999999</v>
      </c>
      <c r="W10" s="172">
        <v>-0.69692153739999996</v>
      </c>
      <c r="X10" s="171">
        <v>247712.97899999999</v>
      </c>
      <c r="Y10" s="172">
        <v>-0.48423631750000001</v>
      </c>
      <c r="Z10" s="171">
        <v>159427.87700000001</v>
      </c>
      <c r="AA10" s="171">
        <v>140176.005</v>
      </c>
      <c r="AB10" s="172">
        <v>0.1373407096</v>
      </c>
      <c r="AC10" s="171">
        <v>904157.23699999996</v>
      </c>
      <c r="AD10" s="171">
        <v>842530.70600000001</v>
      </c>
      <c r="AE10" s="172">
        <v>7.3144552000000002E-2</v>
      </c>
      <c r="AF10" s="171">
        <v>1816866.5589999999</v>
      </c>
      <c r="AG10" s="172">
        <v>2.2032576500000001E-2</v>
      </c>
    </row>
    <row r="11" spans="1:33">
      <c r="A11" s="133" t="s">
        <v>9</v>
      </c>
      <c r="B11" s="171">
        <v>4.3600000000000003</v>
      </c>
      <c r="C11" s="171">
        <v>63.921999999999997</v>
      </c>
      <c r="D11" s="172">
        <v>-0.93179187129999996</v>
      </c>
      <c r="E11" s="171">
        <v>36.923000000000002</v>
      </c>
      <c r="F11" s="171">
        <v>111.68600000000001</v>
      </c>
      <c r="G11" s="172">
        <v>-0.66940350630000001</v>
      </c>
      <c r="H11" s="171">
        <v>403.76799999999997</v>
      </c>
      <c r="I11" s="172">
        <v>0.4468185744</v>
      </c>
      <c r="J11" s="171">
        <v>13.523999999999999</v>
      </c>
      <c r="K11" s="171">
        <v>10.843</v>
      </c>
      <c r="L11" s="172">
        <v>0.24725629439999999</v>
      </c>
      <c r="M11" s="171">
        <v>24.707000000000001</v>
      </c>
      <c r="N11" s="171">
        <v>88.103999999999999</v>
      </c>
      <c r="O11" s="172">
        <v>-0.71957005360000004</v>
      </c>
      <c r="P11" s="171">
        <v>36.494999999999997</v>
      </c>
      <c r="Q11" s="172">
        <v>-0.65845600969999996</v>
      </c>
      <c r="R11" s="171">
        <v>56449.231</v>
      </c>
      <c r="S11" s="171">
        <v>32914.067999999999</v>
      </c>
      <c r="T11" s="172">
        <v>0.7150487445</v>
      </c>
      <c r="U11" s="171">
        <v>237356.33</v>
      </c>
      <c r="V11" s="171">
        <v>119641.205</v>
      </c>
      <c r="W11" s="172">
        <v>0.98390119860000003</v>
      </c>
      <c r="X11" s="171">
        <v>513623.10200000001</v>
      </c>
      <c r="Y11" s="172">
        <v>0.90456832440000001</v>
      </c>
      <c r="Z11" s="171">
        <v>20997.602999999999</v>
      </c>
      <c r="AA11" s="171">
        <v>14745.179</v>
      </c>
      <c r="AB11" s="172">
        <v>0.4240317462</v>
      </c>
      <c r="AC11" s="171">
        <v>124121.575</v>
      </c>
      <c r="AD11" s="171">
        <v>112409.549</v>
      </c>
      <c r="AE11" s="172">
        <v>0.104190668</v>
      </c>
      <c r="AF11" s="171">
        <v>272702.90000000002</v>
      </c>
      <c r="AG11" s="172">
        <v>0.19880315970000001</v>
      </c>
    </row>
    <row r="12" spans="1:33">
      <c r="A12" s="133" t="s">
        <v>8</v>
      </c>
      <c r="B12" s="171">
        <v>0</v>
      </c>
      <c r="C12" s="171">
        <v>0</v>
      </c>
      <c r="D12" s="172">
        <v>0</v>
      </c>
      <c r="E12" s="171">
        <v>0</v>
      </c>
      <c r="F12" s="171">
        <v>0</v>
      </c>
      <c r="G12" s="172">
        <v>0</v>
      </c>
      <c r="H12" s="171">
        <v>0</v>
      </c>
      <c r="I12" s="172">
        <v>0</v>
      </c>
      <c r="J12" s="171">
        <v>0</v>
      </c>
      <c r="K12" s="171">
        <v>0</v>
      </c>
      <c r="L12" s="172">
        <v>0</v>
      </c>
      <c r="M12" s="171">
        <v>0</v>
      </c>
      <c r="N12" s="171">
        <v>0</v>
      </c>
      <c r="O12" s="172">
        <v>0</v>
      </c>
      <c r="P12" s="171">
        <v>0</v>
      </c>
      <c r="Q12" s="172">
        <v>0</v>
      </c>
      <c r="R12" s="171">
        <v>0</v>
      </c>
      <c r="S12" s="171">
        <v>0</v>
      </c>
      <c r="T12" s="172">
        <v>0</v>
      </c>
      <c r="U12" s="171">
        <v>0</v>
      </c>
      <c r="V12" s="171">
        <v>0</v>
      </c>
      <c r="W12" s="172">
        <v>0</v>
      </c>
      <c r="X12" s="171">
        <v>0</v>
      </c>
      <c r="Y12" s="172">
        <v>0</v>
      </c>
      <c r="Z12" s="171">
        <v>84905.441000000006</v>
      </c>
      <c r="AA12" s="171">
        <v>60625.900999999998</v>
      </c>
      <c r="AB12" s="172">
        <v>0.40048130580000002</v>
      </c>
      <c r="AC12" s="171">
        <v>598713.02099999995</v>
      </c>
      <c r="AD12" s="171">
        <v>585583.32900000003</v>
      </c>
      <c r="AE12" s="172">
        <v>2.2421560399999999E-2</v>
      </c>
      <c r="AF12" s="171">
        <v>1220362.7560000001</v>
      </c>
      <c r="AG12" s="172">
        <v>1.2680733899999999E-2</v>
      </c>
    </row>
    <row r="13" spans="1:33">
      <c r="A13" s="133" t="s">
        <v>25</v>
      </c>
      <c r="B13" s="171">
        <v>0</v>
      </c>
      <c r="C13" s="171">
        <v>0</v>
      </c>
      <c r="D13" s="172">
        <v>0</v>
      </c>
      <c r="E13" s="171">
        <v>0</v>
      </c>
      <c r="F13" s="171">
        <v>0</v>
      </c>
      <c r="G13" s="172">
        <v>0</v>
      </c>
      <c r="H13" s="171">
        <v>0</v>
      </c>
      <c r="I13" s="172">
        <v>0</v>
      </c>
      <c r="J13" s="171">
        <v>0</v>
      </c>
      <c r="K13" s="171">
        <v>0</v>
      </c>
      <c r="L13" s="172">
        <v>0</v>
      </c>
      <c r="M13" s="171">
        <v>0</v>
      </c>
      <c r="N13" s="171">
        <v>0</v>
      </c>
      <c r="O13" s="172">
        <v>0</v>
      </c>
      <c r="P13" s="171">
        <v>0</v>
      </c>
      <c r="Q13" s="172">
        <v>0</v>
      </c>
      <c r="R13" s="171">
        <v>269550.103</v>
      </c>
      <c r="S13" s="171">
        <v>367587.88099999999</v>
      </c>
      <c r="T13" s="172">
        <v>-0.26670568610000001</v>
      </c>
      <c r="U13" s="171">
        <v>1428887.82</v>
      </c>
      <c r="V13" s="171">
        <v>1972283.399</v>
      </c>
      <c r="W13" s="172">
        <v>-0.27551597259999999</v>
      </c>
      <c r="X13" s="171">
        <v>3442284.7710000002</v>
      </c>
      <c r="Y13" s="172">
        <v>-0.16779947219999999</v>
      </c>
      <c r="Z13" s="171">
        <v>351459.23100000003</v>
      </c>
      <c r="AA13" s="171">
        <v>283583.924</v>
      </c>
      <c r="AB13" s="172">
        <v>0.23934821849999999</v>
      </c>
      <c r="AC13" s="171">
        <v>1759927.27</v>
      </c>
      <c r="AD13" s="171">
        <v>1776611.575</v>
      </c>
      <c r="AE13" s="172">
        <v>-9.3910820000000002E-3</v>
      </c>
      <c r="AF13" s="171">
        <v>3573326.2220000001</v>
      </c>
      <c r="AG13" s="172">
        <v>7.0965174000000002E-3</v>
      </c>
    </row>
    <row r="14" spans="1:33">
      <c r="A14" s="133" t="s">
        <v>24</v>
      </c>
      <c r="B14" s="171">
        <v>0</v>
      </c>
      <c r="C14" s="171">
        <v>0</v>
      </c>
      <c r="D14" s="172">
        <v>0</v>
      </c>
      <c r="E14" s="171">
        <v>0</v>
      </c>
      <c r="F14" s="171">
        <v>0</v>
      </c>
      <c r="G14" s="172">
        <v>0</v>
      </c>
      <c r="H14" s="171">
        <v>0</v>
      </c>
      <c r="I14" s="172">
        <v>0</v>
      </c>
      <c r="J14" s="171">
        <v>0</v>
      </c>
      <c r="K14" s="171">
        <v>0</v>
      </c>
      <c r="L14" s="172">
        <v>0</v>
      </c>
      <c r="M14" s="171">
        <v>0</v>
      </c>
      <c r="N14" s="171">
        <v>0</v>
      </c>
      <c r="O14" s="172">
        <v>0</v>
      </c>
      <c r="P14" s="171">
        <v>0</v>
      </c>
      <c r="Q14" s="172">
        <v>0</v>
      </c>
      <c r="R14" s="171">
        <v>0</v>
      </c>
      <c r="S14" s="171">
        <v>0</v>
      </c>
      <c r="T14" s="172">
        <v>0</v>
      </c>
      <c r="U14" s="171">
        <v>0</v>
      </c>
      <c r="V14" s="171">
        <v>0</v>
      </c>
      <c r="W14" s="172">
        <v>0</v>
      </c>
      <c r="X14" s="171">
        <v>12117.501</v>
      </c>
      <c r="Y14" s="172">
        <v>0.22507400490000001</v>
      </c>
      <c r="Z14" s="171">
        <v>-2.0099999999999998</v>
      </c>
      <c r="AA14" s="171">
        <v>0</v>
      </c>
      <c r="AB14" s="172">
        <v>0</v>
      </c>
      <c r="AC14" s="171">
        <v>-65.988</v>
      </c>
      <c r="AD14" s="171">
        <v>0</v>
      </c>
      <c r="AE14" s="172">
        <v>0</v>
      </c>
      <c r="AF14" s="171">
        <v>-131.66</v>
      </c>
      <c r="AG14" s="172">
        <v>0</v>
      </c>
    </row>
    <row r="15" spans="1:33">
      <c r="A15" s="133" t="s">
        <v>6</v>
      </c>
      <c r="B15" s="171">
        <v>0</v>
      </c>
      <c r="C15" s="171">
        <v>0</v>
      </c>
      <c r="D15" s="172">
        <v>0</v>
      </c>
      <c r="E15" s="171">
        <v>0</v>
      </c>
      <c r="F15" s="171">
        <v>0</v>
      </c>
      <c r="G15" s="172">
        <v>0</v>
      </c>
      <c r="H15" s="171">
        <v>0</v>
      </c>
      <c r="I15" s="172">
        <v>0</v>
      </c>
      <c r="J15" s="171">
        <v>0</v>
      </c>
      <c r="K15" s="171">
        <v>0</v>
      </c>
      <c r="L15" s="172">
        <v>0</v>
      </c>
      <c r="M15" s="171">
        <v>0</v>
      </c>
      <c r="N15" s="171">
        <v>0</v>
      </c>
      <c r="O15" s="172">
        <v>0</v>
      </c>
      <c r="P15" s="171">
        <v>0</v>
      </c>
      <c r="Q15" s="172">
        <v>0</v>
      </c>
      <c r="R15" s="171">
        <v>0</v>
      </c>
      <c r="S15" s="171">
        <v>0</v>
      </c>
      <c r="T15" s="172">
        <v>0</v>
      </c>
      <c r="U15" s="171">
        <v>0</v>
      </c>
      <c r="V15" s="171">
        <v>0</v>
      </c>
      <c r="W15" s="172">
        <v>0</v>
      </c>
      <c r="X15" s="171">
        <v>0</v>
      </c>
      <c r="Y15" s="172">
        <v>0</v>
      </c>
      <c r="Z15" s="171">
        <v>808.73800000000006</v>
      </c>
      <c r="AA15" s="171">
        <v>2449.56</v>
      </c>
      <c r="AB15" s="172">
        <v>-0.66984356369999998</v>
      </c>
      <c r="AC15" s="171">
        <v>8500.56</v>
      </c>
      <c r="AD15" s="171">
        <v>10838.546</v>
      </c>
      <c r="AE15" s="172">
        <v>-0.2157102991</v>
      </c>
      <c r="AF15" s="171">
        <v>20542.858</v>
      </c>
      <c r="AG15" s="172">
        <v>-9.6249022599999998E-2</v>
      </c>
    </row>
    <row r="16" spans="1:33">
      <c r="A16" s="133" t="s">
        <v>5</v>
      </c>
      <c r="B16" s="171">
        <v>0</v>
      </c>
      <c r="C16" s="171">
        <v>0</v>
      </c>
      <c r="D16" s="172">
        <v>0</v>
      </c>
      <c r="E16" s="171">
        <v>0</v>
      </c>
      <c r="F16" s="171">
        <v>0</v>
      </c>
      <c r="G16" s="172">
        <v>0</v>
      </c>
      <c r="H16" s="171">
        <v>0</v>
      </c>
      <c r="I16" s="172">
        <v>0</v>
      </c>
      <c r="J16" s="171">
        <v>0</v>
      </c>
      <c r="K16" s="171">
        <v>0</v>
      </c>
      <c r="L16" s="172">
        <v>0</v>
      </c>
      <c r="M16" s="171">
        <v>0</v>
      </c>
      <c r="N16" s="171">
        <v>0</v>
      </c>
      <c r="O16" s="172">
        <v>0</v>
      </c>
      <c r="P16" s="171">
        <v>0</v>
      </c>
      <c r="Q16" s="172">
        <v>0</v>
      </c>
      <c r="R16" s="171">
        <v>56.18</v>
      </c>
      <c r="S16" s="171">
        <v>61.459000000000003</v>
      </c>
      <c r="T16" s="172">
        <v>-8.5894661499999997E-2</v>
      </c>
      <c r="U16" s="171">
        <v>1032.4960000000001</v>
      </c>
      <c r="V16" s="171">
        <v>1244.376</v>
      </c>
      <c r="W16" s="172">
        <v>-0.1702700791</v>
      </c>
      <c r="X16" s="171">
        <v>1237.49</v>
      </c>
      <c r="Y16" s="172">
        <v>-0.45207050389999998</v>
      </c>
      <c r="Z16" s="171">
        <v>63396.430999999997</v>
      </c>
      <c r="AA16" s="171">
        <v>160356.527</v>
      </c>
      <c r="AB16" s="172">
        <v>-0.60465325489999999</v>
      </c>
      <c r="AC16" s="171">
        <v>604883.38899999997</v>
      </c>
      <c r="AD16" s="171">
        <v>656678.56200000003</v>
      </c>
      <c r="AE16" s="172">
        <v>-7.8874469200000005E-2</v>
      </c>
      <c r="AF16" s="171">
        <v>1320639.848</v>
      </c>
      <c r="AG16" s="172">
        <v>-4.4180654700000002E-2</v>
      </c>
    </row>
    <row r="17" spans="1:33">
      <c r="A17" s="133" t="s">
        <v>4</v>
      </c>
      <c r="B17" s="171">
        <v>0</v>
      </c>
      <c r="C17" s="171">
        <v>0</v>
      </c>
      <c r="D17" s="172">
        <v>0</v>
      </c>
      <c r="E17" s="171">
        <v>0</v>
      </c>
      <c r="F17" s="171">
        <v>0</v>
      </c>
      <c r="G17" s="172">
        <v>0</v>
      </c>
      <c r="H17" s="171">
        <v>0</v>
      </c>
      <c r="I17" s="172">
        <v>0</v>
      </c>
      <c r="J17" s="171">
        <v>7.99</v>
      </c>
      <c r="K17" s="171">
        <v>7.907</v>
      </c>
      <c r="L17" s="172">
        <v>1.0497027900000001E-2</v>
      </c>
      <c r="M17" s="171">
        <v>39.779000000000003</v>
      </c>
      <c r="N17" s="171">
        <v>37.735999999999997</v>
      </c>
      <c r="O17" s="172">
        <v>5.4139283400000002E-2</v>
      </c>
      <c r="P17" s="171">
        <v>74.260999999999996</v>
      </c>
      <c r="Q17" s="172">
        <v>0.19285197979999999</v>
      </c>
      <c r="R17" s="171">
        <v>35587.197999999997</v>
      </c>
      <c r="S17" s="171">
        <v>29267.84</v>
      </c>
      <c r="T17" s="172">
        <v>0.21591473780000001</v>
      </c>
      <c r="U17" s="171">
        <v>179720.22700000001</v>
      </c>
      <c r="V17" s="171">
        <v>125085.905</v>
      </c>
      <c r="W17" s="172">
        <v>0.43677440719999999</v>
      </c>
      <c r="X17" s="171">
        <v>323353.848</v>
      </c>
      <c r="Y17" s="172">
        <v>0.44399730850000002</v>
      </c>
      <c r="Z17" s="171">
        <v>30366.741999999998</v>
      </c>
      <c r="AA17" s="171">
        <v>30752.493999999999</v>
      </c>
      <c r="AB17" s="172">
        <v>-1.2543763100000001E-2</v>
      </c>
      <c r="AC17" s="171">
        <v>165133.791</v>
      </c>
      <c r="AD17" s="171">
        <v>152114.18799999999</v>
      </c>
      <c r="AE17" s="172">
        <v>8.5590983800000006E-2</v>
      </c>
      <c r="AF17" s="171">
        <v>327300.36300000001</v>
      </c>
      <c r="AG17" s="172">
        <v>0.16487227239999999</v>
      </c>
    </row>
    <row r="18" spans="1:33">
      <c r="A18" s="133" t="s">
        <v>22</v>
      </c>
      <c r="B18" s="171">
        <v>0</v>
      </c>
      <c r="C18" s="171">
        <v>0</v>
      </c>
      <c r="D18" s="172">
        <v>0</v>
      </c>
      <c r="E18" s="171">
        <v>0</v>
      </c>
      <c r="F18" s="171">
        <v>0</v>
      </c>
      <c r="G18" s="172">
        <v>0</v>
      </c>
      <c r="H18" s="171">
        <v>0</v>
      </c>
      <c r="I18" s="172">
        <v>0</v>
      </c>
      <c r="J18" s="171">
        <v>0</v>
      </c>
      <c r="K18" s="171">
        <v>0</v>
      </c>
      <c r="L18" s="172">
        <v>0</v>
      </c>
      <c r="M18" s="171">
        <v>0</v>
      </c>
      <c r="N18" s="171">
        <v>0</v>
      </c>
      <c r="O18" s="172">
        <v>0</v>
      </c>
      <c r="P18" s="171">
        <v>0</v>
      </c>
      <c r="Q18" s="172">
        <v>0</v>
      </c>
      <c r="R18" s="171">
        <v>84.138999999999996</v>
      </c>
      <c r="S18" s="171">
        <v>111.179</v>
      </c>
      <c r="T18" s="172">
        <v>-0.24321139780000001</v>
      </c>
      <c r="U18" s="171">
        <v>590.20699999999999</v>
      </c>
      <c r="V18" s="171">
        <v>1300.1980000000001</v>
      </c>
      <c r="W18" s="172">
        <v>-0.54606375340000002</v>
      </c>
      <c r="X18" s="171">
        <v>1072.607</v>
      </c>
      <c r="Y18" s="172">
        <v>-0.52867791190000002</v>
      </c>
      <c r="Z18" s="171">
        <v>665.13099999999997</v>
      </c>
      <c r="AA18" s="171">
        <v>696.10599999999999</v>
      </c>
      <c r="AB18" s="172">
        <v>-4.4497533399999997E-2</v>
      </c>
      <c r="AC18" s="171">
        <v>4180.2870000000003</v>
      </c>
      <c r="AD18" s="171">
        <v>4522.1670000000004</v>
      </c>
      <c r="AE18" s="172">
        <v>-7.5600923200000003E-2</v>
      </c>
      <c r="AF18" s="171">
        <v>8579.48</v>
      </c>
      <c r="AG18" s="172">
        <v>2.0405257999999999E-3</v>
      </c>
    </row>
    <row r="19" spans="1:33">
      <c r="A19" s="133" t="s">
        <v>23</v>
      </c>
      <c r="B19" s="171">
        <v>0</v>
      </c>
      <c r="C19" s="171">
        <v>0</v>
      </c>
      <c r="D19" s="172">
        <v>0</v>
      </c>
      <c r="E19" s="171">
        <v>0</v>
      </c>
      <c r="F19" s="171">
        <v>0</v>
      </c>
      <c r="G19" s="172">
        <v>0</v>
      </c>
      <c r="H19" s="171">
        <v>0</v>
      </c>
      <c r="I19" s="172">
        <v>0</v>
      </c>
      <c r="J19" s="171">
        <v>0</v>
      </c>
      <c r="K19" s="171">
        <v>0</v>
      </c>
      <c r="L19" s="172">
        <v>0</v>
      </c>
      <c r="M19" s="171">
        <v>0</v>
      </c>
      <c r="N19" s="171">
        <v>0</v>
      </c>
      <c r="O19" s="172">
        <v>0</v>
      </c>
      <c r="P19" s="171">
        <v>0</v>
      </c>
      <c r="Q19" s="172">
        <v>0</v>
      </c>
      <c r="R19" s="171">
        <v>3789.4670000000001</v>
      </c>
      <c r="S19" s="171">
        <v>1536.3420000000001</v>
      </c>
      <c r="T19" s="172">
        <v>1.4665517183000001</v>
      </c>
      <c r="U19" s="171">
        <v>20620.150000000001</v>
      </c>
      <c r="V19" s="171">
        <v>15783.76</v>
      </c>
      <c r="W19" s="172">
        <v>0.30641558159999999</v>
      </c>
      <c r="X19" s="171">
        <v>31202.743999999999</v>
      </c>
      <c r="Y19" s="172">
        <v>-0.1603965916</v>
      </c>
      <c r="Z19" s="171">
        <v>0</v>
      </c>
      <c r="AA19" s="171">
        <v>0</v>
      </c>
      <c r="AB19" s="172">
        <v>0</v>
      </c>
      <c r="AC19" s="171">
        <v>0</v>
      </c>
      <c r="AD19" s="171">
        <v>0</v>
      </c>
      <c r="AE19" s="172">
        <v>0</v>
      </c>
      <c r="AF19" s="171">
        <v>0</v>
      </c>
      <c r="AG19" s="172">
        <v>0</v>
      </c>
    </row>
    <row r="20" spans="1:33">
      <c r="A20" s="133" t="s">
        <v>54</v>
      </c>
      <c r="B20" s="171">
        <v>0</v>
      </c>
      <c r="C20" s="171">
        <v>0</v>
      </c>
      <c r="D20" s="172">
        <v>0</v>
      </c>
      <c r="E20" s="171">
        <v>0</v>
      </c>
      <c r="F20" s="171">
        <v>0</v>
      </c>
      <c r="G20" s="172">
        <v>0</v>
      </c>
      <c r="H20" s="171">
        <v>0</v>
      </c>
      <c r="I20" s="172">
        <v>0</v>
      </c>
      <c r="J20" s="171">
        <v>464.4495</v>
      </c>
      <c r="K20" s="171">
        <v>543.20550000000003</v>
      </c>
      <c r="L20" s="172">
        <v>-0.14498380450000001</v>
      </c>
      <c r="M20" s="171">
        <v>2797.9074999999998</v>
      </c>
      <c r="N20" s="171">
        <v>2981.1754999999998</v>
      </c>
      <c r="O20" s="172">
        <v>-6.1475079199999998E-2</v>
      </c>
      <c r="P20" s="171">
        <v>5664.0595000000003</v>
      </c>
      <c r="Q20" s="172">
        <v>-2.81934187E-2</v>
      </c>
      <c r="R20" s="171">
        <v>15597.6535</v>
      </c>
      <c r="S20" s="171">
        <v>13186.323</v>
      </c>
      <c r="T20" s="172">
        <v>0.1828660272</v>
      </c>
      <c r="U20" s="171">
        <v>65313.176500000001</v>
      </c>
      <c r="V20" s="171">
        <v>57813.432999999997</v>
      </c>
      <c r="W20" s="172">
        <v>0.1297231995</v>
      </c>
      <c r="X20" s="171">
        <v>140561.02549999999</v>
      </c>
      <c r="Y20" s="172">
        <v>0.13604847419999999</v>
      </c>
      <c r="Z20" s="171">
        <v>0</v>
      </c>
      <c r="AA20" s="171">
        <v>0</v>
      </c>
      <c r="AB20" s="172">
        <v>0</v>
      </c>
      <c r="AC20" s="171">
        <v>0</v>
      </c>
      <c r="AD20" s="171">
        <v>0</v>
      </c>
      <c r="AE20" s="172">
        <v>0</v>
      </c>
      <c r="AF20" s="171">
        <v>0</v>
      </c>
      <c r="AG20" s="172">
        <v>0</v>
      </c>
    </row>
    <row r="21" spans="1:33">
      <c r="A21" s="133" t="s">
        <v>55</v>
      </c>
      <c r="B21" s="171">
        <v>0</v>
      </c>
      <c r="C21" s="171">
        <v>0</v>
      </c>
      <c r="D21" s="172">
        <v>0</v>
      </c>
      <c r="E21" s="171">
        <v>0</v>
      </c>
      <c r="F21" s="171">
        <v>0</v>
      </c>
      <c r="G21" s="172">
        <v>0</v>
      </c>
      <c r="H21" s="171">
        <v>0</v>
      </c>
      <c r="I21" s="172">
        <v>0</v>
      </c>
      <c r="J21" s="171">
        <v>464.4495</v>
      </c>
      <c r="K21" s="171">
        <v>543.20550000000003</v>
      </c>
      <c r="L21" s="172">
        <v>-0.14498380450000001</v>
      </c>
      <c r="M21" s="171">
        <v>2797.9074999999998</v>
      </c>
      <c r="N21" s="171">
        <v>2981.1754999999998</v>
      </c>
      <c r="O21" s="172">
        <v>-6.1475079199999998E-2</v>
      </c>
      <c r="P21" s="171">
        <v>5664.0595000000003</v>
      </c>
      <c r="Q21" s="172">
        <v>-2.81934187E-2</v>
      </c>
      <c r="R21" s="171">
        <v>15597.6535</v>
      </c>
      <c r="S21" s="171">
        <v>13186.323</v>
      </c>
      <c r="T21" s="172">
        <v>0.1828660272</v>
      </c>
      <c r="U21" s="171">
        <v>65313.176500000001</v>
      </c>
      <c r="V21" s="171">
        <v>57813.432999999997</v>
      </c>
      <c r="W21" s="172">
        <v>0.1297231995</v>
      </c>
      <c r="X21" s="171">
        <v>140561.02549999999</v>
      </c>
      <c r="Y21" s="172">
        <v>0.13604847419999999</v>
      </c>
      <c r="Z21" s="171">
        <v>0</v>
      </c>
      <c r="AA21" s="171">
        <v>0</v>
      </c>
      <c r="AB21" s="172">
        <v>0</v>
      </c>
      <c r="AC21" s="171">
        <v>0</v>
      </c>
      <c r="AD21" s="171">
        <v>0</v>
      </c>
      <c r="AE21" s="172">
        <v>0</v>
      </c>
      <c r="AF21" s="171">
        <v>0</v>
      </c>
      <c r="AG21" s="172">
        <v>0</v>
      </c>
    </row>
    <row r="22" spans="1:33">
      <c r="A22" s="137" t="s">
        <v>2</v>
      </c>
      <c r="B22" s="173">
        <v>14999.305</v>
      </c>
      <c r="C22" s="173">
        <v>16614.668000000001</v>
      </c>
      <c r="D22" s="174">
        <v>-9.7225114599999996E-2</v>
      </c>
      <c r="E22" s="173">
        <v>90681.582999999999</v>
      </c>
      <c r="F22" s="173">
        <v>97877.372000000003</v>
      </c>
      <c r="G22" s="174">
        <v>-7.3518412399999997E-2</v>
      </c>
      <c r="H22" s="173">
        <v>188203.50700000001</v>
      </c>
      <c r="I22" s="174">
        <v>-5.6016501900000001E-2</v>
      </c>
      <c r="J22" s="173">
        <v>16646.942999999999</v>
      </c>
      <c r="K22" s="173">
        <v>16241.204</v>
      </c>
      <c r="L22" s="174">
        <v>2.4982076499999999E-2</v>
      </c>
      <c r="M22" s="173">
        <v>92971.67</v>
      </c>
      <c r="N22" s="173">
        <v>94190.123000000007</v>
      </c>
      <c r="O22" s="174">
        <v>-1.29361016E-2</v>
      </c>
      <c r="P22" s="173">
        <v>195221.179</v>
      </c>
      <c r="Q22" s="174">
        <v>-3.1804537899999999E-2</v>
      </c>
      <c r="R22" s="173">
        <v>420646.72899999999</v>
      </c>
      <c r="S22" s="173">
        <v>539977.46799999999</v>
      </c>
      <c r="T22" s="174">
        <v>-0.22099207109999999</v>
      </c>
      <c r="U22" s="173">
        <v>2065461.4339999999</v>
      </c>
      <c r="V22" s="173">
        <v>2597140.7599999998</v>
      </c>
      <c r="W22" s="174">
        <v>-0.20471717750000001</v>
      </c>
      <c r="X22" s="173">
        <v>4906534.9239999996</v>
      </c>
      <c r="Y22" s="174">
        <v>-9.82568573E-2</v>
      </c>
      <c r="Z22" s="173">
        <v>712309.02099999995</v>
      </c>
      <c r="AA22" s="173">
        <v>693667.07900000003</v>
      </c>
      <c r="AB22" s="174">
        <v>2.6874479900000001E-2</v>
      </c>
      <c r="AC22" s="173">
        <v>4171228.6290000002</v>
      </c>
      <c r="AD22" s="173">
        <v>4142984.0189999999</v>
      </c>
      <c r="AE22" s="174">
        <v>6.8174556999999998E-3</v>
      </c>
      <c r="AF22" s="173">
        <v>8563602.9110000003</v>
      </c>
      <c r="AG22" s="174">
        <v>1.2776455399999999E-2</v>
      </c>
    </row>
    <row r="23" spans="1:33">
      <c r="A23" s="133" t="s">
        <v>21</v>
      </c>
      <c r="B23" s="171">
        <v>0</v>
      </c>
      <c r="C23" s="171">
        <v>0</v>
      </c>
      <c r="D23" s="172">
        <v>0</v>
      </c>
      <c r="E23" s="171">
        <v>0</v>
      </c>
      <c r="F23" s="171">
        <v>0</v>
      </c>
      <c r="G23" s="172">
        <v>0</v>
      </c>
      <c r="H23" s="171">
        <v>0</v>
      </c>
      <c r="I23" s="172">
        <v>0</v>
      </c>
      <c r="J23" s="171">
        <v>0</v>
      </c>
      <c r="K23" s="171">
        <v>0</v>
      </c>
      <c r="L23" s="172">
        <v>0</v>
      </c>
      <c r="M23" s="171">
        <v>0</v>
      </c>
      <c r="N23" s="171">
        <v>0</v>
      </c>
      <c r="O23" s="172">
        <v>0</v>
      </c>
      <c r="P23" s="171">
        <v>0</v>
      </c>
      <c r="Q23" s="172">
        <v>0</v>
      </c>
      <c r="R23" s="171">
        <v>124350.13400000001</v>
      </c>
      <c r="S23" s="171">
        <v>35225.063999999998</v>
      </c>
      <c r="T23" s="172">
        <v>2.5301606264999998</v>
      </c>
      <c r="U23" s="171">
        <v>637024.66500000004</v>
      </c>
      <c r="V23" s="171">
        <v>190264.30100000001</v>
      </c>
      <c r="W23" s="172">
        <v>2.3481039883000001</v>
      </c>
      <c r="X23" s="171">
        <v>1049494.068</v>
      </c>
      <c r="Y23" s="172">
        <v>1.5424264894999999</v>
      </c>
      <c r="Z23" s="171">
        <v>0</v>
      </c>
      <c r="AA23" s="171">
        <v>0</v>
      </c>
      <c r="AB23" s="172">
        <v>0</v>
      </c>
      <c r="AC23" s="171">
        <v>0</v>
      </c>
      <c r="AD23" s="171">
        <v>0</v>
      </c>
      <c r="AE23" s="172">
        <v>0</v>
      </c>
      <c r="AF23" s="171">
        <v>0</v>
      </c>
      <c r="AG23" s="172">
        <v>0</v>
      </c>
    </row>
    <row r="24" spans="1:33">
      <c r="A24" s="137" t="s">
        <v>79</v>
      </c>
      <c r="B24" s="173">
        <v>14999.305</v>
      </c>
      <c r="C24" s="173">
        <v>16614.668000000001</v>
      </c>
      <c r="D24" s="174">
        <v>-9.7225114599999996E-2</v>
      </c>
      <c r="E24" s="173">
        <v>90681.582999999999</v>
      </c>
      <c r="F24" s="173">
        <v>97877.372000000003</v>
      </c>
      <c r="G24" s="174">
        <v>-7.3518412399999997E-2</v>
      </c>
      <c r="H24" s="173">
        <v>188203.50700000001</v>
      </c>
      <c r="I24" s="174">
        <v>-5.6016501900000001E-2</v>
      </c>
      <c r="J24" s="173">
        <v>16646.942999999999</v>
      </c>
      <c r="K24" s="173">
        <v>16241.204</v>
      </c>
      <c r="L24" s="174">
        <v>2.4982076499999999E-2</v>
      </c>
      <c r="M24" s="173">
        <v>92971.67</v>
      </c>
      <c r="N24" s="173">
        <v>94190.123000000007</v>
      </c>
      <c r="O24" s="174">
        <v>-1.29361016E-2</v>
      </c>
      <c r="P24" s="173">
        <v>195221.179</v>
      </c>
      <c r="Q24" s="174">
        <v>-3.1804537899999999E-2</v>
      </c>
      <c r="R24" s="173">
        <v>544996.86300000001</v>
      </c>
      <c r="S24" s="173">
        <v>575202.53200000001</v>
      </c>
      <c r="T24" s="174">
        <v>-5.2513101600000001E-2</v>
      </c>
      <c r="U24" s="173">
        <v>2702486.0989999999</v>
      </c>
      <c r="V24" s="173">
        <v>2787405.0610000002</v>
      </c>
      <c r="W24" s="174">
        <v>-3.0465239200000001E-2</v>
      </c>
      <c r="X24" s="173">
        <v>5956028.9919999996</v>
      </c>
      <c r="Y24" s="174">
        <v>1.7436031099999999E-2</v>
      </c>
      <c r="Z24" s="173">
        <v>712309.02099999995</v>
      </c>
      <c r="AA24" s="173">
        <v>693667.07900000003</v>
      </c>
      <c r="AB24" s="174">
        <v>2.6874479900000001E-2</v>
      </c>
      <c r="AC24" s="173">
        <v>4171228.6290000002</v>
      </c>
      <c r="AD24" s="173">
        <v>4142984.0189999999</v>
      </c>
      <c r="AE24" s="174">
        <v>6.8174556999999998E-3</v>
      </c>
      <c r="AF24" s="173">
        <v>8563602.9110000003</v>
      </c>
      <c r="AG24" s="174">
        <v>1.2776455399999999E-2</v>
      </c>
    </row>
    <row r="26" spans="1:33">
      <c r="A26" s="102" t="s">
        <v>103</v>
      </c>
      <c r="B26" s="162">
        <f>SUM(B24,J24,R24,Z24)</f>
        <v>1288952.132</v>
      </c>
      <c r="C26" s="162">
        <f>SUM(C24,K24,S24,AA24)</f>
        <v>1301725.483</v>
      </c>
      <c r="D26" s="163">
        <f>((B26/C26)-1)*100</f>
        <v>-0.98126303639398671</v>
      </c>
      <c r="R26" s="184">
        <f>R23/R24</f>
        <v>0.22816669680537227</v>
      </c>
      <c r="S26" s="184">
        <f>S23/S24</f>
        <v>6.1239410538617027E-2</v>
      </c>
      <c r="Z26" s="163"/>
    </row>
    <row r="29" spans="1:33" ht="15">
      <c r="A29" s="134" t="s">
        <v>67</v>
      </c>
      <c r="B29" s="199" t="str">
        <f>A2</f>
        <v>Junio 2023</v>
      </c>
      <c r="C29" s="200"/>
    </row>
    <row r="30" spans="1:33" ht="15">
      <c r="A30" s="134" t="s">
        <v>69</v>
      </c>
      <c r="B30" s="210" t="s">
        <v>72</v>
      </c>
      <c r="C30" s="211"/>
    </row>
    <row r="31" spans="1:33">
      <c r="A31" s="132" t="s">
        <v>68</v>
      </c>
      <c r="B31" s="161" t="s">
        <v>57</v>
      </c>
      <c r="C31" s="161" t="s">
        <v>58</v>
      </c>
    </row>
    <row r="32" spans="1:33">
      <c r="A32" s="134" t="s">
        <v>70</v>
      </c>
      <c r="B32" s="135"/>
      <c r="C32" s="135"/>
    </row>
    <row r="33" spans="1:4">
      <c r="A33" s="133" t="s">
        <v>12</v>
      </c>
      <c r="B33" s="178"/>
      <c r="C33" s="178">
        <v>1.52</v>
      </c>
    </row>
    <row r="34" spans="1:4">
      <c r="A34" s="133" t="s">
        <v>11</v>
      </c>
      <c r="B34" s="178">
        <v>241.2</v>
      </c>
      <c r="C34" s="178"/>
    </row>
    <row r="35" spans="1:4">
      <c r="A35" s="133" t="s">
        <v>78</v>
      </c>
      <c r="B35" s="178">
        <v>139.4</v>
      </c>
      <c r="C35" s="178">
        <v>487.64</v>
      </c>
    </row>
    <row r="36" spans="1:4">
      <c r="A36" s="133" t="s">
        <v>9</v>
      </c>
      <c r="B36" s="178">
        <v>603.1</v>
      </c>
      <c r="C36" s="178">
        <v>520.75</v>
      </c>
    </row>
    <row r="37" spans="1:4">
      <c r="A37" s="133" t="s">
        <v>8</v>
      </c>
      <c r="B37" s="178"/>
      <c r="C37" s="178">
        <v>482.64</v>
      </c>
    </row>
    <row r="38" spans="1:4">
      <c r="A38" s="133" t="s">
        <v>25</v>
      </c>
      <c r="B38" s="178">
        <v>822.9</v>
      </c>
      <c r="C38" s="178">
        <v>865.4</v>
      </c>
    </row>
    <row r="39" spans="1:4">
      <c r="A39" s="133" t="s">
        <v>24</v>
      </c>
      <c r="B39" s="178"/>
      <c r="C39" s="178"/>
    </row>
    <row r="40" spans="1:4">
      <c r="A40" s="133" t="s">
        <v>6</v>
      </c>
      <c r="B40" s="178"/>
      <c r="C40" s="178">
        <v>11.32</v>
      </c>
    </row>
    <row r="41" spans="1:4">
      <c r="A41" s="133" t="s">
        <v>5</v>
      </c>
      <c r="B41" s="178">
        <v>3.5674999999999999</v>
      </c>
      <c r="C41" s="178">
        <v>648.39</v>
      </c>
      <c r="D41" s="167"/>
    </row>
    <row r="42" spans="1:4">
      <c r="A42" s="133" t="s">
        <v>4</v>
      </c>
      <c r="B42" s="178">
        <v>243.23704499999999</v>
      </c>
      <c r="C42" s="178">
        <v>212.16494499999999</v>
      </c>
      <c r="D42" s="167"/>
    </row>
    <row r="43" spans="1:4">
      <c r="A43" s="133" t="s">
        <v>22</v>
      </c>
      <c r="B43" s="178">
        <v>2.13</v>
      </c>
      <c r="C43" s="178">
        <v>4.6959999999999997</v>
      </c>
    </row>
    <row r="44" spans="1:4">
      <c r="A44" s="133" t="s">
        <v>23</v>
      </c>
      <c r="B44" s="178">
        <v>11.523</v>
      </c>
      <c r="C44" s="178">
        <v>38.200000000000003</v>
      </c>
    </row>
    <row r="45" spans="1:4">
      <c r="A45" s="133" t="s">
        <v>54</v>
      </c>
      <c r="B45" s="178">
        <v>37.4</v>
      </c>
      <c r="C45" s="178"/>
    </row>
    <row r="46" spans="1:4">
      <c r="A46" s="133" t="s">
        <v>55</v>
      </c>
      <c r="B46" s="178">
        <v>37.4</v>
      </c>
      <c r="C46" s="178"/>
    </row>
    <row r="47" spans="1:4">
      <c r="A47" s="137" t="s">
        <v>2</v>
      </c>
      <c r="B47" s="179">
        <f>SUM(B33:B46)</f>
        <v>2141.8575450000003</v>
      </c>
      <c r="C47" s="179">
        <f>SUM(C33:C46)</f>
        <v>3272.7209449999996</v>
      </c>
    </row>
    <row r="48" spans="1:4" ht="15">
      <c r="A48"/>
      <c r="B48" s="170"/>
      <c r="C48" s="180"/>
      <c r="D48" s="166"/>
    </row>
    <row r="49" spans="1:8" ht="15">
      <c r="A49"/>
      <c r="B49"/>
      <c r="C49"/>
    </row>
    <row r="50" spans="1:8">
      <c r="A50" s="100" t="s">
        <v>30</v>
      </c>
      <c r="B50" s="101"/>
      <c r="C50" s="101"/>
      <c r="F50" s="100" t="s">
        <v>34</v>
      </c>
      <c r="G50" s="101"/>
      <c r="H50" s="101"/>
    </row>
    <row r="51" spans="1:8">
      <c r="A51" s="103"/>
      <c r="B51" s="104" t="s">
        <v>29</v>
      </c>
      <c r="C51" s="104" t="s">
        <v>26</v>
      </c>
      <c r="F51" s="103"/>
      <c r="G51" s="104" t="s">
        <v>29</v>
      </c>
      <c r="H51" s="104" t="s">
        <v>26</v>
      </c>
    </row>
    <row r="52" spans="1:8">
      <c r="A52" s="105" t="s">
        <v>11</v>
      </c>
      <c r="B52" s="106">
        <f>B34</f>
        <v>241.2</v>
      </c>
      <c r="C52" s="107">
        <f t="shared" ref="C52:C57" si="0">B52/$B$63*100</f>
        <v>11.261253138102607</v>
      </c>
      <c r="D52" s="165"/>
      <c r="F52" s="105" t="s">
        <v>10</v>
      </c>
      <c r="G52" s="106">
        <f>C35</f>
        <v>487.64</v>
      </c>
      <c r="H52" s="107">
        <f>G52/$G$62*100</f>
        <v>14.900139920117756</v>
      </c>
    </row>
    <row r="53" spans="1:8">
      <c r="A53" s="105" t="s">
        <v>10</v>
      </c>
      <c r="B53" s="106">
        <f t="shared" ref="B53:B54" si="1">B35</f>
        <v>139.4</v>
      </c>
      <c r="C53" s="107">
        <f t="shared" si="0"/>
        <v>6.5083693509597991</v>
      </c>
      <c r="D53" s="165"/>
      <c r="F53" s="105" t="s">
        <v>9</v>
      </c>
      <c r="G53" s="106">
        <f>C36</f>
        <v>520.75</v>
      </c>
      <c r="H53" s="107">
        <f t="shared" ref="H53:H61" si="2">G53/$G$62*100</f>
        <v>15.911836320649089</v>
      </c>
    </row>
    <row r="54" spans="1:8">
      <c r="A54" s="105" t="s">
        <v>9</v>
      </c>
      <c r="B54" s="106">
        <f t="shared" si="1"/>
        <v>603.1</v>
      </c>
      <c r="C54" s="107">
        <f t="shared" si="0"/>
        <v>28.15780168984114</v>
      </c>
      <c r="D54" s="165"/>
      <c r="F54" s="105" t="s">
        <v>8</v>
      </c>
      <c r="G54" s="106">
        <f>C37</f>
        <v>482.64</v>
      </c>
      <c r="H54" s="107">
        <f t="shared" si="2"/>
        <v>14.747361846947818</v>
      </c>
    </row>
    <row r="55" spans="1:8">
      <c r="A55" s="105" t="s">
        <v>25</v>
      </c>
      <c r="B55" s="106">
        <f>B38</f>
        <v>822.9</v>
      </c>
      <c r="C55" s="107">
        <f t="shared" si="0"/>
        <v>38.419922086835143</v>
      </c>
      <c r="D55" s="165"/>
      <c r="F55" s="105" t="s">
        <v>25</v>
      </c>
      <c r="G55" s="106">
        <f>C38</f>
        <v>865.4</v>
      </c>
      <c r="H55" s="107">
        <f t="shared" si="2"/>
        <v>26.442828904252945</v>
      </c>
    </row>
    <row r="56" spans="1:8">
      <c r="A56" s="105" t="s">
        <v>24</v>
      </c>
      <c r="B56" s="106">
        <f>B39</f>
        <v>0</v>
      </c>
      <c r="C56" s="107">
        <f t="shared" si="0"/>
        <v>0</v>
      </c>
      <c r="D56" s="165"/>
      <c r="F56" s="105" t="s">
        <v>23</v>
      </c>
      <c r="G56" s="106">
        <f>C44</f>
        <v>38.200000000000003</v>
      </c>
      <c r="H56" s="107">
        <f t="shared" si="2"/>
        <v>1.1672244790183297</v>
      </c>
    </row>
    <row r="57" spans="1:8">
      <c r="A57" s="105" t="s">
        <v>23</v>
      </c>
      <c r="B57" s="106">
        <f>B44</f>
        <v>11.523</v>
      </c>
      <c r="C57" s="107">
        <f t="shared" si="0"/>
        <v>0.53799096148572279</v>
      </c>
      <c r="D57" s="165"/>
      <c r="F57" s="105" t="s">
        <v>12</v>
      </c>
      <c r="G57" s="107">
        <f>C33</f>
        <v>1.52</v>
      </c>
      <c r="H57" s="107">
        <f t="shared" si="2"/>
        <v>4.6444534243661281E-2</v>
      </c>
    </row>
    <row r="58" spans="1:8">
      <c r="A58" s="105" t="s">
        <v>55</v>
      </c>
      <c r="B58" s="106">
        <f>B46</f>
        <v>37.4</v>
      </c>
      <c r="C58" s="107">
        <f t="shared" ref="C58:C62" si="3">B58/$B$63*100</f>
        <v>1.7461478746477508</v>
      </c>
      <c r="D58" s="165"/>
      <c r="F58" s="105" t="s">
        <v>6</v>
      </c>
      <c r="G58" s="106">
        <f>C40</f>
        <v>11.32</v>
      </c>
      <c r="H58" s="107">
        <f t="shared" si="2"/>
        <v>0.34588955765674062</v>
      </c>
    </row>
    <row r="59" spans="1:8">
      <c r="A59" s="105" t="s">
        <v>54</v>
      </c>
      <c r="B59" s="106">
        <f>B45</f>
        <v>37.4</v>
      </c>
      <c r="C59" s="107">
        <f t="shared" si="3"/>
        <v>1.7461478746477508</v>
      </c>
      <c r="D59" s="165"/>
      <c r="F59" s="105" t="s">
        <v>5</v>
      </c>
      <c r="G59" s="106">
        <f>C41</f>
        <v>648.39</v>
      </c>
      <c r="H59" s="107">
        <f t="shared" si="2"/>
        <v>19.811954972531275</v>
      </c>
    </row>
    <row r="60" spans="1:8">
      <c r="A60" s="105" t="s">
        <v>5</v>
      </c>
      <c r="B60" s="106">
        <f>B41</f>
        <v>3.5674999999999999</v>
      </c>
      <c r="C60" s="107">
        <f t="shared" si="3"/>
        <v>0.16656103055630617</v>
      </c>
      <c r="D60" s="165"/>
      <c r="F60" s="105" t="s">
        <v>4</v>
      </c>
      <c r="G60" s="106">
        <f>C42</f>
        <v>212.16494499999999</v>
      </c>
      <c r="H60" s="107">
        <f t="shared" si="2"/>
        <v>6.4828302982611925</v>
      </c>
    </row>
    <row r="61" spans="1:8">
      <c r="A61" s="105" t="s">
        <v>4</v>
      </c>
      <c r="B61" s="106">
        <f>B42</f>
        <v>243.23704499999999</v>
      </c>
      <c r="C61" s="107">
        <f t="shared" si="3"/>
        <v>11.356359603271372</v>
      </c>
      <c r="D61" s="165"/>
      <c r="F61" s="105" t="s">
        <v>22</v>
      </c>
      <c r="G61" s="106">
        <f>C43</f>
        <v>4.6959999999999997</v>
      </c>
      <c r="H61" s="107">
        <f t="shared" si="2"/>
        <v>0.14348916632120617</v>
      </c>
    </row>
    <row r="62" spans="1:8">
      <c r="A62" s="105" t="s">
        <v>22</v>
      </c>
      <c r="B62" s="106">
        <f>B43</f>
        <v>2.13</v>
      </c>
      <c r="C62" s="107">
        <f t="shared" si="3"/>
        <v>9.9446389652398645E-2</v>
      </c>
      <c r="D62" s="165"/>
      <c r="F62" s="108" t="s">
        <v>20</v>
      </c>
      <c r="G62" s="109">
        <f>SUM(G52:G61)</f>
        <v>3272.7209449999996</v>
      </c>
      <c r="H62" s="110">
        <f>SUM(H52:H61)</f>
        <v>100.00000000000003</v>
      </c>
    </row>
    <row r="63" spans="1:8">
      <c r="A63" s="108" t="s">
        <v>20</v>
      </c>
      <c r="B63" s="109">
        <f>SUM(B52:B62)</f>
        <v>2141.8575450000003</v>
      </c>
      <c r="C63" s="110">
        <f>SUM(C52:C62)</f>
        <v>99.999999999999986</v>
      </c>
    </row>
    <row r="66" spans="1:7">
      <c r="A66" s="100" t="s">
        <v>27</v>
      </c>
      <c r="B66" s="101"/>
      <c r="F66" s="100" t="s">
        <v>33</v>
      </c>
      <c r="G66" s="101"/>
    </row>
    <row r="67" spans="1:7">
      <c r="A67" s="103"/>
      <c r="B67" s="104" t="s">
        <v>26</v>
      </c>
      <c r="C67" s="104" t="s">
        <v>104</v>
      </c>
      <c r="D67" s="165"/>
      <c r="F67" s="103"/>
      <c r="G67" s="104" t="s">
        <v>26</v>
      </c>
    </row>
    <row r="68" spans="1:7">
      <c r="A68" s="105" t="s">
        <v>11</v>
      </c>
      <c r="B68" s="107">
        <f>C68/$C$80*100</f>
        <v>0.58348152363585259</v>
      </c>
      <c r="C68" s="106">
        <f>IF(R9&lt;0,0,R9)</f>
        <v>3179.9560000000001</v>
      </c>
      <c r="D68" s="168">
        <f>(C68/SUM($C$68:$C$78))*100</f>
        <v>0.75596831753801663</v>
      </c>
      <c r="F68" s="105" t="s">
        <v>10</v>
      </c>
      <c r="G68" s="107">
        <f>SUM(Z10,Z14)/Z$24*100</f>
        <v>22.381559449602982</v>
      </c>
    </row>
    <row r="69" spans="1:7">
      <c r="A69" s="105" t="s">
        <v>10</v>
      </c>
      <c r="B69" s="107">
        <f t="shared" ref="B69:B78" si="4">C69/$C$80*100</f>
        <v>3.8083059571665827</v>
      </c>
      <c r="C69" s="106">
        <f>R10</f>
        <v>20755.148000000001</v>
      </c>
      <c r="D69" s="168">
        <f t="shared" ref="D69:D78" si="5">(C69/SUM($C$68:$C$78))*100</f>
        <v>4.9341042183641948</v>
      </c>
      <c r="F69" s="105" t="s">
        <v>9</v>
      </c>
      <c r="G69" s="107">
        <f>Z11/Z$24*100</f>
        <v>2.9478221363140649</v>
      </c>
    </row>
    <row r="70" spans="1:7">
      <c r="A70" s="105" t="s">
        <v>9</v>
      </c>
      <c r="B70" s="107">
        <f t="shared" si="4"/>
        <v>10.35771668285731</v>
      </c>
      <c r="C70" s="106">
        <f>R11</f>
        <v>56449.231</v>
      </c>
      <c r="D70" s="168">
        <f t="shared" si="5"/>
        <v>13.419629134926661</v>
      </c>
      <c r="F70" s="105" t="s">
        <v>8</v>
      </c>
      <c r="G70" s="107">
        <f>Z12/Z$24*100</f>
        <v>11.919748100452599</v>
      </c>
    </row>
    <row r="71" spans="1:7">
      <c r="A71" s="105" t="s">
        <v>25</v>
      </c>
      <c r="B71" s="107">
        <f t="shared" si="4"/>
        <v>49.459019179712236</v>
      </c>
      <c r="C71" s="106">
        <f>R13</f>
        <v>269550.103</v>
      </c>
      <c r="D71" s="168">
        <f>(C71/SUM($C$68:$C$78))*100</f>
        <v>64.079923702437739</v>
      </c>
      <c r="F71" s="105" t="s">
        <v>25</v>
      </c>
      <c r="G71" s="107">
        <f>Z13/Z$24*100</f>
        <v>49.340836720920883</v>
      </c>
    </row>
    <row r="72" spans="1:7">
      <c r="A72" s="105" t="s">
        <v>24</v>
      </c>
      <c r="B72" s="107">
        <f t="shared" si="4"/>
        <v>0</v>
      </c>
      <c r="C72" s="106">
        <f>R14</f>
        <v>0</v>
      </c>
      <c r="D72" s="169"/>
      <c r="F72" s="105" t="s">
        <v>23</v>
      </c>
      <c r="G72" s="107">
        <f>Z19/Z$24*100</f>
        <v>0</v>
      </c>
    </row>
    <row r="73" spans="1:7">
      <c r="A73" s="105" t="s">
        <v>23</v>
      </c>
      <c r="B73" s="107">
        <f t="shared" si="4"/>
        <v>0.69531904810248424</v>
      </c>
      <c r="C73" s="106">
        <f>R19</f>
        <v>3789.4670000000001</v>
      </c>
      <c r="D73" s="168">
        <f t="shared" si="5"/>
        <v>0.90086686493644419</v>
      </c>
      <c r="F73" s="105" t="s">
        <v>12</v>
      </c>
      <c r="G73" s="107">
        <f>Z8/Z$24*100</f>
        <v>3.9847452669001082E-2</v>
      </c>
    </row>
    <row r="74" spans="1:7">
      <c r="A74" s="105" t="s">
        <v>55</v>
      </c>
      <c r="B74" s="107">
        <f t="shared" si="4"/>
        <v>2.861971244043656</v>
      </c>
      <c r="C74" s="106">
        <f>R21</f>
        <v>15597.6535</v>
      </c>
      <c r="D74" s="168">
        <f t="shared" si="5"/>
        <v>3.7080173039928712</v>
      </c>
      <c r="F74" s="105" t="s">
        <v>6</v>
      </c>
      <c r="G74" s="107">
        <f>Z15/Z$24*100</f>
        <v>0.11353752039594063</v>
      </c>
    </row>
    <row r="75" spans="1:7">
      <c r="A75" s="105" t="s">
        <v>54</v>
      </c>
      <c r="B75" s="107">
        <f t="shared" si="4"/>
        <v>2.861971244043656</v>
      </c>
      <c r="C75" s="106">
        <f>R20</f>
        <v>15597.6535</v>
      </c>
      <c r="D75" s="168">
        <f t="shared" si="5"/>
        <v>3.7080173039928712</v>
      </c>
      <c r="F75" s="105" t="s">
        <v>5</v>
      </c>
      <c r="G75" s="107">
        <f>Z16/Z$24*100</f>
        <v>8.900130298925415</v>
      </c>
    </row>
    <row r="76" spans="1:7">
      <c r="A76" s="105" t="s">
        <v>5</v>
      </c>
      <c r="B76" s="107">
        <f t="shared" si="4"/>
        <v>1.0308316215023792E-2</v>
      </c>
      <c r="C76" s="106">
        <f>R16</f>
        <v>56.18</v>
      </c>
      <c r="D76" s="168">
        <f t="shared" si="5"/>
        <v>1.3355625071317268E-2</v>
      </c>
      <c r="F76" s="105" t="s">
        <v>4</v>
      </c>
      <c r="G76" s="107">
        <f>Z17/Z$24*100</f>
        <v>4.2631415726517945</v>
      </c>
    </row>
    <row r="77" spans="1:7">
      <c r="A77" s="105" t="s">
        <v>4</v>
      </c>
      <c r="B77" s="107">
        <f t="shared" si="4"/>
        <v>6.5297986861990429</v>
      </c>
      <c r="C77" s="106">
        <f>R17</f>
        <v>35587.197999999997</v>
      </c>
      <c r="D77" s="168">
        <f t="shared" si="5"/>
        <v>8.4601152336548893</v>
      </c>
      <c r="F77" s="105" t="s">
        <v>22</v>
      </c>
      <c r="G77" s="107">
        <f>Z18/Z$24*100</f>
        <v>9.3376748067325127E-2</v>
      </c>
    </row>
    <row r="78" spans="1:7">
      <c r="A78" s="105" t="s">
        <v>22</v>
      </c>
      <c r="B78" s="107">
        <f t="shared" si="4"/>
        <v>1.5438437486932837E-2</v>
      </c>
      <c r="C78" s="106">
        <f>R18</f>
        <v>84.138999999999996</v>
      </c>
      <c r="D78" s="168">
        <f t="shared" si="5"/>
        <v>2.0002295085004691E-2</v>
      </c>
      <c r="F78" s="108" t="s">
        <v>20</v>
      </c>
      <c r="G78" s="110">
        <f>SUM(G68:G77)</f>
        <v>100.00000000000001</v>
      </c>
    </row>
    <row r="79" spans="1:7">
      <c r="A79" s="105" t="s">
        <v>21</v>
      </c>
      <c r="B79" s="107">
        <f>C79/$C$80*100</f>
        <v>22.816669680537228</v>
      </c>
      <c r="C79" s="106">
        <f>R23</f>
        <v>124350.13400000001</v>
      </c>
      <c r="D79" s="165"/>
    </row>
    <row r="80" spans="1:7">
      <c r="A80" s="108" t="s">
        <v>20</v>
      </c>
      <c r="B80" s="110">
        <f>SUM(B68:B79)</f>
        <v>100.00000000000001</v>
      </c>
      <c r="C80" s="109">
        <f>SUM(C68:C79)</f>
        <v>544996.86300000001</v>
      </c>
      <c r="D80" s="165"/>
    </row>
    <row r="85" spans="1:26" ht="15">
      <c r="A85" s="134"/>
      <c r="B85" s="134" t="s">
        <v>69</v>
      </c>
      <c r="C85" s="213" t="s">
        <v>13</v>
      </c>
      <c r="D85" s="214"/>
      <c r="E85" s="214"/>
      <c r="F85" s="214"/>
      <c r="G85" s="214"/>
      <c r="H85" s="214"/>
      <c r="I85" s="214"/>
      <c r="J85" s="214"/>
      <c r="K85" s="214"/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/>
      <c r="W85"/>
      <c r="X85"/>
      <c r="Y85"/>
      <c r="Z85"/>
    </row>
    <row r="86" spans="1:26" ht="15">
      <c r="A86" s="134"/>
      <c r="B86" s="132" t="s">
        <v>67</v>
      </c>
      <c r="C86" s="181" t="s">
        <v>106</v>
      </c>
      <c r="D86" s="181" t="s">
        <v>107</v>
      </c>
      <c r="E86" s="181" t="s">
        <v>108</v>
      </c>
      <c r="F86" s="181" t="s">
        <v>109</v>
      </c>
      <c r="G86" s="181" t="s">
        <v>110</v>
      </c>
      <c r="H86" s="181" t="s">
        <v>111</v>
      </c>
      <c r="I86" s="181" t="s">
        <v>112</v>
      </c>
      <c r="J86" s="181" t="s">
        <v>113</v>
      </c>
      <c r="K86" s="181" t="s">
        <v>114</v>
      </c>
      <c r="L86" s="181" t="s">
        <v>115</v>
      </c>
      <c r="M86" s="181" t="s">
        <v>116</v>
      </c>
      <c r="N86" s="181" t="s">
        <v>117</v>
      </c>
      <c r="O86" s="181" t="s">
        <v>118</v>
      </c>
      <c r="P86" s="181" t="s">
        <v>119</v>
      </c>
      <c r="Q86" s="181" t="s">
        <v>120</v>
      </c>
      <c r="R86" s="181" t="s">
        <v>121</v>
      </c>
      <c r="S86" s="181" t="s">
        <v>122</v>
      </c>
      <c r="T86" s="181" t="s">
        <v>123</v>
      </c>
      <c r="U86" s="181" t="s">
        <v>125</v>
      </c>
      <c r="V86"/>
      <c r="W86"/>
      <c r="X86"/>
      <c r="Y86"/>
      <c r="Z86"/>
    </row>
    <row r="87" spans="1:26" ht="15">
      <c r="A87" s="134" t="s">
        <v>68</v>
      </c>
      <c r="B87" s="134" t="s">
        <v>70</v>
      </c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/>
      <c r="W87"/>
      <c r="X87"/>
      <c r="Y87"/>
      <c r="Z87"/>
    </row>
    <row r="88" spans="1:26" ht="15">
      <c r="A88" s="207" t="s">
        <v>57</v>
      </c>
      <c r="B88" s="133" t="s">
        <v>11</v>
      </c>
      <c r="C88" s="175">
        <v>-0.627467</v>
      </c>
      <c r="D88" s="175">
        <v>-0.58012699999999995</v>
      </c>
      <c r="E88" s="175">
        <v>-0.66887300000000005</v>
      </c>
      <c r="F88" s="175">
        <v>-0.60548299999999999</v>
      </c>
      <c r="G88" s="175">
        <v>-1.0302370000000001</v>
      </c>
      <c r="H88" s="175">
        <v>29.141857000000002</v>
      </c>
      <c r="I88" s="175">
        <v>50.189168000000002</v>
      </c>
      <c r="J88" s="175">
        <v>5.2653150000000002</v>
      </c>
      <c r="K88" s="175">
        <v>-0.60380599999999995</v>
      </c>
      <c r="L88" s="175">
        <v>-0.613232</v>
      </c>
      <c r="M88" s="175">
        <v>-0.58811800000000003</v>
      </c>
      <c r="N88" s="175">
        <v>-0.62679200000000002</v>
      </c>
      <c r="O88" s="175">
        <v>-0.72771799999999998</v>
      </c>
      <c r="P88" s="175">
        <v>-0.70697299999999996</v>
      </c>
      <c r="Q88" s="175">
        <v>-0.51834000000000002</v>
      </c>
      <c r="R88" s="175">
        <v>-0.60865999999999998</v>
      </c>
      <c r="S88" s="175">
        <v>-0.83296899999999996</v>
      </c>
      <c r="T88" s="175">
        <v>3.1799559999999998</v>
      </c>
      <c r="U88" s="175">
        <v>26.671279999999999</v>
      </c>
      <c r="V88"/>
      <c r="W88"/>
      <c r="X88"/>
      <c r="Y88"/>
      <c r="Z88"/>
    </row>
    <row r="89" spans="1:26" ht="15">
      <c r="A89" s="208"/>
      <c r="B89" s="133" t="s">
        <v>78</v>
      </c>
      <c r="C89" s="175">
        <v>31.928664000000001</v>
      </c>
      <c r="D89" s="175">
        <v>27.287796</v>
      </c>
      <c r="E89" s="175">
        <v>26.627289999999999</v>
      </c>
      <c r="F89" s="175">
        <v>38.583128000000002</v>
      </c>
      <c r="G89" s="175">
        <v>43.134307</v>
      </c>
      <c r="H89" s="175">
        <v>52.984195999999997</v>
      </c>
      <c r="I89" s="175">
        <v>59.042844000000002</v>
      </c>
      <c r="J89" s="175">
        <v>60.455578000000003</v>
      </c>
      <c r="K89" s="175">
        <v>32.713324999999998</v>
      </c>
      <c r="L89" s="175">
        <v>17.166284999999998</v>
      </c>
      <c r="M89" s="175">
        <v>9.2819520000000004</v>
      </c>
      <c r="N89" s="175">
        <v>2.2104400000000002</v>
      </c>
      <c r="O89" s="175">
        <v>5.0179289999999996</v>
      </c>
      <c r="P89" s="175">
        <v>15.008727</v>
      </c>
      <c r="Q89" s="175">
        <v>6.2192920000000003</v>
      </c>
      <c r="R89" s="175">
        <v>7.134449</v>
      </c>
      <c r="S89" s="175">
        <v>12.70701</v>
      </c>
      <c r="T89" s="175">
        <v>20.755147999999998</v>
      </c>
      <c r="U89" s="175">
        <v>21.047554999999999</v>
      </c>
      <c r="V89"/>
      <c r="W89"/>
      <c r="X89"/>
      <c r="Y89"/>
      <c r="Z89"/>
    </row>
    <row r="90" spans="1:26" ht="15">
      <c r="A90" s="208"/>
      <c r="B90" s="133" t="s">
        <v>9</v>
      </c>
      <c r="C90" s="175">
        <v>14.287952000000001</v>
      </c>
      <c r="D90" s="175">
        <v>12.016398000000001</v>
      </c>
      <c r="E90" s="175">
        <v>16.590530000000001</v>
      </c>
      <c r="F90" s="175">
        <v>16.923745</v>
      </c>
      <c r="G90" s="175">
        <v>26.908512000000002</v>
      </c>
      <c r="H90" s="175">
        <v>32.914068</v>
      </c>
      <c r="I90" s="175">
        <v>59.770274999999998</v>
      </c>
      <c r="J90" s="175">
        <v>67.572283999999996</v>
      </c>
      <c r="K90" s="175">
        <v>56.444971000000002</v>
      </c>
      <c r="L90" s="175">
        <v>42.597769999999997</v>
      </c>
      <c r="M90" s="175">
        <v>23.111573</v>
      </c>
      <c r="N90" s="175">
        <v>26.769898999999999</v>
      </c>
      <c r="O90" s="175">
        <v>49.385100000000001</v>
      </c>
      <c r="P90" s="175">
        <v>32.328426999999998</v>
      </c>
      <c r="Q90" s="175">
        <v>34.532919999999997</v>
      </c>
      <c r="R90" s="175">
        <v>29.44258</v>
      </c>
      <c r="S90" s="175">
        <v>35.218071999999999</v>
      </c>
      <c r="T90" s="175">
        <v>56.449230999999997</v>
      </c>
      <c r="U90" s="175">
        <v>21.531525999999999</v>
      </c>
      <c r="V90"/>
      <c r="W90"/>
      <c r="X90"/>
      <c r="Y90"/>
      <c r="Z90"/>
    </row>
    <row r="91" spans="1:26" ht="15">
      <c r="A91" s="208"/>
      <c r="B91" s="133" t="s">
        <v>25</v>
      </c>
      <c r="C91" s="175">
        <v>350.086611</v>
      </c>
      <c r="D91" s="175">
        <v>298.62258500000002</v>
      </c>
      <c r="E91" s="175">
        <v>331.00133499999998</v>
      </c>
      <c r="F91" s="175">
        <v>307.42903200000001</v>
      </c>
      <c r="G91" s="175">
        <v>317.55595499999998</v>
      </c>
      <c r="H91" s="175">
        <v>367.58788099999998</v>
      </c>
      <c r="I91" s="175">
        <v>396.959791</v>
      </c>
      <c r="J91" s="175">
        <v>456.377207</v>
      </c>
      <c r="K91" s="175">
        <v>377.07382699999999</v>
      </c>
      <c r="L91" s="175">
        <v>297.32130999999998</v>
      </c>
      <c r="M91" s="175">
        <v>234.47985499999999</v>
      </c>
      <c r="N91" s="175">
        <v>251.18496099999999</v>
      </c>
      <c r="O91" s="175">
        <v>236.33414099999999</v>
      </c>
      <c r="P91" s="175">
        <v>250.50749099999999</v>
      </c>
      <c r="Q91" s="175">
        <v>233.28242</v>
      </c>
      <c r="R91" s="175">
        <v>207.738203</v>
      </c>
      <c r="S91" s="175">
        <v>231.47546199999999</v>
      </c>
      <c r="T91" s="175">
        <v>269.55010299999998</v>
      </c>
      <c r="U91" s="175">
        <v>132.60660100000001</v>
      </c>
      <c r="V91"/>
      <c r="W91"/>
      <c r="X91"/>
      <c r="Y91"/>
      <c r="Z91"/>
    </row>
    <row r="92" spans="1:26" ht="15">
      <c r="A92" s="208"/>
      <c r="B92" s="133" t="s">
        <v>24</v>
      </c>
      <c r="C92" s="175">
        <v>0</v>
      </c>
      <c r="D92" s="175">
        <v>0</v>
      </c>
      <c r="E92" s="175">
        <v>0</v>
      </c>
      <c r="F92" s="175">
        <v>0</v>
      </c>
      <c r="G92" s="175">
        <v>0</v>
      </c>
      <c r="H92" s="175">
        <v>0</v>
      </c>
      <c r="I92" s="175">
        <v>2.6835830000000001</v>
      </c>
      <c r="J92" s="175">
        <v>4.441192</v>
      </c>
      <c r="K92" s="175">
        <v>4.0880280000000004</v>
      </c>
      <c r="L92" s="175">
        <v>0.904698</v>
      </c>
      <c r="M92" s="175">
        <v>0</v>
      </c>
      <c r="N92" s="175">
        <v>0</v>
      </c>
      <c r="O92" s="175">
        <v>0</v>
      </c>
      <c r="P92" s="175">
        <v>0</v>
      </c>
      <c r="Q92" s="175">
        <v>0</v>
      </c>
      <c r="R92" s="175">
        <v>0</v>
      </c>
      <c r="S92" s="175">
        <v>0</v>
      </c>
      <c r="T92" s="175">
        <v>0</v>
      </c>
      <c r="U92" s="175">
        <v>0</v>
      </c>
      <c r="V92"/>
      <c r="W92"/>
      <c r="X92"/>
      <c r="Y92"/>
      <c r="Z92"/>
    </row>
    <row r="93" spans="1:26" ht="15">
      <c r="A93" s="208"/>
      <c r="B93" s="133" t="s">
        <v>5</v>
      </c>
      <c r="C93" s="175">
        <v>0.215638</v>
      </c>
      <c r="D93" s="175">
        <v>0.22824</v>
      </c>
      <c r="E93" s="175">
        <v>0.33845999999999998</v>
      </c>
      <c r="F93" s="175">
        <v>0.239788</v>
      </c>
      <c r="G93" s="175">
        <v>0.16079099999999999</v>
      </c>
      <c r="H93" s="175">
        <v>6.1459E-2</v>
      </c>
      <c r="I93" s="175">
        <v>3.0289E-2</v>
      </c>
      <c r="J93" s="175">
        <v>3.2219999999999999E-2</v>
      </c>
      <c r="K93" s="175">
        <v>1.2760000000000001E-2</v>
      </c>
      <c r="L93" s="175">
        <v>2.8530000000000001E-3</v>
      </c>
      <c r="M93" s="175">
        <v>2.5883E-2</v>
      </c>
      <c r="N93" s="175">
        <v>0.100989</v>
      </c>
      <c r="O93" s="175">
        <v>0.21573000000000001</v>
      </c>
      <c r="P93" s="175">
        <v>0.18323999999999999</v>
      </c>
      <c r="Q93" s="175">
        <v>0.20035</v>
      </c>
      <c r="R93" s="175">
        <v>0.12734500000000001</v>
      </c>
      <c r="S93" s="175">
        <v>0.24965100000000001</v>
      </c>
      <c r="T93" s="175">
        <v>5.6180000000000001E-2</v>
      </c>
      <c r="U93" s="175">
        <v>4.3130000000000002E-2</v>
      </c>
      <c r="V93"/>
      <c r="W93"/>
      <c r="X93"/>
      <c r="Y93"/>
      <c r="Z93"/>
    </row>
    <row r="94" spans="1:26" ht="15">
      <c r="A94" s="208"/>
      <c r="B94" s="133" t="s">
        <v>4</v>
      </c>
      <c r="C94" s="175">
        <v>14.437344</v>
      </c>
      <c r="D94" s="175">
        <v>17.860306999999999</v>
      </c>
      <c r="E94" s="175">
        <v>13.720819000000001</v>
      </c>
      <c r="F94" s="175">
        <v>22.448584</v>
      </c>
      <c r="G94" s="175">
        <v>27.351011</v>
      </c>
      <c r="H94" s="175">
        <v>29.26784</v>
      </c>
      <c r="I94" s="175">
        <v>33.069572000000001</v>
      </c>
      <c r="J94" s="175">
        <v>29.670628000000001</v>
      </c>
      <c r="K94" s="175">
        <v>25.077711000000001</v>
      </c>
      <c r="L94" s="175">
        <v>23.563777000000002</v>
      </c>
      <c r="M94" s="175">
        <v>17.217534000000001</v>
      </c>
      <c r="N94" s="175">
        <v>15.034399000000001</v>
      </c>
      <c r="O94" s="175">
        <v>18.176791999999999</v>
      </c>
      <c r="P94" s="175">
        <v>21.958507000000001</v>
      </c>
      <c r="Q94" s="175">
        <v>34.017825999999999</v>
      </c>
      <c r="R94" s="175">
        <v>36.519472</v>
      </c>
      <c r="S94" s="175">
        <v>33.460431999999997</v>
      </c>
      <c r="T94" s="175">
        <v>35.587198000000001</v>
      </c>
      <c r="U94" s="175">
        <v>17.654747</v>
      </c>
      <c r="V94"/>
      <c r="W94"/>
      <c r="X94"/>
      <c r="Y94"/>
      <c r="Z94"/>
    </row>
    <row r="95" spans="1:26" ht="15">
      <c r="A95" s="208"/>
      <c r="B95" s="133" t="s">
        <v>22</v>
      </c>
      <c r="C95" s="175">
        <v>0.285244</v>
      </c>
      <c r="D95" s="175">
        <v>0.28095199999999998</v>
      </c>
      <c r="E95" s="175">
        <v>0.29118100000000002</v>
      </c>
      <c r="F95" s="175">
        <v>0.16531499999999999</v>
      </c>
      <c r="G95" s="175">
        <v>0.166327</v>
      </c>
      <c r="H95" s="175">
        <v>0.111179</v>
      </c>
      <c r="I95" s="175">
        <v>9.5128000000000004E-2</v>
      </c>
      <c r="J95" s="175">
        <v>5.6752999999999998E-2</v>
      </c>
      <c r="K95" s="175">
        <v>7.1924000000000002E-2</v>
      </c>
      <c r="L95" s="175">
        <v>9.6991999999999995E-2</v>
      </c>
      <c r="M95" s="175">
        <v>8.4503999999999996E-2</v>
      </c>
      <c r="N95" s="175">
        <v>7.7099000000000001E-2</v>
      </c>
      <c r="O95" s="175">
        <v>9.3608999999999998E-2</v>
      </c>
      <c r="P95" s="175">
        <v>0.13599800000000001</v>
      </c>
      <c r="Q95" s="175">
        <v>0.11230800000000001</v>
      </c>
      <c r="R95" s="175">
        <v>7.399E-2</v>
      </c>
      <c r="S95" s="175">
        <v>9.0162999999999993E-2</v>
      </c>
      <c r="T95" s="175">
        <v>8.4139000000000005E-2</v>
      </c>
      <c r="U95" s="175">
        <v>6.4920000000000005E-2</v>
      </c>
      <c r="V95"/>
      <c r="W95"/>
      <c r="X95"/>
      <c r="Y95"/>
      <c r="Z95"/>
    </row>
    <row r="96" spans="1:26" ht="15">
      <c r="A96" s="208"/>
      <c r="B96" s="133" t="s">
        <v>23</v>
      </c>
      <c r="C96" s="175">
        <v>3.4010050000000001</v>
      </c>
      <c r="D96" s="175">
        <v>3.0684070000000001</v>
      </c>
      <c r="E96" s="175">
        <v>3.993204</v>
      </c>
      <c r="F96" s="175">
        <v>1.8386769999999999</v>
      </c>
      <c r="G96" s="175">
        <v>1.9461250000000001</v>
      </c>
      <c r="H96" s="175">
        <v>1.5363420000000001</v>
      </c>
      <c r="I96" s="175">
        <v>1.1719729999999999</v>
      </c>
      <c r="J96" s="175">
        <v>5.1333999999999998E-2</v>
      </c>
      <c r="K96" s="175">
        <v>2.0373130000000002</v>
      </c>
      <c r="L96" s="175">
        <v>1.826864</v>
      </c>
      <c r="M96" s="175">
        <v>2.5541079999999998</v>
      </c>
      <c r="N96" s="175">
        <v>2.9410020000000001</v>
      </c>
      <c r="O96" s="175">
        <v>3.055609</v>
      </c>
      <c r="P96" s="175">
        <v>3.0516040000000002</v>
      </c>
      <c r="Q96" s="175">
        <v>3.5856219999999999</v>
      </c>
      <c r="R96" s="175">
        <v>3.6202459999999999</v>
      </c>
      <c r="S96" s="175">
        <v>3.5176020000000001</v>
      </c>
      <c r="T96" s="175">
        <v>3.7894670000000001</v>
      </c>
      <c r="U96" s="175">
        <v>1.1153200000000001</v>
      </c>
      <c r="V96"/>
      <c r="W96"/>
      <c r="X96"/>
      <c r="Y96"/>
      <c r="Z96"/>
    </row>
    <row r="97" spans="1:26" ht="15">
      <c r="A97" s="208"/>
      <c r="B97" s="133" t="s">
        <v>54</v>
      </c>
      <c r="C97" s="175">
        <v>9.8711500000000001</v>
      </c>
      <c r="D97" s="175">
        <v>5.4414375000000001</v>
      </c>
      <c r="E97" s="175">
        <v>9.6633200000000006</v>
      </c>
      <c r="F97" s="175">
        <v>7.8050050000000004</v>
      </c>
      <c r="G97" s="175">
        <v>11.846197500000001</v>
      </c>
      <c r="H97" s="175">
        <v>13.186323</v>
      </c>
      <c r="I97" s="175">
        <v>16.1606655</v>
      </c>
      <c r="J97" s="175">
        <v>13.6723105</v>
      </c>
      <c r="K97" s="175">
        <v>13.5816645</v>
      </c>
      <c r="L97" s="175">
        <v>11.230755</v>
      </c>
      <c r="M97" s="175">
        <v>10.188828000000001</v>
      </c>
      <c r="N97" s="175">
        <v>10.4136255</v>
      </c>
      <c r="O97" s="175">
        <v>7.3618245</v>
      </c>
      <c r="P97" s="175">
        <v>9.8298860000000001</v>
      </c>
      <c r="Q97" s="175">
        <v>9.6378819999999994</v>
      </c>
      <c r="R97" s="175">
        <v>10.65733</v>
      </c>
      <c r="S97" s="175">
        <v>12.228600500000001</v>
      </c>
      <c r="T97" s="175">
        <v>15.5976535</v>
      </c>
      <c r="U97" s="175">
        <v>5.4314999999999998</v>
      </c>
      <c r="V97"/>
      <c r="W97"/>
      <c r="X97"/>
      <c r="Y97"/>
      <c r="Z97"/>
    </row>
    <row r="98" spans="1:26" ht="15">
      <c r="A98" s="208"/>
      <c r="B98" s="133" t="s">
        <v>55</v>
      </c>
      <c r="C98" s="175">
        <v>9.8711500000000001</v>
      </c>
      <c r="D98" s="175">
        <v>5.4414375000000001</v>
      </c>
      <c r="E98" s="175">
        <v>9.6633200000000006</v>
      </c>
      <c r="F98" s="175">
        <v>7.8050050000000004</v>
      </c>
      <c r="G98" s="175">
        <v>11.846197500000001</v>
      </c>
      <c r="H98" s="175">
        <v>13.186323</v>
      </c>
      <c r="I98" s="175">
        <v>16.1606655</v>
      </c>
      <c r="J98" s="175">
        <v>13.6723105</v>
      </c>
      <c r="K98" s="175">
        <v>13.5816645</v>
      </c>
      <c r="L98" s="175">
        <v>11.230755</v>
      </c>
      <c r="M98" s="175">
        <v>10.188828000000001</v>
      </c>
      <c r="N98" s="175">
        <v>10.4136255</v>
      </c>
      <c r="O98" s="175">
        <v>7.3618245</v>
      </c>
      <c r="P98" s="175">
        <v>9.8298860000000001</v>
      </c>
      <c r="Q98" s="175">
        <v>9.6378819999999994</v>
      </c>
      <c r="R98" s="175">
        <v>10.65733</v>
      </c>
      <c r="S98" s="175">
        <v>12.228600500000001</v>
      </c>
      <c r="T98" s="175">
        <v>15.5976535</v>
      </c>
      <c r="U98" s="175">
        <v>5.4314999999999998</v>
      </c>
      <c r="V98"/>
      <c r="W98"/>
      <c r="X98"/>
      <c r="Y98"/>
      <c r="Z98"/>
    </row>
    <row r="99" spans="1:26" ht="15">
      <c r="A99" s="208"/>
      <c r="B99" s="137" t="s">
        <v>2</v>
      </c>
      <c r="C99" s="176">
        <v>433.75729100000001</v>
      </c>
      <c r="D99" s="176">
        <v>369.66743300000002</v>
      </c>
      <c r="E99" s="176">
        <v>411.22058600000003</v>
      </c>
      <c r="F99" s="176">
        <v>402.63279599999998</v>
      </c>
      <c r="G99" s="176">
        <v>439.88518599999998</v>
      </c>
      <c r="H99" s="176">
        <v>539.97746800000004</v>
      </c>
      <c r="I99" s="176">
        <v>635.33395399999995</v>
      </c>
      <c r="J99" s="176">
        <v>651.26713199999995</v>
      </c>
      <c r="K99" s="176">
        <v>524.07938200000001</v>
      </c>
      <c r="L99" s="176">
        <v>405.32882699999999</v>
      </c>
      <c r="M99" s="176">
        <v>306.54494699999998</v>
      </c>
      <c r="N99" s="176">
        <v>318.519248</v>
      </c>
      <c r="O99" s="176">
        <v>326.27484099999998</v>
      </c>
      <c r="P99" s="176">
        <v>342.12679300000002</v>
      </c>
      <c r="Q99" s="176">
        <v>330.70816200000002</v>
      </c>
      <c r="R99" s="176">
        <v>305.36228499999999</v>
      </c>
      <c r="S99" s="176">
        <v>340.342624</v>
      </c>
      <c r="T99" s="176">
        <v>420.64672899999999</v>
      </c>
      <c r="U99" s="176">
        <v>231.59807900000001</v>
      </c>
      <c r="V99"/>
      <c r="W99"/>
      <c r="X99"/>
      <c r="Y99"/>
      <c r="Z99"/>
    </row>
    <row r="100" spans="1:26" ht="15">
      <c r="A100" s="208"/>
      <c r="B100" s="133" t="s">
        <v>21</v>
      </c>
      <c r="C100" s="175">
        <v>31.159338999999999</v>
      </c>
      <c r="D100" s="175">
        <v>27.502502</v>
      </c>
      <c r="E100" s="175">
        <v>30.689281000000001</v>
      </c>
      <c r="F100" s="175">
        <v>33.641058999999998</v>
      </c>
      <c r="G100" s="175">
        <v>32.047055999999998</v>
      </c>
      <c r="H100" s="175">
        <v>35.225064000000003</v>
      </c>
      <c r="I100" s="175">
        <v>67.033137999999994</v>
      </c>
      <c r="J100" s="175">
        <v>77.653036</v>
      </c>
      <c r="K100" s="175">
        <v>70.647335999999996</v>
      </c>
      <c r="L100" s="175">
        <v>61.365385000000003</v>
      </c>
      <c r="M100" s="175">
        <v>55.991686000000001</v>
      </c>
      <c r="N100" s="175">
        <v>79.778822000000005</v>
      </c>
      <c r="O100" s="175">
        <v>123.950131</v>
      </c>
      <c r="P100" s="175">
        <v>89.734262000000001</v>
      </c>
      <c r="Q100" s="175">
        <v>82.194308000000007</v>
      </c>
      <c r="R100" s="175">
        <v>98.033413999999993</v>
      </c>
      <c r="S100" s="175">
        <v>118.762416</v>
      </c>
      <c r="T100" s="175">
        <v>124.350134</v>
      </c>
      <c r="U100" s="175">
        <v>64.9499</v>
      </c>
      <c r="V100"/>
      <c r="W100"/>
      <c r="X100"/>
      <c r="Y100"/>
      <c r="Z100"/>
    </row>
    <row r="101" spans="1:26" ht="15">
      <c r="A101" s="209"/>
      <c r="B101" s="137" t="s">
        <v>79</v>
      </c>
      <c r="C101" s="176">
        <v>464.91663</v>
      </c>
      <c r="D101" s="176">
        <v>397.16993500000001</v>
      </c>
      <c r="E101" s="176">
        <v>441.90986700000002</v>
      </c>
      <c r="F101" s="176">
        <v>436.27385500000003</v>
      </c>
      <c r="G101" s="176">
        <v>471.93224199999997</v>
      </c>
      <c r="H101" s="176">
        <v>575.20253200000002</v>
      </c>
      <c r="I101" s="176">
        <v>702.36709199999996</v>
      </c>
      <c r="J101" s="176">
        <v>728.92016799999999</v>
      </c>
      <c r="K101" s="176">
        <v>594.72671800000001</v>
      </c>
      <c r="L101" s="176">
        <v>466.69421199999999</v>
      </c>
      <c r="M101" s="176">
        <v>362.53663299999999</v>
      </c>
      <c r="N101" s="176">
        <v>398.29807</v>
      </c>
      <c r="O101" s="176">
        <v>450.22497199999998</v>
      </c>
      <c r="P101" s="176">
        <v>431.86105500000002</v>
      </c>
      <c r="Q101" s="176">
        <v>412.90246999999999</v>
      </c>
      <c r="R101" s="176">
        <v>403.39569899999998</v>
      </c>
      <c r="S101" s="176">
        <v>459.10503999999997</v>
      </c>
      <c r="T101" s="176">
        <v>544.99686299999996</v>
      </c>
      <c r="U101" s="176">
        <v>296.547979</v>
      </c>
      <c r="V101"/>
      <c r="W101"/>
      <c r="X101"/>
      <c r="Y101"/>
      <c r="Z101"/>
    </row>
    <row r="102" spans="1:26" ht="15">
      <c r="A102" s="212" t="s">
        <v>58</v>
      </c>
      <c r="B102" s="133" t="s">
        <v>12</v>
      </c>
      <c r="C102" s="175">
        <v>0.294213</v>
      </c>
      <c r="D102" s="175">
        <v>0.25058200000000003</v>
      </c>
      <c r="E102" s="175">
        <v>0.29644599999999999</v>
      </c>
      <c r="F102" s="175">
        <v>0.27407199999999998</v>
      </c>
      <c r="G102" s="175">
        <v>0.29870099999999999</v>
      </c>
      <c r="H102" s="175">
        <v>0.28138299999999999</v>
      </c>
      <c r="I102" s="175">
        <v>0.29436099999999998</v>
      </c>
      <c r="J102" s="175">
        <v>0.29274699999999998</v>
      </c>
      <c r="K102" s="175">
        <v>0.28892499999999999</v>
      </c>
      <c r="L102" s="175">
        <v>0.29400900000000002</v>
      </c>
      <c r="M102" s="175">
        <v>0.27748800000000001</v>
      </c>
      <c r="N102" s="175">
        <v>0.28856799999999999</v>
      </c>
      <c r="O102" s="175">
        <v>0.27497500000000002</v>
      </c>
      <c r="P102" s="175">
        <v>0.25442500000000001</v>
      </c>
      <c r="Q102" s="175">
        <v>0.29023300000000002</v>
      </c>
      <c r="R102" s="175">
        <v>0.27610800000000002</v>
      </c>
      <c r="S102" s="175">
        <v>0.29790899999999998</v>
      </c>
      <c r="T102" s="175">
        <v>0.28383700000000001</v>
      </c>
      <c r="U102" s="175">
        <v>0</v>
      </c>
      <c r="V102"/>
      <c r="W102"/>
      <c r="X102"/>
      <c r="Y102"/>
      <c r="Z102"/>
    </row>
    <row r="103" spans="1:26" ht="15">
      <c r="A103" s="208"/>
      <c r="B103" s="133" t="s">
        <v>78</v>
      </c>
      <c r="C103" s="175">
        <v>144.97616600000001</v>
      </c>
      <c r="D103" s="175">
        <v>129.27922799999999</v>
      </c>
      <c r="E103" s="175">
        <v>148.837288</v>
      </c>
      <c r="F103" s="175">
        <v>137.06188</v>
      </c>
      <c r="G103" s="175">
        <v>142.20013900000001</v>
      </c>
      <c r="H103" s="175">
        <v>140.176005</v>
      </c>
      <c r="I103" s="175">
        <v>145.16306399999999</v>
      </c>
      <c r="J103" s="175">
        <v>144.44555099999999</v>
      </c>
      <c r="K103" s="175">
        <v>147.14430100000001</v>
      </c>
      <c r="L103" s="175">
        <v>153.68727999999999</v>
      </c>
      <c r="M103" s="175">
        <v>154.15610899999999</v>
      </c>
      <c r="N103" s="175">
        <v>168.11301700000001</v>
      </c>
      <c r="O103" s="175">
        <v>149.66655</v>
      </c>
      <c r="P103" s="175">
        <v>151.17160100000001</v>
      </c>
      <c r="Q103" s="175">
        <v>141.36258799999999</v>
      </c>
      <c r="R103" s="175">
        <v>149.85577699999999</v>
      </c>
      <c r="S103" s="175">
        <v>152.672844</v>
      </c>
      <c r="T103" s="175">
        <v>159.427877</v>
      </c>
      <c r="U103" s="175">
        <v>62.091244000000003</v>
      </c>
      <c r="V103"/>
      <c r="W103"/>
      <c r="X103"/>
      <c r="Y103"/>
      <c r="Z103"/>
    </row>
    <row r="104" spans="1:26" ht="15">
      <c r="A104" s="208"/>
      <c r="B104" s="133" t="s">
        <v>9</v>
      </c>
      <c r="C104" s="175">
        <v>20.1236</v>
      </c>
      <c r="D104" s="175">
        <v>22.304445000000001</v>
      </c>
      <c r="E104" s="175">
        <v>22.266894000000001</v>
      </c>
      <c r="F104" s="175">
        <v>17.593667</v>
      </c>
      <c r="G104" s="175">
        <v>15.375764</v>
      </c>
      <c r="H104" s="175">
        <v>14.745179</v>
      </c>
      <c r="I104" s="175">
        <v>19.947948</v>
      </c>
      <c r="J104" s="175">
        <v>17.951955999999999</v>
      </c>
      <c r="K104" s="175">
        <v>27.959973000000002</v>
      </c>
      <c r="L104" s="175">
        <v>36.672798</v>
      </c>
      <c r="M104" s="175">
        <v>23.967887999999999</v>
      </c>
      <c r="N104" s="175">
        <v>22.080762</v>
      </c>
      <c r="O104" s="175">
        <v>14.760491</v>
      </c>
      <c r="P104" s="175">
        <v>26.990496</v>
      </c>
      <c r="Q104" s="175">
        <v>16.813075000000001</v>
      </c>
      <c r="R104" s="175">
        <v>21.092299000000001</v>
      </c>
      <c r="S104" s="175">
        <v>23.467611000000002</v>
      </c>
      <c r="T104" s="175">
        <v>20.997603000000002</v>
      </c>
      <c r="U104" s="175">
        <v>6.9396659999999999</v>
      </c>
      <c r="V104"/>
      <c r="W104"/>
      <c r="X104"/>
      <c r="Y104"/>
      <c r="Z104"/>
    </row>
    <row r="105" spans="1:26" ht="15">
      <c r="A105" s="208"/>
      <c r="B105" s="133" t="s">
        <v>8</v>
      </c>
      <c r="C105" s="175">
        <v>117.429802</v>
      </c>
      <c r="D105" s="175">
        <v>102.630663</v>
      </c>
      <c r="E105" s="175">
        <v>114.410944</v>
      </c>
      <c r="F105" s="175">
        <v>103.636366</v>
      </c>
      <c r="G105" s="175">
        <v>86.849653000000004</v>
      </c>
      <c r="H105" s="175">
        <v>60.625900999999999</v>
      </c>
      <c r="I105" s="175">
        <v>73.212086999999997</v>
      </c>
      <c r="J105" s="175">
        <v>102.417013</v>
      </c>
      <c r="K105" s="175">
        <v>110.953991</v>
      </c>
      <c r="L105" s="175">
        <v>118.59882</v>
      </c>
      <c r="M105" s="175">
        <v>93.771169</v>
      </c>
      <c r="N105" s="175">
        <v>122.69665500000001</v>
      </c>
      <c r="O105" s="175">
        <v>118.030389</v>
      </c>
      <c r="P105" s="175">
        <v>118.052049</v>
      </c>
      <c r="Q105" s="175">
        <v>103.679242</v>
      </c>
      <c r="R105" s="175">
        <v>89.164951000000002</v>
      </c>
      <c r="S105" s="175">
        <v>84.880949000000001</v>
      </c>
      <c r="T105" s="175">
        <v>84.905440999999996</v>
      </c>
      <c r="U105" s="175">
        <v>41.134633000000001</v>
      </c>
      <c r="V105"/>
      <c r="W105"/>
      <c r="X105"/>
      <c r="Y105"/>
      <c r="Z105"/>
    </row>
    <row r="106" spans="1:26" ht="15">
      <c r="A106" s="208"/>
      <c r="B106" s="133" t="s">
        <v>25</v>
      </c>
      <c r="C106" s="175">
        <v>350.33219100000002</v>
      </c>
      <c r="D106" s="175">
        <v>285.34500700000001</v>
      </c>
      <c r="E106" s="175">
        <v>288.52109999999999</v>
      </c>
      <c r="F106" s="175">
        <v>265.37271800000002</v>
      </c>
      <c r="G106" s="175">
        <v>303.45663500000001</v>
      </c>
      <c r="H106" s="175">
        <v>283.58392400000002</v>
      </c>
      <c r="I106" s="175">
        <v>295.51749599999999</v>
      </c>
      <c r="J106" s="175">
        <v>269.79137200000002</v>
      </c>
      <c r="K106" s="175">
        <v>285.29845599999999</v>
      </c>
      <c r="L106" s="175">
        <v>305.38632699999999</v>
      </c>
      <c r="M106" s="175">
        <v>309.74341800000002</v>
      </c>
      <c r="N106" s="175">
        <v>347.66188299999999</v>
      </c>
      <c r="O106" s="175">
        <v>279.418815</v>
      </c>
      <c r="P106" s="175">
        <v>289.33312999999998</v>
      </c>
      <c r="Q106" s="175">
        <v>284.83144399999998</v>
      </c>
      <c r="R106" s="175">
        <v>279.54366599999997</v>
      </c>
      <c r="S106" s="175">
        <v>275.34098399999999</v>
      </c>
      <c r="T106" s="175">
        <v>351.45923099999999</v>
      </c>
      <c r="U106" s="175">
        <v>121.29824000000001</v>
      </c>
      <c r="V106"/>
      <c r="W106"/>
      <c r="X106"/>
      <c r="Y106"/>
      <c r="Z106"/>
    </row>
    <row r="107" spans="1:26" ht="15">
      <c r="A107" s="208"/>
      <c r="B107" s="133" t="s">
        <v>24</v>
      </c>
      <c r="C107" s="175">
        <v>0</v>
      </c>
      <c r="D107" s="175">
        <v>0</v>
      </c>
      <c r="E107" s="175">
        <v>0</v>
      </c>
      <c r="F107" s="175">
        <v>0</v>
      </c>
      <c r="G107" s="175">
        <v>0</v>
      </c>
      <c r="H107" s="175">
        <v>0</v>
      </c>
      <c r="I107" s="175">
        <v>-7.7730000000000004E-3</v>
      </c>
      <c r="J107" s="175">
        <v>-1.2208999999999999E-2</v>
      </c>
      <c r="K107" s="175">
        <v>-1.1861999999999999E-2</v>
      </c>
      <c r="L107" s="175">
        <v>-7.5659999999999998E-3</v>
      </c>
      <c r="M107" s="175">
        <v>-1.2637000000000001E-2</v>
      </c>
      <c r="N107" s="175">
        <v>-1.3625E-2</v>
      </c>
      <c r="O107" s="175">
        <v>-1.3847999999999999E-2</v>
      </c>
      <c r="P107" s="175">
        <v>-9.9690000000000004E-3</v>
      </c>
      <c r="Q107" s="175">
        <v>-1.3753E-2</v>
      </c>
      <c r="R107" s="175">
        <v>-1.2926999999999999E-2</v>
      </c>
      <c r="S107" s="175">
        <v>-1.3481E-2</v>
      </c>
      <c r="T107" s="175">
        <v>-2.0100000000000001E-3</v>
      </c>
      <c r="U107" s="175">
        <v>0</v>
      </c>
      <c r="V107"/>
      <c r="W107"/>
      <c r="X107"/>
      <c r="Y107"/>
      <c r="Z107"/>
    </row>
    <row r="108" spans="1:26" ht="15">
      <c r="A108" s="208"/>
      <c r="B108" s="133" t="s">
        <v>6</v>
      </c>
      <c r="C108" s="175">
        <v>1.110916</v>
      </c>
      <c r="D108" s="175">
        <v>1.4820450000000001</v>
      </c>
      <c r="E108" s="175">
        <v>2.1263230000000002</v>
      </c>
      <c r="F108" s="175">
        <v>1.7525280000000001</v>
      </c>
      <c r="G108" s="175">
        <v>1.9171739999999999</v>
      </c>
      <c r="H108" s="175">
        <v>2.44956</v>
      </c>
      <c r="I108" s="175">
        <v>3.5629430000000002</v>
      </c>
      <c r="J108" s="175">
        <v>3.5176750000000001</v>
      </c>
      <c r="K108" s="175">
        <v>2.0750950000000001</v>
      </c>
      <c r="L108" s="175">
        <v>1.3500719999999999</v>
      </c>
      <c r="M108" s="175">
        <v>1.1694089999999999</v>
      </c>
      <c r="N108" s="175">
        <v>0.36710399999999999</v>
      </c>
      <c r="O108" s="175">
        <v>1.6495040000000001</v>
      </c>
      <c r="P108" s="175">
        <v>0.82934099999999999</v>
      </c>
      <c r="Q108" s="175">
        <v>1.5724450000000001</v>
      </c>
      <c r="R108" s="175">
        <v>1.573337</v>
      </c>
      <c r="S108" s="175">
        <v>2.0671949999999999</v>
      </c>
      <c r="T108" s="175">
        <v>0.80873799999999996</v>
      </c>
      <c r="U108" s="175">
        <v>1.1269309999999999</v>
      </c>
      <c r="V108"/>
      <c r="W108"/>
      <c r="X108"/>
      <c r="Y108"/>
      <c r="Z108"/>
    </row>
    <row r="109" spans="1:26" ht="15">
      <c r="A109" s="208"/>
      <c r="B109" s="133" t="s">
        <v>5</v>
      </c>
      <c r="C109" s="175">
        <v>60.12574</v>
      </c>
      <c r="D109" s="175">
        <v>88.964033999999998</v>
      </c>
      <c r="E109" s="175">
        <v>109.52770099999999</v>
      </c>
      <c r="F109" s="175">
        <v>120.73900500000001</v>
      </c>
      <c r="G109" s="175">
        <v>116.96555499999999</v>
      </c>
      <c r="H109" s="175">
        <v>160.356527</v>
      </c>
      <c r="I109" s="175">
        <v>181.49906899999999</v>
      </c>
      <c r="J109" s="175">
        <v>185.782734</v>
      </c>
      <c r="K109" s="175">
        <v>123.26133799999999</v>
      </c>
      <c r="L109" s="175">
        <v>85.078937999999994</v>
      </c>
      <c r="M109" s="175">
        <v>102.221262</v>
      </c>
      <c r="N109" s="175">
        <v>37.913117999999997</v>
      </c>
      <c r="O109" s="175">
        <v>132.72816599999999</v>
      </c>
      <c r="P109" s="175">
        <v>42.685206000000001</v>
      </c>
      <c r="Q109" s="175">
        <v>131.43829199999999</v>
      </c>
      <c r="R109" s="175">
        <v>103.68509299999999</v>
      </c>
      <c r="S109" s="175">
        <v>130.95020099999999</v>
      </c>
      <c r="T109" s="175">
        <v>63.396431</v>
      </c>
      <c r="U109" s="175">
        <v>75.291201999999998</v>
      </c>
      <c r="V109"/>
      <c r="W109"/>
      <c r="X109"/>
      <c r="Y109"/>
      <c r="Z109"/>
    </row>
    <row r="110" spans="1:26" ht="15">
      <c r="A110" s="208"/>
      <c r="B110" s="133" t="s">
        <v>4</v>
      </c>
      <c r="C110" s="175">
        <v>18.056702999999999</v>
      </c>
      <c r="D110" s="175">
        <v>18.872744999999998</v>
      </c>
      <c r="E110" s="175">
        <v>25.064551999999999</v>
      </c>
      <c r="F110" s="175">
        <v>26.39603</v>
      </c>
      <c r="G110" s="175">
        <v>32.971663999999997</v>
      </c>
      <c r="H110" s="175">
        <v>30.752493999999999</v>
      </c>
      <c r="I110" s="175">
        <v>34.434815</v>
      </c>
      <c r="J110" s="175">
        <v>32.263370000000002</v>
      </c>
      <c r="K110" s="175">
        <v>26.538736</v>
      </c>
      <c r="L110" s="175">
        <v>26.753266</v>
      </c>
      <c r="M110" s="175">
        <v>23.169461999999999</v>
      </c>
      <c r="N110" s="175">
        <v>19.006923</v>
      </c>
      <c r="O110" s="175">
        <v>22.065138000000001</v>
      </c>
      <c r="P110" s="175">
        <v>20.222797</v>
      </c>
      <c r="Q110" s="175">
        <v>32.125762000000002</v>
      </c>
      <c r="R110" s="175">
        <v>29.890439000000001</v>
      </c>
      <c r="S110" s="175">
        <v>30.462913</v>
      </c>
      <c r="T110" s="175">
        <v>30.366741999999999</v>
      </c>
      <c r="U110" s="175">
        <v>15.616884000000001</v>
      </c>
      <c r="V110"/>
      <c r="W110"/>
      <c r="X110"/>
      <c r="Y110"/>
      <c r="Z110"/>
    </row>
    <row r="111" spans="1:26" ht="15">
      <c r="A111" s="208"/>
      <c r="B111" s="133" t="s">
        <v>22</v>
      </c>
      <c r="C111" s="175">
        <v>0.86053100000000005</v>
      </c>
      <c r="D111" s="175">
        <v>0.72069799999999995</v>
      </c>
      <c r="E111" s="175">
        <v>0.90984399999999999</v>
      </c>
      <c r="F111" s="175">
        <v>0.61352399999999996</v>
      </c>
      <c r="G111" s="175">
        <v>0.72146399999999999</v>
      </c>
      <c r="H111" s="175">
        <v>0.696106</v>
      </c>
      <c r="I111" s="175">
        <v>0.688222</v>
      </c>
      <c r="J111" s="175">
        <v>0.71531400000000001</v>
      </c>
      <c r="K111" s="175">
        <v>0.714812</v>
      </c>
      <c r="L111" s="175">
        <v>0.73132799999999998</v>
      </c>
      <c r="M111" s="175">
        <v>0.76498500000000003</v>
      </c>
      <c r="N111" s="175">
        <v>0.78453200000000001</v>
      </c>
      <c r="O111" s="175">
        <v>0.78413299999999997</v>
      </c>
      <c r="P111" s="175">
        <v>0.71108700000000002</v>
      </c>
      <c r="Q111" s="175">
        <v>0.73842799999999997</v>
      </c>
      <c r="R111" s="175">
        <v>0.63095199999999996</v>
      </c>
      <c r="S111" s="175">
        <v>0.65055600000000002</v>
      </c>
      <c r="T111" s="175">
        <v>0.66513100000000003</v>
      </c>
      <c r="U111" s="175">
        <v>0</v>
      </c>
      <c r="V111"/>
      <c r="W111"/>
      <c r="X111"/>
      <c r="Y111"/>
      <c r="Z111"/>
    </row>
    <row r="112" spans="1:26" ht="15">
      <c r="A112" s="208"/>
      <c r="B112" s="133" t="s">
        <v>23</v>
      </c>
      <c r="C112" s="175">
        <v>0</v>
      </c>
      <c r="D112" s="175">
        <v>0</v>
      </c>
      <c r="E112" s="175">
        <v>0</v>
      </c>
      <c r="F112" s="175">
        <v>0</v>
      </c>
      <c r="G112" s="175">
        <v>0</v>
      </c>
      <c r="H112" s="175">
        <v>0</v>
      </c>
      <c r="I112" s="175">
        <v>0</v>
      </c>
      <c r="J112" s="175">
        <v>0</v>
      </c>
      <c r="K112" s="175">
        <v>0</v>
      </c>
      <c r="L112" s="175">
        <v>0</v>
      </c>
      <c r="M112" s="175">
        <v>0</v>
      </c>
      <c r="N112" s="175">
        <v>0</v>
      </c>
      <c r="O112" s="175">
        <v>0</v>
      </c>
      <c r="P112" s="175">
        <v>0</v>
      </c>
      <c r="Q112" s="175">
        <v>0</v>
      </c>
      <c r="R112" s="175">
        <v>0</v>
      </c>
      <c r="S112" s="175">
        <v>0</v>
      </c>
      <c r="T112" s="175">
        <v>0</v>
      </c>
      <c r="U112" s="175">
        <v>0</v>
      </c>
      <c r="V112"/>
      <c r="W112"/>
      <c r="X112"/>
      <c r="Y112"/>
      <c r="Z112"/>
    </row>
    <row r="113" spans="1:26" ht="15">
      <c r="A113" s="208"/>
      <c r="B113" s="137" t="s">
        <v>2</v>
      </c>
      <c r="C113" s="176">
        <v>713.30986199999995</v>
      </c>
      <c r="D113" s="176">
        <v>649.84944700000005</v>
      </c>
      <c r="E113" s="176">
        <v>711.96109200000001</v>
      </c>
      <c r="F113" s="176">
        <v>673.43979000000002</v>
      </c>
      <c r="G113" s="176">
        <v>700.75674900000001</v>
      </c>
      <c r="H113" s="176">
        <v>693.66707899999994</v>
      </c>
      <c r="I113" s="176">
        <v>754.31223199999999</v>
      </c>
      <c r="J113" s="176">
        <v>757.16552300000001</v>
      </c>
      <c r="K113" s="176">
        <v>724.22376499999996</v>
      </c>
      <c r="L113" s="176">
        <v>728.54527199999995</v>
      </c>
      <c r="M113" s="176">
        <v>709.22855300000003</v>
      </c>
      <c r="N113" s="176">
        <v>718.89893700000005</v>
      </c>
      <c r="O113" s="176">
        <v>719.36431300000004</v>
      </c>
      <c r="P113" s="176">
        <v>650.24016300000005</v>
      </c>
      <c r="Q113" s="176">
        <v>712.83775600000001</v>
      </c>
      <c r="R113" s="176">
        <v>675.69969500000002</v>
      </c>
      <c r="S113" s="176">
        <v>700.77768100000003</v>
      </c>
      <c r="T113" s="176">
        <v>712.30902100000003</v>
      </c>
      <c r="U113" s="176">
        <v>323.49880000000002</v>
      </c>
      <c r="V113"/>
      <c r="W113"/>
      <c r="X113"/>
      <c r="Y113"/>
      <c r="Z113"/>
    </row>
    <row r="114" spans="1:26" ht="15">
      <c r="A114" s="209"/>
      <c r="B114" s="137" t="s">
        <v>79</v>
      </c>
      <c r="C114" s="176">
        <v>713.30986199999995</v>
      </c>
      <c r="D114" s="176">
        <v>649.84944700000005</v>
      </c>
      <c r="E114" s="176">
        <v>711.96109200000001</v>
      </c>
      <c r="F114" s="176">
        <v>673.43979000000002</v>
      </c>
      <c r="G114" s="176">
        <v>700.75674900000001</v>
      </c>
      <c r="H114" s="176">
        <v>693.66707899999994</v>
      </c>
      <c r="I114" s="176">
        <v>754.31223199999999</v>
      </c>
      <c r="J114" s="176">
        <v>757.16552300000001</v>
      </c>
      <c r="K114" s="176">
        <v>724.22376499999996</v>
      </c>
      <c r="L114" s="176">
        <v>728.54527199999995</v>
      </c>
      <c r="M114" s="176">
        <v>709.22855300000003</v>
      </c>
      <c r="N114" s="176">
        <v>718.89893700000005</v>
      </c>
      <c r="O114" s="176">
        <v>719.36431300000004</v>
      </c>
      <c r="P114" s="176">
        <v>650.24016300000005</v>
      </c>
      <c r="Q114" s="176">
        <v>712.83775600000001</v>
      </c>
      <c r="R114" s="176">
        <v>675.69969500000002</v>
      </c>
      <c r="S114" s="176">
        <v>700.77768100000003</v>
      </c>
      <c r="T114" s="176">
        <v>712.30902100000003</v>
      </c>
      <c r="U114" s="176">
        <v>323.49880000000002</v>
      </c>
      <c r="V114"/>
      <c r="W114"/>
      <c r="X114"/>
      <c r="Y114"/>
      <c r="Z114"/>
    </row>
    <row r="115" spans="1:26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26">
      <c r="B117" s="205" t="s">
        <v>73</v>
      </c>
      <c r="C117" s="111" t="str">
        <f>TEXT(EDATE(D117,-1),"mmmm aaaa")</f>
        <v>junio 2022</v>
      </c>
      <c r="D117" s="111" t="str">
        <f t="shared" ref="D117:M117" si="6">TEXT(EDATE(E117,-1),"mmmm aaaa")</f>
        <v>julio 2022</v>
      </c>
      <c r="E117" s="111" t="str">
        <f t="shared" si="6"/>
        <v>agosto 2022</v>
      </c>
      <c r="F117" s="111" t="str">
        <f t="shared" si="6"/>
        <v>septiembre 2022</v>
      </c>
      <c r="G117" s="111" t="str">
        <f t="shared" si="6"/>
        <v>octubre 2022</v>
      </c>
      <c r="H117" s="111" t="str">
        <f t="shared" si="6"/>
        <v>noviembre 2022</v>
      </c>
      <c r="I117" s="111" t="str">
        <f t="shared" si="6"/>
        <v>diciembre 2022</v>
      </c>
      <c r="J117" s="111" t="str">
        <f t="shared" si="6"/>
        <v>enero 2023</v>
      </c>
      <c r="K117" s="111" t="str">
        <f t="shared" si="6"/>
        <v>febrero 2023</v>
      </c>
      <c r="L117" s="111" t="str">
        <f t="shared" si="6"/>
        <v>marzo 2023</v>
      </c>
      <c r="M117" s="111" t="str">
        <f t="shared" si="6"/>
        <v>abril 2023</v>
      </c>
      <c r="N117" s="111" t="str">
        <f>TEXT(EDATE(O117,-1),"mmmm aaaa")</f>
        <v>mayo 2023</v>
      </c>
      <c r="O117" s="112" t="str">
        <f>A2</f>
        <v>Junio 2023</v>
      </c>
    </row>
    <row r="118" spans="1:26">
      <c r="B118" s="206"/>
      <c r="C118" s="121" t="str">
        <f>TEXT(EDATE($A$2,-12),"mmm")&amp;".-"&amp;TEXT(EDATE($A$2,-12),"aa")</f>
        <v>jun.-22</v>
      </c>
      <c r="D118" s="121" t="str">
        <f>TEXT(EDATE($A$2,-11),"mmm")&amp;".-"&amp;TEXT(EDATE($A$2,-11),"aa")</f>
        <v>jul.-22</v>
      </c>
      <c r="E118" s="121" t="str">
        <f>TEXT(EDATE($A$2,-10),"mmm")&amp;".-"&amp;TEXT(EDATE($A$2,-10),"aa")</f>
        <v>ago.-22</v>
      </c>
      <c r="F118" s="121" t="str">
        <f>TEXT(EDATE($A$2,-9),"mmm")&amp;".-"&amp;TEXT(EDATE($A$2,-9),"aa")</f>
        <v>sep.-22</v>
      </c>
      <c r="G118" s="121" t="str">
        <f>TEXT(EDATE($A$2,-8),"mmm")&amp;".-"&amp;TEXT(EDATE($A$2,-8),"aa")</f>
        <v>oct.-22</v>
      </c>
      <c r="H118" s="121" t="str">
        <f>TEXT(EDATE($A$2,-7),"mmm")&amp;".-"&amp;TEXT(EDATE($A$2,-7),"aa")</f>
        <v>nov.-22</v>
      </c>
      <c r="I118" s="121" t="str">
        <f>TEXT(EDATE($A$2,-6),"mmm")&amp;".-"&amp;TEXT(EDATE($A$2,-6),"aa")</f>
        <v>dic.-22</v>
      </c>
      <c r="J118" s="121" t="str">
        <f>TEXT(EDATE($A$2,-5),"mmm")&amp;".-"&amp;TEXT(EDATE($A$2,-5),"aa")</f>
        <v>ene.-23</v>
      </c>
      <c r="K118" s="121" t="str">
        <f>TEXT(EDATE($A$2,-4),"mmm")&amp;".-"&amp;TEXT(EDATE($A$2,-4),"aa")</f>
        <v>feb.-23</v>
      </c>
      <c r="L118" s="121" t="str">
        <f>TEXT(EDATE($A$2,-3),"mmm")&amp;".-"&amp;TEXT(EDATE($A$2,-3),"aa")</f>
        <v>mar.-23</v>
      </c>
      <c r="M118" s="121" t="str">
        <f>TEXT(EDATE($A$2,-2),"mmm")&amp;".-"&amp;TEXT(EDATE($A$2,-2),"aa")</f>
        <v>abr.-23</v>
      </c>
      <c r="N118" s="121" t="str">
        <f>TEXT(EDATE($A$2,-1),"mmm")&amp;".-"&amp;TEXT(EDATE($A$2,-1),"aa")</f>
        <v>may.-23</v>
      </c>
      <c r="O118" s="143" t="str">
        <f>TEXT($A$2,"mmm")&amp;".-"&amp;TEXT($A$2,"aa")</f>
        <v>jun.-23</v>
      </c>
    </row>
    <row r="119" spans="1:26">
      <c r="A119" s="202" t="s">
        <v>76</v>
      </c>
      <c r="B119" s="122" t="s">
        <v>11</v>
      </c>
      <c r="C119" s="123">
        <f>HLOOKUP(C$117,$86:$101,3,FALSE)</f>
        <v>29.141857000000002</v>
      </c>
      <c r="D119" s="123">
        <f t="shared" ref="D119:N119" si="7">HLOOKUP(D$117,$86:$101,3,FALSE)</f>
        <v>50.189168000000002</v>
      </c>
      <c r="E119" s="123">
        <f t="shared" si="7"/>
        <v>5.2653150000000002</v>
      </c>
      <c r="F119" s="123">
        <f t="shared" si="7"/>
        <v>-0.60380599999999995</v>
      </c>
      <c r="G119" s="123">
        <f t="shared" si="7"/>
        <v>-0.613232</v>
      </c>
      <c r="H119" s="123">
        <f t="shared" si="7"/>
        <v>-0.58811800000000003</v>
      </c>
      <c r="I119" s="123">
        <f t="shared" si="7"/>
        <v>-0.62679200000000002</v>
      </c>
      <c r="J119" s="123">
        <f t="shared" si="7"/>
        <v>-0.72771799999999998</v>
      </c>
      <c r="K119" s="123">
        <f t="shared" si="7"/>
        <v>-0.70697299999999996</v>
      </c>
      <c r="L119" s="123">
        <f t="shared" si="7"/>
        <v>-0.51834000000000002</v>
      </c>
      <c r="M119" s="123">
        <f t="shared" si="7"/>
        <v>-0.60865999999999998</v>
      </c>
      <c r="N119" s="123">
        <f t="shared" si="7"/>
        <v>-0.83296899999999996</v>
      </c>
      <c r="O119" s="124">
        <f>HLOOKUP(O$117,$86:$101,3,FALSE)</f>
        <v>3.1799559999999998</v>
      </c>
    </row>
    <row r="120" spans="1:26">
      <c r="A120" s="203"/>
      <c r="B120" s="105" t="s">
        <v>10</v>
      </c>
      <c r="C120" s="107">
        <f>HLOOKUP(C$117,$86:$101,4,FALSE)</f>
        <v>52.984195999999997</v>
      </c>
      <c r="D120" s="107">
        <f t="shared" ref="D120:O120" si="8">HLOOKUP(D$117,$86:$101,4,FALSE)</f>
        <v>59.042844000000002</v>
      </c>
      <c r="E120" s="107">
        <f t="shared" si="8"/>
        <v>60.455578000000003</v>
      </c>
      <c r="F120" s="107">
        <f t="shared" si="8"/>
        <v>32.713324999999998</v>
      </c>
      <c r="G120" s="107">
        <f t="shared" si="8"/>
        <v>17.166284999999998</v>
      </c>
      <c r="H120" s="107">
        <f t="shared" si="8"/>
        <v>9.2819520000000004</v>
      </c>
      <c r="I120" s="107">
        <f t="shared" si="8"/>
        <v>2.2104400000000002</v>
      </c>
      <c r="J120" s="107">
        <f t="shared" si="8"/>
        <v>5.0179289999999996</v>
      </c>
      <c r="K120" s="107">
        <f t="shared" si="8"/>
        <v>15.008727</v>
      </c>
      <c r="L120" s="107">
        <f t="shared" si="8"/>
        <v>6.2192920000000003</v>
      </c>
      <c r="M120" s="107">
        <f t="shared" si="8"/>
        <v>7.134449</v>
      </c>
      <c r="N120" s="107">
        <f t="shared" si="8"/>
        <v>12.70701</v>
      </c>
      <c r="O120" s="124">
        <f t="shared" si="8"/>
        <v>20.755147999999998</v>
      </c>
    </row>
    <row r="121" spans="1:26">
      <c r="A121" s="203"/>
      <c r="B121" s="105" t="s">
        <v>9</v>
      </c>
      <c r="C121" s="107">
        <f>HLOOKUP(C$117,$86:$101,5,FALSE)</f>
        <v>32.914068</v>
      </c>
      <c r="D121" s="107">
        <f t="shared" ref="D121:O121" si="9">HLOOKUP(D$117,$86:$101,5,FALSE)</f>
        <v>59.770274999999998</v>
      </c>
      <c r="E121" s="107">
        <f t="shared" si="9"/>
        <v>67.572283999999996</v>
      </c>
      <c r="F121" s="107">
        <f t="shared" si="9"/>
        <v>56.444971000000002</v>
      </c>
      <c r="G121" s="107">
        <f t="shared" si="9"/>
        <v>42.597769999999997</v>
      </c>
      <c r="H121" s="107">
        <f t="shared" si="9"/>
        <v>23.111573</v>
      </c>
      <c r="I121" s="107">
        <f t="shared" si="9"/>
        <v>26.769898999999999</v>
      </c>
      <c r="J121" s="107">
        <f t="shared" si="9"/>
        <v>49.385100000000001</v>
      </c>
      <c r="K121" s="107">
        <f t="shared" si="9"/>
        <v>32.328426999999998</v>
      </c>
      <c r="L121" s="107">
        <f t="shared" si="9"/>
        <v>34.532919999999997</v>
      </c>
      <c r="M121" s="107">
        <f t="shared" si="9"/>
        <v>29.44258</v>
      </c>
      <c r="N121" s="107">
        <f t="shared" si="9"/>
        <v>35.218071999999999</v>
      </c>
      <c r="O121" s="124">
        <f t="shared" si="9"/>
        <v>56.449230999999997</v>
      </c>
    </row>
    <row r="122" spans="1:26" ht="14.25">
      <c r="A122" s="203"/>
      <c r="B122" s="105" t="s">
        <v>74</v>
      </c>
      <c r="C122" s="107">
        <f>HLOOKUP(C$117,$86:$101,6,FALSE)</f>
        <v>367.58788099999998</v>
      </c>
      <c r="D122" s="107">
        <f t="shared" ref="D122:O122" si="10">HLOOKUP(D$117,$86:$101,6,FALSE)</f>
        <v>396.959791</v>
      </c>
      <c r="E122" s="107">
        <f t="shared" si="10"/>
        <v>456.377207</v>
      </c>
      <c r="F122" s="107">
        <f t="shared" si="10"/>
        <v>377.07382699999999</v>
      </c>
      <c r="G122" s="107">
        <f t="shared" si="10"/>
        <v>297.32130999999998</v>
      </c>
      <c r="H122" s="107">
        <f t="shared" si="10"/>
        <v>234.47985499999999</v>
      </c>
      <c r="I122" s="107">
        <f t="shared" si="10"/>
        <v>251.18496099999999</v>
      </c>
      <c r="J122" s="107">
        <f t="shared" si="10"/>
        <v>236.33414099999999</v>
      </c>
      <c r="K122" s="107">
        <f t="shared" si="10"/>
        <v>250.50749099999999</v>
      </c>
      <c r="L122" s="107">
        <f t="shared" si="10"/>
        <v>233.28242</v>
      </c>
      <c r="M122" s="107">
        <f t="shared" si="10"/>
        <v>207.738203</v>
      </c>
      <c r="N122" s="107">
        <f t="shared" si="10"/>
        <v>231.47546199999999</v>
      </c>
      <c r="O122" s="124">
        <f t="shared" si="10"/>
        <v>269.55010299999998</v>
      </c>
    </row>
    <row r="123" spans="1:26">
      <c r="A123" s="203"/>
      <c r="B123" s="105" t="s">
        <v>24</v>
      </c>
      <c r="C123" s="107">
        <f>HLOOKUP(C$117,$86:$101,7,FALSE)</f>
        <v>0</v>
      </c>
      <c r="D123" s="107">
        <f t="shared" ref="D123:O123" si="11">HLOOKUP(D$117,$86:$101,7,FALSE)</f>
        <v>2.6835830000000001</v>
      </c>
      <c r="E123" s="107">
        <f t="shared" si="11"/>
        <v>4.441192</v>
      </c>
      <c r="F123" s="107">
        <f t="shared" si="11"/>
        <v>4.0880280000000004</v>
      </c>
      <c r="G123" s="107">
        <f t="shared" si="11"/>
        <v>0.904698</v>
      </c>
      <c r="H123" s="107">
        <f t="shared" si="11"/>
        <v>0</v>
      </c>
      <c r="I123" s="107">
        <f t="shared" si="11"/>
        <v>0</v>
      </c>
      <c r="J123" s="107">
        <f t="shared" si="11"/>
        <v>0</v>
      </c>
      <c r="K123" s="107">
        <f t="shared" si="11"/>
        <v>0</v>
      </c>
      <c r="L123" s="107">
        <f t="shared" si="11"/>
        <v>0</v>
      </c>
      <c r="M123" s="107">
        <f t="shared" si="11"/>
        <v>0</v>
      </c>
      <c r="N123" s="107">
        <f t="shared" si="11"/>
        <v>0</v>
      </c>
      <c r="O123" s="124">
        <f t="shared" si="11"/>
        <v>0</v>
      </c>
    </row>
    <row r="124" spans="1:26">
      <c r="A124" s="203"/>
      <c r="B124" s="105" t="s">
        <v>5</v>
      </c>
      <c r="C124" s="107">
        <f>HLOOKUP(C$117,$86:$102,8,FALSE)</f>
        <v>6.1459E-2</v>
      </c>
      <c r="D124" s="107">
        <f t="shared" ref="D124:O124" si="12">HLOOKUP(D$117,$86:$102,8,FALSE)</f>
        <v>3.0289E-2</v>
      </c>
      <c r="E124" s="107">
        <f t="shared" si="12"/>
        <v>3.2219999999999999E-2</v>
      </c>
      <c r="F124" s="107">
        <f t="shared" si="12"/>
        <v>1.2760000000000001E-2</v>
      </c>
      <c r="G124" s="107">
        <f t="shared" si="12"/>
        <v>2.8530000000000001E-3</v>
      </c>
      <c r="H124" s="107">
        <f t="shared" si="12"/>
        <v>2.5883E-2</v>
      </c>
      <c r="I124" s="107">
        <f t="shared" si="12"/>
        <v>0.100989</v>
      </c>
      <c r="J124" s="107">
        <f t="shared" si="12"/>
        <v>0.21573000000000001</v>
      </c>
      <c r="K124" s="107">
        <f t="shared" si="12"/>
        <v>0.18323999999999999</v>
      </c>
      <c r="L124" s="107">
        <f t="shared" si="12"/>
        <v>0.20035</v>
      </c>
      <c r="M124" s="107">
        <f t="shared" si="12"/>
        <v>0.12734500000000001</v>
      </c>
      <c r="N124" s="107">
        <f t="shared" si="12"/>
        <v>0.24965100000000001</v>
      </c>
      <c r="O124" s="124">
        <f t="shared" si="12"/>
        <v>5.6180000000000001E-2</v>
      </c>
    </row>
    <row r="125" spans="1:26">
      <c r="A125" s="203"/>
      <c r="B125" s="105" t="s">
        <v>4</v>
      </c>
      <c r="C125" s="107">
        <f>HLOOKUP(C$117,$86:$102,9,FALSE)</f>
        <v>29.26784</v>
      </c>
      <c r="D125" s="107">
        <f t="shared" ref="D125:O125" si="13">HLOOKUP(D$117,$86:$102,9,FALSE)</f>
        <v>33.069572000000001</v>
      </c>
      <c r="E125" s="107">
        <f t="shared" si="13"/>
        <v>29.670628000000001</v>
      </c>
      <c r="F125" s="107">
        <f t="shared" si="13"/>
        <v>25.077711000000001</v>
      </c>
      <c r="G125" s="107">
        <f t="shared" si="13"/>
        <v>23.563777000000002</v>
      </c>
      <c r="H125" s="107">
        <f t="shared" si="13"/>
        <v>17.217534000000001</v>
      </c>
      <c r="I125" s="107">
        <f t="shared" si="13"/>
        <v>15.034399000000001</v>
      </c>
      <c r="J125" s="107">
        <f t="shared" si="13"/>
        <v>18.176791999999999</v>
      </c>
      <c r="K125" s="107">
        <f t="shared" si="13"/>
        <v>21.958507000000001</v>
      </c>
      <c r="L125" s="107">
        <f t="shared" si="13"/>
        <v>34.017825999999999</v>
      </c>
      <c r="M125" s="107">
        <f t="shared" si="13"/>
        <v>36.519472</v>
      </c>
      <c r="N125" s="107">
        <f t="shared" si="13"/>
        <v>33.460431999999997</v>
      </c>
      <c r="O125" s="124">
        <f t="shared" si="13"/>
        <v>35.587198000000001</v>
      </c>
    </row>
    <row r="126" spans="1:26">
      <c r="A126" s="203"/>
      <c r="B126" s="113" t="s">
        <v>22</v>
      </c>
      <c r="C126" s="107">
        <f>HLOOKUP(C$117,$86:$102,10,FALSE)</f>
        <v>0.111179</v>
      </c>
      <c r="D126" s="107">
        <f t="shared" ref="D126:O126" si="14">HLOOKUP(D$117,$86:$102,10,FALSE)</f>
        <v>9.5128000000000004E-2</v>
      </c>
      <c r="E126" s="107">
        <f t="shared" si="14"/>
        <v>5.6752999999999998E-2</v>
      </c>
      <c r="F126" s="107">
        <f t="shared" si="14"/>
        <v>7.1924000000000002E-2</v>
      </c>
      <c r="G126" s="107">
        <f t="shared" si="14"/>
        <v>9.6991999999999995E-2</v>
      </c>
      <c r="H126" s="107">
        <f t="shared" si="14"/>
        <v>8.4503999999999996E-2</v>
      </c>
      <c r="I126" s="107">
        <f t="shared" si="14"/>
        <v>7.7099000000000001E-2</v>
      </c>
      <c r="J126" s="107">
        <f t="shared" si="14"/>
        <v>9.3608999999999998E-2</v>
      </c>
      <c r="K126" s="107">
        <f t="shared" si="14"/>
        <v>0.13599800000000001</v>
      </c>
      <c r="L126" s="107">
        <f t="shared" si="14"/>
        <v>0.11230800000000001</v>
      </c>
      <c r="M126" s="107">
        <f t="shared" si="14"/>
        <v>7.399E-2</v>
      </c>
      <c r="N126" s="107">
        <f t="shared" si="14"/>
        <v>9.0162999999999993E-2</v>
      </c>
      <c r="O126" s="124">
        <f t="shared" si="14"/>
        <v>8.4139000000000005E-2</v>
      </c>
    </row>
    <row r="127" spans="1:26">
      <c r="A127" s="203"/>
      <c r="B127" s="113" t="s">
        <v>23</v>
      </c>
      <c r="C127" s="107">
        <f>HLOOKUP(C$117,$86:$102,11,FALSE)</f>
        <v>1.5363420000000001</v>
      </c>
      <c r="D127" s="107">
        <f t="shared" ref="D127:O127" si="15">HLOOKUP(D$117,$86:$102,11,FALSE)</f>
        <v>1.1719729999999999</v>
      </c>
      <c r="E127" s="107">
        <f t="shared" si="15"/>
        <v>5.1333999999999998E-2</v>
      </c>
      <c r="F127" s="107">
        <f t="shared" si="15"/>
        <v>2.0373130000000002</v>
      </c>
      <c r="G127" s="107">
        <f t="shared" si="15"/>
        <v>1.826864</v>
      </c>
      <c r="H127" s="107">
        <f t="shared" si="15"/>
        <v>2.5541079999999998</v>
      </c>
      <c r="I127" s="107">
        <f t="shared" si="15"/>
        <v>2.9410020000000001</v>
      </c>
      <c r="J127" s="107">
        <f t="shared" si="15"/>
        <v>3.055609</v>
      </c>
      <c r="K127" s="107">
        <f t="shared" si="15"/>
        <v>3.0516040000000002</v>
      </c>
      <c r="L127" s="107">
        <f t="shared" si="15"/>
        <v>3.5856219999999999</v>
      </c>
      <c r="M127" s="107">
        <f t="shared" si="15"/>
        <v>3.6202459999999999</v>
      </c>
      <c r="N127" s="107">
        <f t="shared" si="15"/>
        <v>3.5176020000000001</v>
      </c>
      <c r="O127" s="124">
        <f t="shared" si="15"/>
        <v>3.7894670000000001</v>
      </c>
    </row>
    <row r="128" spans="1:26">
      <c r="A128" s="203"/>
      <c r="B128" s="105" t="s">
        <v>55</v>
      </c>
      <c r="C128" s="107">
        <f t="shared" ref="C128:O128" si="16">HLOOKUP(C$117,$86:$102,13,FALSE)</f>
        <v>13.186323</v>
      </c>
      <c r="D128" s="107">
        <f t="shared" si="16"/>
        <v>16.1606655</v>
      </c>
      <c r="E128" s="107">
        <f t="shared" si="16"/>
        <v>13.6723105</v>
      </c>
      <c r="F128" s="107">
        <f t="shared" si="16"/>
        <v>13.5816645</v>
      </c>
      <c r="G128" s="107">
        <f t="shared" si="16"/>
        <v>11.230755</v>
      </c>
      <c r="H128" s="107">
        <f t="shared" si="16"/>
        <v>10.188828000000001</v>
      </c>
      <c r="I128" s="107">
        <f t="shared" si="16"/>
        <v>10.4136255</v>
      </c>
      <c r="J128" s="107">
        <f t="shared" si="16"/>
        <v>7.3618245</v>
      </c>
      <c r="K128" s="107">
        <f t="shared" si="16"/>
        <v>9.8298860000000001</v>
      </c>
      <c r="L128" s="107">
        <f t="shared" si="16"/>
        <v>9.6378819999999994</v>
      </c>
      <c r="M128" s="107">
        <f t="shared" si="16"/>
        <v>10.65733</v>
      </c>
      <c r="N128" s="107">
        <f t="shared" si="16"/>
        <v>12.228600500000001</v>
      </c>
      <c r="O128" s="124">
        <f t="shared" si="16"/>
        <v>15.5976535</v>
      </c>
    </row>
    <row r="129" spans="1:15">
      <c r="A129" s="203"/>
      <c r="B129" s="105" t="s">
        <v>54</v>
      </c>
      <c r="C129" s="107">
        <f>HLOOKUP(C$117,$86:$102,12,FALSE)</f>
        <v>13.186323</v>
      </c>
      <c r="D129" s="107">
        <f t="shared" ref="D129:O129" si="17">HLOOKUP(D$117,$86:$102,12,FALSE)</f>
        <v>16.1606655</v>
      </c>
      <c r="E129" s="107">
        <f t="shared" si="17"/>
        <v>13.6723105</v>
      </c>
      <c r="F129" s="107">
        <f t="shared" si="17"/>
        <v>13.5816645</v>
      </c>
      <c r="G129" s="107">
        <f t="shared" si="17"/>
        <v>11.230755</v>
      </c>
      <c r="H129" s="107">
        <f t="shared" si="17"/>
        <v>10.188828000000001</v>
      </c>
      <c r="I129" s="107">
        <f t="shared" si="17"/>
        <v>10.4136255</v>
      </c>
      <c r="J129" s="107">
        <f t="shared" si="17"/>
        <v>7.3618245</v>
      </c>
      <c r="K129" s="107">
        <f t="shared" si="17"/>
        <v>9.8298860000000001</v>
      </c>
      <c r="L129" s="107">
        <f t="shared" si="17"/>
        <v>9.6378819999999994</v>
      </c>
      <c r="M129" s="107">
        <f t="shared" si="17"/>
        <v>10.65733</v>
      </c>
      <c r="N129" s="107">
        <f t="shared" si="17"/>
        <v>12.228600500000001</v>
      </c>
      <c r="O129" s="124">
        <f t="shared" si="17"/>
        <v>15.5976535</v>
      </c>
    </row>
    <row r="130" spans="1:15">
      <c r="A130" s="203"/>
      <c r="B130" s="114" t="s">
        <v>2</v>
      </c>
      <c r="C130" s="115">
        <f>HLOOKUP(C$117,$86:$102,14,FALSE)</f>
        <v>539.97746800000004</v>
      </c>
      <c r="D130" s="115">
        <f t="shared" ref="D130:O130" si="18">HLOOKUP(D$117,$86:$102,14,FALSE)</f>
        <v>635.33395399999995</v>
      </c>
      <c r="E130" s="115">
        <f t="shared" si="18"/>
        <v>651.26713199999995</v>
      </c>
      <c r="F130" s="115">
        <f t="shared" si="18"/>
        <v>524.07938200000001</v>
      </c>
      <c r="G130" s="115">
        <f t="shared" si="18"/>
        <v>405.32882699999999</v>
      </c>
      <c r="H130" s="115">
        <f t="shared" si="18"/>
        <v>306.54494699999998</v>
      </c>
      <c r="I130" s="115">
        <f t="shared" si="18"/>
        <v>318.519248</v>
      </c>
      <c r="J130" s="115">
        <f t="shared" si="18"/>
        <v>326.27484099999998</v>
      </c>
      <c r="K130" s="115">
        <f t="shared" si="18"/>
        <v>342.12679300000002</v>
      </c>
      <c r="L130" s="115">
        <f t="shared" si="18"/>
        <v>330.70816200000002</v>
      </c>
      <c r="M130" s="115">
        <f t="shared" si="18"/>
        <v>305.36228499999999</v>
      </c>
      <c r="N130" s="115">
        <f t="shared" si="18"/>
        <v>340.342624</v>
      </c>
      <c r="O130" s="125">
        <f t="shared" si="18"/>
        <v>420.64672899999999</v>
      </c>
    </row>
    <row r="131" spans="1:15">
      <c r="A131" s="203"/>
      <c r="B131" s="105" t="s">
        <v>21</v>
      </c>
      <c r="C131" s="116">
        <f>HLOOKUP(C$117,$86:$102,15,FALSE)</f>
        <v>35.225064000000003</v>
      </c>
      <c r="D131" s="116">
        <f t="shared" ref="D131:O131" si="19">HLOOKUP(D$117,$86:$102,15,FALSE)</f>
        <v>67.033137999999994</v>
      </c>
      <c r="E131" s="116">
        <f t="shared" si="19"/>
        <v>77.653036</v>
      </c>
      <c r="F131" s="116">
        <f t="shared" si="19"/>
        <v>70.647335999999996</v>
      </c>
      <c r="G131" s="116">
        <f t="shared" si="19"/>
        <v>61.365385000000003</v>
      </c>
      <c r="H131" s="116">
        <f t="shared" si="19"/>
        <v>55.991686000000001</v>
      </c>
      <c r="I131" s="116">
        <f t="shared" si="19"/>
        <v>79.778822000000005</v>
      </c>
      <c r="J131" s="116">
        <f t="shared" si="19"/>
        <v>123.950131</v>
      </c>
      <c r="K131" s="116">
        <f t="shared" si="19"/>
        <v>89.734262000000001</v>
      </c>
      <c r="L131" s="116">
        <f t="shared" si="19"/>
        <v>82.194308000000007</v>
      </c>
      <c r="M131" s="116">
        <f t="shared" si="19"/>
        <v>98.033413999999993</v>
      </c>
      <c r="N131" s="116">
        <f t="shared" si="19"/>
        <v>118.762416</v>
      </c>
      <c r="O131" s="116">
        <f t="shared" si="19"/>
        <v>124.350134</v>
      </c>
    </row>
    <row r="132" spans="1:15">
      <c r="A132" s="203"/>
      <c r="B132" s="117" t="s">
        <v>1</v>
      </c>
      <c r="C132" s="118">
        <f>HLOOKUP(C$117,$86:$102,16,FALSE)</f>
        <v>575.20253200000002</v>
      </c>
      <c r="D132" s="118">
        <f t="shared" ref="D132:O132" si="20">HLOOKUP(D$117,$86:$102,16,FALSE)</f>
        <v>702.36709199999996</v>
      </c>
      <c r="E132" s="118">
        <f t="shared" si="20"/>
        <v>728.92016799999999</v>
      </c>
      <c r="F132" s="118">
        <f t="shared" si="20"/>
        <v>594.72671800000001</v>
      </c>
      <c r="G132" s="118">
        <f t="shared" si="20"/>
        <v>466.69421199999999</v>
      </c>
      <c r="H132" s="118">
        <f t="shared" si="20"/>
        <v>362.53663299999999</v>
      </c>
      <c r="I132" s="118">
        <f t="shared" si="20"/>
        <v>398.29807</v>
      </c>
      <c r="J132" s="118">
        <f t="shared" si="20"/>
        <v>450.22497199999998</v>
      </c>
      <c r="K132" s="118">
        <f t="shared" si="20"/>
        <v>431.86105500000002</v>
      </c>
      <c r="L132" s="118">
        <f t="shared" si="20"/>
        <v>412.90246999999999</v>
      </c>
      <c r="M132" s="118">
        <f t="shared" si="20"/>
        <v>403.39569899999998</v>
      </c>
      <c r="N132" s="118">
        <f t="shared" si="20"/>
        <v>459.10503999999997</v>
      </c>
      <c r="O132" s="118">
        <f t="shared" si="20"/>
        <v>544.99686299999996</v>
      </c>
    </row>
    <row r="133" spans="1:15" ht="14.25">
      <c r="A133" s="204"/>
      <c r="B133" s="126" t="s">
        <v>75</v>
      </c>
      <c r="C133" s="127">
        <f>C120+C121+C123</f>
        <v>85.898263999999998</v>
      </c>
      <c r="D133" s="127">
        <f>D120+D121+D123</f>
        <v>121.496702</v>
      </c>
      <c r="E133" s="127">
        <f t="shared" ref="E133:O133" si="21">E120+E121+E123</f>
        <v>132.469054</v>
      </c>
      <c r="F133" s="127">
        <f t="shared" si="21"/>
        <v>93.246324000000001</v>
      </c>
      <c r="G133" s="127">
        <f t="shared" si="21"/>
        <v>60.668753000000002</v>
      </c>
      <c r="H133" s="127">
        <f t="shared" si="21"/>
        <v>32.393524999999997</v>
      </c>
      <c r="I133" s="127">
        <f t="shared" si="21"/>
        <v>28.980339000000001</v>
      </c>
      <c r="J133" s="127">
        <f t="shared" si="21"/>
        <v>54.403029000000004</v>
      </c>
      <c r="K133" s="127">
        <f t="shared" si="21"/>
        <v>47.337153999999998</v>
      </c>
      <c r="L133" s="127">
        <f t="shared" si="21"/>
        <v>40.752212</v>
      </c>
      <c r="M133" s="127">
        <f t="shared" si="21"/>
        <v>36.577028999999996</v>
      </c>
      <c r="N133" s="127">
        <f t="shared" si="21"/>
        <v>47.925082000000003</v>
      </c>
      <c r="O133" s="127">
        <f t="shared" si="21"/>
        <v>77.204378999999989</v>
      </c>
    </row>
    <row r="134" spans="1:15">
      <c r="A134" s="202" t="s">
        <v>77</v>
      </c>
      <c r="B134" s="128" t="s">
        <v>73</v>
      </c>
      <c r="C134" s="111" t="str">
        <f>TEXT(EDATE($A$2,-12),"mmm")&amp;".-"&amp;TEXT(EDATE($A$2,-12),"aa")</f>
        <v>jun.-22</v>
      </c>
      <c r="D134" s="111" t="str">
        <f>TEXT(EDATE($A$2,-11),"mmm")&amp;".-"&amp;TEXT(EDATE($A$2,-11),"aa")</f>
        <v>jul.-22</v>
      </c>
      <c r="E134" s="111" t="str">
        <f>TEXT(EDATE($A$2,-10),"mmm")&amp;".-"&amp;TEXT(EDATE($A$2,-10),"aa")</f>
        <v>ago.-22</v>
      </c>
      <c r="F134" s="111" t="str">
        <f>TEXT(EDATE($A$2,-9),"mmm")&amp;".-"&amp;TEXT(EDATE($A$2,-9),"aa")</f>
        <v>sep.-22</v>
      </c>
      <c r="G134" s="111" t="str">
        <f>TEXT(EDATE($A$2,-8),"mmm")&amp;".-"&amp;TEXT(EDATE($A$2,-8),"aa")</f>
        <v>oct.-22</v>
      </c>
      <c r="H134" s="111" t="str">
        <f>TEXT(EDATE($A$2,-7),"mmm")&amp;".-"&amp;TEXT(EDATE($A$2,-7),"aa")</f>
        <v>nov.-22</v>
      </c>
      <c r="I134" s="111" t="str">
        <f>TEXT(EDATE($A$2,-6),"mmm")&amp;".-"&amp;TEXT(EDATE($A$2,-6),"aa")</f>
        <v>dic.-22</v>
      </c>
      <c r="J134" s="111" t="str">
        <f>TEXT(EDATE($A$2,-5),"mmm")&amp;".-"&amp;TEXT(EDATE($A$2,-5),"aa")</f>
        <v>ene.-23</v>
      </c>
      <c r="K134" s="111" t="str">
        <f>TEXT(EDATE($A$2,-4),"mmm")&amp;".-"&amp;TEXT(EDATE($A$2,-4),"aa")</f>
        <v>feb.-23</v>
      </c>
      <c r="L134" s="111" t="str">
        <f>TEXT(EDATE($A$2,-3),"mmm")&amp;".-"&amp;TEXT(EDATE($A$2,-3),"aa")</f>
        <v>mar.-23</v>
      </c>
      <c r="M134" s="111" t="str">
        <f>TEXT(EDATE($A$2,-2),"mmm")&amp;".-"&amp;TEXT(EDATE($A$2,-2),"aa")</f>
        <v>abr.-23</v>
      </c>
      <c r="N134" s="111" t="str">
        <f>TEXT(EDATE($A$2,-1),"mmm")&amp;".-"&amp;TEXT(EDATE($A$2,-1),"aa")</f>
        <v>may.-23</v>
      </c>
      <c r="O134" s="112" t="str">
        <f>TEXT($A$2,"mmm")&amp;".-"&amp;TEXT($A$2,"aa")</f>
        <v>jun.-23</v>
      </c>
    </row>
    <row r="135" spans="1:15" ht="15" customHeight="1">
      <c r="A135" s="203"/>
      <c r="B135" s="105" t="s">
        <v>12</v>
      </c>
      <c r="C135" s="107">
        <f>HLOOKUP(C$117,$86:$115,17,FALSE)</f>
        <v>0.28138299999999999</v>
      </c>
      <c r="D135" s="107">
        <f t="shared" ref="D135:N135" si="22">HLOOKUP(D$117,$86:$115,17,FALSE)</f>
        <v>0.29436099999999998</v>
      </c>
      <c r="E135" s="107">
        <f t="shared" si="22"/>
        <v>0.29274699999999998</v>
      </c>
      <c r="F135" s="107">
        <f t="shared" si="22"/>
        <v>0.28892499999999999</v>
      </c>
      <c r="G135" s="107">
        <f t="shared" si="22"/>
        <v>0.29400900000000002</v>
      </c>
      <c r="H135" s="107">
        <f t="shared" si="22"/>
        <v>0.27748800000000001</v>
      </c>
      <c r="I135" s="107">
        <f t="shared" si="22"/>
        <v>0.28856799999999999</v>
      </c>
      <c r="J135" s="107">
        <f t="shared" si="22"/>
        <v>0.27497500000000002</v>
      </c>
      <c r="K135" s="107">
        <f t="shared" si="22"/>
        <v>0.25442500000000001</v>
      </c>
      <c r="L135" s="107">
        <f t="shared" si="22"/>
        <v>0.29023300000000002</v>
      </c>
      <c r="M135" s="107">
        <f t="shared" si="22"/>
        <v>0.27610800000000002</v>
      </c>
      <c r="N135" s="107">
        <f t="shared" si="22"/>
        <v>0.29790899999999998</v>
      </c>
      <c r="O135" s="144">
        <f>HLOOKUP(O$117,$86:$115,17,FALSE)</f>
        <v>0.28383700000000001</v>
      </c>
    </row>
    <row r="136" spans="1:15">
      <c r="A136" s="203"/>
      <c r="B136" s="105" t="s">
        <v>10</v>
      </c>
      <c r="C136" s="107">
        <f>HLOOKUP(C$117,$86:$115,18,FALSE)+HLOOKUP(C$117,$86:$115,22,FALSE)</f>
        <v>140.176005</v>
      </c>
      <c r="D136" s="107">
        <f>HLOOKUP(D$117,$86:$115,18,FALSE)+HLOOKUP(D$117,$86:$115,22,FALSE)</f>
        <v>145.15529100000001</v>
      </c>
      <c r="E136" s="107">
        <f t="shared" ref="E136:N136" si="23">HLOOKUP(E$117,$86:$115,18,FALSE)+HLOOKUP(E$117,$86:$115,22,FALSE)</f>
        <v>144.43334199999998</v>
      </c>
      <c r="F136" s="107">
        <f t="shared" si="23"/>
        <v>147.13243900000001</v>
      </c>
      <c r="G136" s="107">
        <f t="shared" si="23"/>
        <v>153.67971399999999</v>
      </c>
      <c r="H136" s="107">
        <f t="shared" si="23"/>
        <v>154.14347199999997</v>
      </c>
      <c r="I136" s="107">
        <f t="shared" si="23"/>
        <v>168.09939200000002</v>
      </c>
      <c r="J136" s="107">
        <f t="shared" si="23"/>
        <v>149.65270200000001</v>
      </c>
      <c r="K136" s="107">
        <f t="shared" si="23"/>
        <v>151.161632</v>
      </c>
      <c r="L136" s="107">
        <f t="shared" si="23"/>
        <v>141.34883499999998</v>
      </c>
      <c r="M136" s="107">
        <f t="shared" si="23"/>
        <v>149.84285</v>
      </c>
      <c r="N136" s="107">
        <f t="shared" si="23"/>
        <v>152.65936299999998</v>
      </c>
      <c r="O136" s="124">
        <f>HLOOKUP(O$117,$86:$115,18,FALSE)+HLOOKUP(O$117,$86:$115,22,FALSE)</f>
        <v>159.42586699999998</v>
      </c>
    </row>
    <row r="137" spans="1:15">
      <c r="A137" s="203"/>
      <c r="B137" s="105" t="s">
        <v>9</v>
      </c>
      <c r="C137" s="107">
        <f>HLOOKUP(C$117,$86:$115,19,FALSE)</f>
        <v>14.745179</v>
      </c>
      <c r="D137" s="107">
        <f t="shared" ref="D137:O137" si="24">HLOOKUP(D$117,$86:$115,19,FALSE)</f>
        <v>19.947948</v>
      </c>
      <c r="E137" s="107">
        <f t="shared" si="24"/>
        <v>17.951955999999999</v>
      </c>
      <c r="F137" s="107">
        <f t="shared" si="24"/>
        <v>27.959973000000002</v>
      </c>
      <c r="G137" s="107">
        <f t="shared" si="24"/>
        <v>36.672798</v>
      </c>
      <c r="H137" s="107">
        <f t="shared" si="24"/>
        <v>23.967887999999999</v>
      </c>
      <c r="I137" s="107">
        <f t="shared" si="24"/>
        <v>22.080762</v>
      </c>
      <c r="J137" s="107">
        <f t="shared" si="24"/>
        <v>14.760491</v>
      </c>
      <c r="K137" s="107">
        <f t="shared" si="24"/>
        <v>26.990496</v>
      </c>
      <c r="L137" s="107">
        <f t="shared" si="24"/>
        <v>16.813075000000001</v>
      </c>
      <c r="M137" s="107">
        <f t="shared" si="24"/>
        <v>21.092299000000001</v>
      </c>
      <c r="N137" s="107">
        <f t="shared" si="24"/>
        <v>23.467611000000002</v>
      </c>
      <c r="O137" s="124">
        <f t="shared" si="24"/>
        <v>20.997603000000002</v>
      </c>
    </row>
    <row r="138" spans="1:15">
      <c r="A138" s="203"/>
      <c r="B138" s="105" t="s">
        <v>8</v>
      </c>
      <c r="C138" s="107">
        <f>HLOOKUP(C$117,$86:$115,20,FALSE)</f>
        <v>60.625900999999999</v>
      </c>
      <c r="D138" s="107">
        <f t="shared" ref="D138:O138" si="25">HLOOKUP(D$117,$86:$115,20,FALSE)</f>
        <v>73.212086999999997</v>
      </c>
      <c r="E138" s="107">
        <f t="shared" si="25"/>
        <v>102.417013</v>
      </c>
      <c r="F138" s="107">
        <f t="shared" si="25"/>
        <v>110.953991</v>
      </c>
      <c r="G138" s="107">
        <f t="shared" si="25"/>
        <v>118.59882</v>
      </c>
      <c r="H138" s="107">
        <f t="shared" si="25"/>
        <v>93.771169</v>
      </c>
      <c r="I138" s="107">
        <f t="shared" si="25"/>
        <v>122.69665500000001</v>
      </c>
      <c r="J138" s="107">
        <f t="shared" si="25"/>
        <v>118.030389</v>
      </c>
      <c r="K138" s="107">
        <f t="shared" si="25"/>
        <v>118.052049</v>
      </c>
      <c r="L138" s="107">
        <f t="shared" si="25"/>
        <v>103.679242</v>
      </c>
      <c r="M138" s="107">
        <f t="shared" si="25"/>
        <v>89.164951000000002</v>
      </c>
      <c r="N138" s="107">
        <f t="shared" si="25"/>
        <v>84.880949000000001</v>
      </c>
      <c r="O138" s="124">
        <f t="shared" si="25"/>
        <v>84.905440999999996</v>
      </c>
    </row>
    <row r="139" spans="1:15" ht="14.25">
      <c r="A139" s="203"/>
      <c r="B139" s="105" t="s">
        <v>74</v>
      </c>
      <c r="C139" s="107">
        <f>HLOOKUP(C$117,$86:$115,21,FALSE)</f>
        <v>283.58392400000002</v>
      </c>
      <c r="D139" s="107">
        <f t="shared" ref="D139:O139" si="26">HLOOKUP(D$117,$86:$115,21,FALSE)</f>
        <v>295.51749599999999</v>
      </c>
      <c r="E139" s="107">
        <f t="shared" si="26"/>
        <v>269.79137200000002</v>
      </c>
      <c r="F139" s="107">
        <f t="shared" si="26"/>
        <v>285.29845599999999</v>
      </c>
      <c r="G139" s="107">
        <f t="shared" si="26"/>
        <v>305.38632699999999</v>
      </c>
      <c r="H139" s="107">
        <f t="shared" si="26"/>
        <v>309.74341800000002</v>
      </c>
      <c r="I139" s="107">
        <f t="shared" si="26"/>
        <v>347.66188299999999</v>
      </c>
      <c r="J139" s="107">
        <f t="shared" si="26"/>
        <v>279.418815</v>
      </c>
      <c r="K139" s="107">
        <f t="shared" si="26"/>
        <v>289.33312999999998</v>
      </c>
      <c r="L139" s="107">
        <f t="shared" si="26"/>
        <v>284.83144399999998</v>
      </c>
      <c r="M139" s="107">
        <f t="shared" si="26"/>
        <v>279.54366599999997</v>
      </c>
      <c r="N139" s="107">
        <f t="shared" si="26"/>
        <v>275.34098399999999</v>
      </c>
      <c r="O139" s="124">
        <f t="shared" si="26"/>
        <v>351.45923099999999</v>
      </c>
    </row>
    <row r="140" spans="1:15">
      <c r="A140" s="203"/>
      <c r="B140" s="105" t="s">
        <v>6</v>
      </c>
      <c r="C140" s="107">
        <f>HLOOKUP(C$117,$86:$115,23,FALSE)</f>
        <v>2.44956</v>
      </c>
      <c r="D140" s="107">
        <f t="shared" ref="D140:O140" si="27">HLOOKUP(D$117,$86:$115,23,FALSE)</f>
        <v>3.5629430000000002</v>
      </c>
      <c r="E140" s="107">
        <f t="shared" si="27"/>
        <v>3.5176750000000001</v>
      </c>
      <c r="F140" s="107">
        <f t="shared" si="27"/>
        <v>2.0750950000000001</v>
      </c>
      <c r="G140" s="107">
        <f t="shared" si="27"/>
        <v>1.3500719999999999</v>
      </c>
      <c r="H140" s="107">
        <f t="shared" si="27"/>
        <v>1.1694089999999999</v>
      </c>
      <c r="I140" s="107">
        <f t="shared" si="27"/>
        <v>0.36710399999999999</v>
      </c>
      <c r="J140" s="107">
        <f t="shared" si="27"/>
        <v>1.6495040000000001</v>
      </c>
      <c r="K140" s="107">
        <f t="shared" si="27"/>
        <v>0.82934099999999999</v>
      </c>
      <c r="L140" s="107">
        <f t="shared" si="27"/>
        <v>1.5724450000000001</v>
      </c>
      <c r="M140" s="107">
        <f t="shared" si="27"/>
        <v>1.573337</v>
      </c>
      <c r="N140" s="107">
        <f t="shared" si="27"/>
        <v>2.0671949999999999</v>
      </c>
      <c r="O140" s="124">
        <f t="shared" si="27"/>
        <v>0.80873799999999996</v>
      </c>
    </row>
    <row r="141" spans="1:15">
      <c r="A141" s="203"/>
      <c r="B141" s="105" t="s">
        <v>5</v>
      </c>
      <c r="C141" s="107">
        <f>HLOOKUP(C$117,$86:$115,24,FALSE)</f>
        <v>160.356527</v>
      </c>
      <c r="D141" s="107">
        <f t="shared" ref="D141:O141" si="28">HLOOKUP(D$117,$86:$115,24,FALSE)</f>
        <v>181.49906899999999</v>
      </c>
      <c r="E141" s="107">
        <f t="shared" si="28"/>
        <v>185.782734</v>
      </c>
      <c r="F141" s="107">
        <f t="shared" si="28"/>
        <v>123.26133799999999</v>
      </c>
      <c r="G141" s="107">
        <f t="shared" si="28"/>
        <v>85.078937999999994</v>
      </c>
      <c r="H141" s="107">
        <f t="shared" si="28"/>
        <v>102.221262</v>
      </c>
      <c r="I141" s="107">
        <f t="shared" si="28"/>
        <v>37.913117999999997</v>
      </c>
      <c r="J141" s="107">
        <f t="shared" si="28"/>
        <v>132.72816599999999</v>
      </c>
      <c r="K141" s="107">
        <f t="shared" si="28"/>
        <v>42.685206000000001</v>
      </c>
      <c r="L141" s="107">
        <f t="shared" si="28"/>
        <v>131.43829199999999</v>
      </c>
      <c r="M141" s="107">
        <f t="shared" si="28"/>
        <v>103.68509299999999</v>
      </c>
      <c r="N141" s="107">
        <f t="shared" si="28"/>
        <v>130.95020099999999</v>
      </c>
      <c r="O141" s="124">
        <f t="shared" si="28"/>
        <v>63.396431</v>
      </c>
    </row>
    <row r="142" spans="1:15">
      <c r="A142" s="203"/>
      <c r="B142" s="105" t="s">
        <v>4</v>
      </c>
      <c r="C142" s="107">
        <f>HLOOKUP(C$117,$86:$115,25,FALSE)</f>
        <v>30.752493999999999</v>
      </c>
      <c r="D142" s="107">
        <f t="shared" ref="D142:O142" si="29">HLOOKUP(D$117,$86:$115,25,FALSE)</f>
        <v>34.434815</v>
      </c>
      <c r="E142" s="107">
        <f t="shared" si="29"/>
        <v>32.263370000000002</v>
      </c>
      <c r="F142" s="107">
        <f t="shared" si="29"/>
        <v>26.538736</v>
      </c>
      <c r="G142" s="107">
        <f t="shared" si="29"/>
        <v>26.753266</v>
      </c>
      <c r="H142" s="107">
        <f t="shared" si="29"/>
        <v>23.169461999999999</v>
      </c>
      <c r="I142" s="107">
        <f t="shared" si="29"/>
        <v>19.006923</v>
      </c>
      <c r="J142" s="107">
        <f t="shared" si="29"/>
        <v>22.065138000000001</v>
      </c>
      <c r="K142" s="107">
        <f t="shared" si="29"/>
        <v>20.222797</v>
      </c>
      <c r="L142" s="107">
        <f t="shared" si="29"/>
        <v>32.125762000000002</v>
      </c>
      <c r="M142" s="107">
        <f t="shared" si="29"/>
        <v>29.890439000000001</v>
      </c>
      <c r="N142" s="107">
        <f t="shared" si="29"/>
        <v>30.462913</v>
      </c>
      <c r="O142" s="124">
        <f t="shared" si="29"/>
        <v>30.366741999999999</v>
      </c>
    </row>
    <row r="143" spans="1:15">
      <c r="A143" s="203"/>
      <c r="B143" s="105" t="s">
        <v>22</v>
      </c>
      <c r="C143" s="107">
        <f>HLOOKUP(C$117,$86:$115,26,FALSE)</f>
        <v>0.696106</v>
      </c>
      <c r="D143" s="107">
        <f t="shared" ref="D143:O143" si="30">HLOOKUP(D$117,$86:$115,26,FALSE)</f>
        <v>0.688222</v>
      </c>
      <c r="E143" s="107">
        <f t="shared" si="30"/>
        <v>0.71531400000000001</v>
      </c>
      <c r="F143" s="107">
        <f t="shared" si="30"/>
        <v>0.714812</v>
      </c>
      <c r="G143" s="107">
        <f t="shared" si="30"/>
        <v>0.73132799999999998</v>
      </c>
      <c r="H143" s="107">
        <f t="shared" si="30"/>
        <v>0.76498500000000003</v>
      </c>
      <c r="I143" s="107">
        <f t="shared" si="30"/>
        <v>0.78453200000000001</v>
      </c>
      <c r="J143" s="107">
        <f t="shared" si="30"/>
        <v>0.78413299999999997</v>
      </c>
      <c r="K143" s="107">
        <f t="shared" si="30"/>
        <v>0.71108700000000002</v>
      </c>
      <c r="L143" s="107">
        <f t="shared" si="30"/>
        <v>0.73842799999999997</v>
      </c>
      <c r="M143" s="107">
        <f t="shared" si="30"/>
        <v>0.63095199999999996</v>
      </c>
      <c r="N143" s="107">
        <f t="shared" si="30"/>
        <v>0.65055600000000002</v>
      </c>
      <c r="O143" s="124">
        <f t="shared" si="30"/>
        <v>0.66513100000000003</v>
      </c>
    </row>
    <row r="144" spans="1:15">
      <c r="A144" s="203"/>
      <c r="B144" s="117" t="s">
        <v>1</v>
      </c>
      <c r="C144" s="118">
        <f>HLOOKUP(C$117,$86:$115,28,FALSE)</f>
        <v>693.66707899999994</v>
      </c>
      <c r="D144" s="118">
        <f t="shared" ref="D144:O144" si="31">HLOOKUP(D$117,$86:$115,28,FALSE)</f>
        <v>754.31223199999999</v>
      </c>
      <c r="E144" s="118">
        <f t="shared" si="31"/>
        <v>757.16552300000001</v>
      </c>
      <c r="F144" s="118">
        <f t="shared" si="31"/>
        <v>724.22376499999996</v>
      </c>
      <c r="G144" s="118">
        <f t="shared" si="31"/>
        <v>728.54527199999995</v>
      </c>
      <c r="H144" s="118">
        <f t="shared" si="31"/>
        <v>709.22855300000003</v>
      </c>
      <c r="I144" s="118">
        <f t="shared" si="31"/>
        <v>718.89893700000005</v>
      </c>
      <c r="J144" s="118">
        <f t="shared" si="31"/>
        <v>719.36431300000004</v>
      </c>
      <c r="K144" s="118">
        <f t="shared" si="31"/>
        <v>650.24016300000005</v>
      </c>
      <c r="L144" s="118">
        <f t="shared" si="31"/>
        <v>712.83775600000001</v>
      </c>
      <c r="M144" s="118">
        <f t="shared" si="31"/>
        <v>675.69969500000002</v>
      </c>
      <c r="N144" s="118">
        <f t="shared" si="31"/>
        <v>700.77768100000003</v>
      </c>
      <c r="O144" s="118">
        <f t="shared" si="31"/>
        <v>712.30902100000003</v>
      </c>
    </row>
    <row r="145" spans="1:26">
      <c r="A145" s="203"/>
      <c r="B145" s="119"/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9"/>
    </row>
    <row r="146" spans="1:26" ht="14.25">
      <c r="A146" s="204"/>
      <c r="B146" s="126" t="s">
        <v>75</v>
      </c>
      <c r="C146" s="130">
        <f>SUM(C136:C138)</f>
        <v>215.54708500000001</v>
      </c>
      <c r="D146" s="130">
        <f t="shared" ref="D146:N146" si="32">SUM(D136:D138)</f>
        <v>238.315326</v>
      </c>
      <c r="E146" s="130">
        <f t="shared" si="32"/>
        <v>264.80231099999997</v>
      </c>
      <c r="F146" s="130">
        <f t="shared" si="32"/>
        <v>286.046403</v>
      </c>
      <c r="G146" s="130">
        <f t="shared" si="32"/>
        <v>308.95133199999998</v>
      </c>
      <c r="H146" s="130">
        <f t="shared" si="32"/>
        <v>271.88252899999998</v>
      </c>
      <c r="I146" s="130">
        <f t="shared" si="32"/>
        <v>312.87680900000004</v>
      </c>
      <c r="J146" s="130">
        <f t="shared" si="32"/>
        <v>282.44358199999999</v>
      </c>
      <c r="K146" s="130">
        <f t="shared" si="32"/>
        <v>296.20417700000002</v>
      </c>
      <c r="L146" s="130">
        <f t="shared" si="32"/>
        <v>261.84115199999997</v>
      </c>
      <c r="M146" s="130">
        <f t="shared" si="32"/>
        <v>260.1001</v>
      </c>
      <c r="N146" s="130">
        <f t="shared" si="32"/>
        <v>261.00792300000001</v>
      </c>
      <c r="O146" s="131">
        <f>SUM(O136:O138)</f>
        <v>265.32891099999995</v>
      </c>
    </row>
    <row r="149" spans="1:26" ht="15">
      <c r="A149" s="157"/>
      <c r="B149" s="157" t="s">
        <v>68</v>
      </c>
      <c r="C149" s="201" t="s">
        <v>57</v>
      </c>
      <c r="D149" s="200"/>
      <c r="E149" s="200"/>
      <c r="F149" s="200"/>
      <c r="G149" s="200"/>
      <c r="H149" s="200"/>
      <c r="I149" s="200"/>
      <c r="J149" s="200"/>
      <c r="K149" s="200"/>
      <c r="L149" s="200"/>
      <c r="M149" s="200"/>
      <c r="N149" s="200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5">
      <c r="A150" s="157"/>
      <c r="B150" s="157" t="s">
        <v>69</v>
      </c>
      <c r="C150" s="182" t="s">
        <v>90</v>
      </c>
      <c r="D150" s="182" t="s">
        <v>91</v>
      </c>
      <c r="E150" s="182" t="s">
        <v>92</v>
      </c>
      <c r="F150" s="182" t="s">
        <v>93</v>
      </c>
      <c r="G150" s="182" t="s">
        <v>94</v>
      </c>
      <c r="H150" s="182" t="s">
        <v>95</v>
      </c>
      <c r="I150" s="182" t="s">
        <v>96</v>
      </c>
      <c r="J150" s="182" t="s">
        <v>97</v>
      </c>
      <c r="K150" s="182" t="s">
        <v>98</v>
      </c>
      <c r="L150" s="182" t="s">
        <v>99</v>
      </c>
      <c r="M150" s="182" t="s">
        <v>100</v>
      </c>
      <c r="N150" s="182" t="s">
        <v>101</v>
      </c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5">
      <c r="A151" s="157" t="s">
        <v>67</v>
      </c>
      <c r="B151" s="157" t="s">
        <v>102</v>
      </c>
      <c r="C151" s="158"/>
      <c r="D151" s="158"/>
      <c r="E151" s="158"/>
      <c r="F151" s="158"/>
      <c r="G151" s="158"/>
      <c r="H151" s="158"/>
      <c r="I151" s="158"/>
      <c r="J151" s="158"/>
      <c r="K151" s="158"/>
      <c r="L151" s="158"/>
      <c r="M151" s="158"/>
      <c r="N151" s="158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5">
      <c r="A152" s="159" t="s">
        <v>123</v>
      </c>
      <c r="B152" s="159" t="s">
        <v>124</v>
      </c>
      <c r="C152" s="177">
        <v>-5.2510000000000001E-2</v>
      </c>
      <c r="D152" s="177">
        <v>1.1199999999999999E-3</v>
      </c>
      <c r="E152" s="177">
        <v>1.1679999999999999E-2</v>
      </c>
      <c r="F152" s="177">
        <v>-6.5310000000000007E-2</v>
      </c>
      <c r="G152" s="177">
        <v>-3.0470000000000001E-2</v>
      </c>
      <c r="H152" s="177">
        <v>1.98E-3</v>
      </c>
      <c r="I152" s="177">
        <v>-3.16E-3</v>
      </c>
      <c r="J152" s="177">
        <v>-2.929E-2</v>
      </c>
      <c r="K152" s="177">
        <v>1.7440000000000001E-2</v>
      </c>
      <c r="L152" s="177">
        <v>1.7799999999999999E-3</v>
      </c>
      <c r="M152" s="177">
        <v>-7.7600000000000004E-3</v>
      </c>
      <c r="N152" s="177">
        <v>2.342E-2</v>
      </c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26" ht="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26" ht="15">
      <c r="A155" s="157"/>
      <c r="B155" s="157" t="s">
        <v>68</v>
      </c>
      <c r="C155" s="201" t="s">
        <v>58</v>
      </c>
      <c r="D155" s="200"/>
      <c r="E155" s="200"/>
      <c r="F155" s="200"/>
      <c r="G155" s="200"/>
      <c r="H155" s="200"/>
      <c r="I155" s="200"/>
      <c r="J155" s="200"/>
      <c r="K155" s="200"/>
      <c r="L155" s="200"/>
      <c r="M155" s="200"/>
      <c r="N155" s="200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5">
      <c r="A156" s="157"/>
      <c r="B156" s="157" t="s">
        <v>69</v>
      </c>
      <c r="C156" s="182" t="s">
        <v>90</v>
      </c>
      <c r="D156" s="182" t="s">
        <v>91</v>
      </c>
      <c r="E156" s="182" t="s">
        <v>92</v>
      </c>
      <c r="F156" s="182" t="s">
        <v>93</v>
      </c>
      <c r="G156" s="182" t="s">
        <v>94</v>
      </c>
      <c r="H156" s="182" t="s">
        <v>95</v>
      </c>
      <c r="I156" s="182" t="s">
        <v>96</v>
      </c>
      <c r="J156" s="182" t="s">
        <v>97</v>
      </c>
      <c r="K156" s="182" t="s">
        <v>98</v>
      </c>
      <c r="L156" s="182" t="s">
        <v>99</v>
      </c>
      <c r="M156" s="182" t="s">
        <v>100</v>
      </c>
      <c r="N156" s="182" t="s">
        <v>101</v>
      </c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5">
      <c r="A157" s="157" t="s">
        <v>67</v>
      </c>
      <c r="B157" s="157" t="s">
        <v>102</v>
      </c>
      <c r="C157" s="158"/>
      <c r="D157" s="158"/>
      <c r="E157" s="158"/>
      <c r="F157" s="158"/>
      <c r="G157" s="158"/>
      <c r="H157" s="158"/>
      <c r="I157" s="158"/>
      <c r="J157" s="158"/>
      <c r="K157" s="158"/>
      <c r="L157" s="158"/>
      <c r="M157" s="158"/>
      <c r="N157" s="158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5">
      <c r="A158" s="159" t="s">
        <v>123</v>
      </c>
      <c r="B158" s="159" t="s">
        <v>124</v>
      </c>
      <c r="C158" s="177">
        <v>2.6870000000000002E-2</v>
      </c>
      <c r="D158" s="177">
        <v>8.4000000000000003E-4</v>
      </c>
      <c r="E158" s="177">
        <v>2.8400000000000001E-3</v>
      </c>
      <c r="F158" s="177">
        <v>2.3189999999999999E-2</v>
      </c>
      <c r="G158" s="177">
        <v>6.8199999999999997E-3</v>
      </c>
      <c r="H158" s="177">
        <v>1.73E-3</v>
      </c>
      <c r="I158" s="177">
        <v>6.0999999999999997E-4</v>
      </c>
      <c r="J158" s="177">
        <v>4.4799999999999996E-3</v>
      </c>
      <c r="K158" s="177">
        <v>1.278E-2</v>
      </c>
      <c r="L158" s="177">
        <v>1.75E-3</v>
      </c>
      <c r="M158" s="177">
        <v>1.2700000000000001E-3</v>
      </c>
      <c r="N158" s="177">
        <v>9.7599999999999996E-3</v>
      </c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26" ht="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ht="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ht="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ht="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ht="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ht="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ht="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ht="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ht="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ht="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ht="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ht="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ht="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ht="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ht="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</sheetData>
  <mergeCells count="15">
    <mergeCell ref="B4:AG4"/>
    <mergeCell ref="B5:I5"/>
    <mergeCell ref="J5:Q5"/>
    <mergeCell ref="R5:Y5"/>
    <mergeCell ref="Z5:AG5"/>
    <mergeCell ref="B29:C29"/>
    <mergeCell ref="C149:N149"/>
    <mergeCell ref="C155:N155"/>
    <mergeCell ref="A134:A146"/>
    <mergeCell ref="A119:A133"/>
    <mergeCell ref="B117:B118"/>
    <mergeCell ref="A88:A101"/>
    <mergeCell ref="B30:C30"/>
    <mergeCell ref="A102:A114"/>
    <mergeCell ref="C85:U8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2"/>
  <sheetViews>
    <sheetView showGridLines="0" showRowColHeaders="0" topLeftCell="A2" zoomScaleNormal="100" workbookViewId="0">
      <selection activeCell="B2" sqref="B2"/>
    </sheetView>
  </sheetViews>
  <sheetFormatPr baseColWidth="10" defaultColWidth="11.42578125" defaultRowHeight="12.75"/>
  <cols>
    <col min="1" max="1" width="0.140625" style="57" customWidth="1"/>
    <col min="2" max="2" width="2.5703125" style="57" customWidth="1"/>
    <col min="3" max="3" width="23.5703125" style="57" customWidth="1"/>
    <col min="4" max="4" width="1.42578125" style="57" customWidth="1"/>
    <col min="5" max="5" width="16.42578125" style="57" bestFit="1" customWidth="1"/>
    <col min="6" max="16384" width="11.42578125" style="57"/>
  </cols>
  <sheetData>
    <row r="1" spans="3:12" ht="0.6" customHeight="1"/>
    <row r="2" spans="3:12" ht="21" customHeight="1">
      <c r="K2" s="29" t="s">
        <v>19</v>
      </c>
      <c r="L2" s="49"/>
    </row>
    <row r="3" spans="3:12" ht="15" customHeight="1">
      <c r="K3" s="46" t="str">
        <f>Indice!E3</f>
        <v>Junio 2023</v>
      </c>
      <c r="L3" s="68"/>
    </row>
    <row r="4" spans="3:12" ht="20.100000000000001" customHeight="1">
      <c r="C4" s="27" t="s">
        <v>46</v>
      </c>
    </row>
    <row r="5" spans="3:12" ht="12.6" customHeight="1"/>
    <row r="7" spans="3:12" ht="12.75" customHeight="1">
      <c r="C7" s="186" t="s">
        <v>47</v>
      </c>
      <c r="E7" s="69"/>
      <c r="F7" s="187" t="str">
        <f>K3</f>
        <v>Junio 2023</v>
      </c>
      <c r="G7" s="188"/>
      <c r="H7" s="188" t="s">
        <v>37</v>
      </c>
      <c r="I7" s="188"/>
      <c r="J7" s="188" t="s">
        <v>38</v>
      </c>
      <c r="K7" s="188"/>
    </row>
    <row r="8" spans="3:12">
      <c r="C8" s="186"/>
      <c r="E8" s="70"/>
      <c r="F8" s="71" t="s">
        <v>13</v>
      </c>
      <c r="G8" s="97" t="str">
        <f>CONCATENATE("% ",RIGHT(F7,2),"/",RIGHT(F7,2)-1)</f>
        <v>% 23/22</v>
      </c>
      <c r="H8" s="71" t="s">
        <v>13</v>
      </c>
      <c r="I8" s="72" t="str">
        <f>G8</f>
        <v>% 23/22</v>
      </c>
      <c r="J8" s="71" t="s">
        <v>13</v>
      </c>
      <c r="K8" s="72" t="str">
        <f>G8</f>
        <v>% 23/22</v>
      </c>
    </row>
    <row r="9" spans="3:12">
      <c r="C9" s="73"/>
      <c r="E9" s="74" t="s">
        <v>39</v>
      </c>
      <c r="F9" s="75">
        <f>Dat_01!R24/1000</f>
        <v>544.99686299999996</v>
      </c>
      <c r="G9" s="147">
        <f>Dat_01!T24*100</f>
        <v>-5.2513101600000001</v>
      </c>
      <c r="H9" s="75">
        <f>Dat_01!U24/1000</f>
        <v>2702.4860989999997</v>
      </c>
      <c r="I9" s="147">
        <f>Dat_01!W24*100</f>
        <v>-3.0465239200000003</v>
      </c>
      <c r="J9" s="75">
        <f>Dat_01!X24/1000</f>
        <v>5956.0289919999996</v>
      </c>
      <c r="K9" s="147">
        <f>Dat_01!Y24*100</f>
        <v>1.74360311</v>
      </c>
    </row>
    <row r="10" spans="3:12">
      <c r="E10" s="15"/>
      <c r="F10" s="76"/>
      <c r="G10" s="76"/>
      <c r="H10" s="76"/>
      <c r="I10" s="76"/>
      <c r="J10" s="76"/>
      <c r="K10" s="76"/>
    </row>
    <row r="11" spans="3:12">
      <c r="E11" s="15" t="s">
        <v>40</v>
      </c>
      <c r="F11" s="76"/>
      <c r="G11" s="76"/>
      <c r="H11" s="76"/>
      <c r="I11" s="76"/>
      <c r="J11" s="76"/>
      <c r="K11" s="76"/>
    </row>
    <row r="12" spans="3:12">
      <c r="E12" s="77" t="s">
        <v>41</v>
      </c>
      <c r="F12" s="76"/>
      <c r="G12" s="94">
        <f>Dat_01!D152*100</f>
        <v>0.11199999999999999</v>
      </c>
      <c r="H12" s="94"/>
      <c r="I12" s="94">
        <f>Dat_01!H152*100</f>
        <v>0.19800000000000001</v>
      </c>
      <c r="J12" s="94"/>
      <c r="K12" s="94">
        <f>Dat_01!L152*100</f>
        <v>0.17799999999999999</v>
      </c>
    </row>
    <row r="13" spans="3:12">
      <c r="E13" s="77" t="s">
        <v>42</v>
      </c>
      <c r="F13" s="76"/>
      <c r="G13" s="94">
        <f>Dat_01!E152*100</f>
        <v>1.1679999999999999</v>
      </c>
      <c r="H13" s="94"/>
      <c r="I13" s="94">
        <f>Dat_01!I152*100</f>
        <v>-0.316</v>
      </c>
      <c r="J13" s="94"/>
      <c r="K13" s="94">
        <f>Dat_01!M152*100</f>
        <v>-0.77600000000000002</v>
      </c>
    </row>
    <row r="14" spans="3:12">
      <c r="E14" s="78" t="s">
        <v>43</v>
      </c>
      <c r="F14" s="79"/>
      <c r="G14" s="95">
        <f>Dat_01!F152*100</f>
        <v>-6.5310000000000006</v>
      </c>
      <c r="H14" s="95"/>
      <c r="I14" s="95">
        <f>Dat_01!J152*100</f>
        <v>-2.9289999999999998</v>
      </c>
      <c r="J14" s="95"/>
      <c r="K14" s="95">
        <f>Dat_01!N152*100</f>
        <v>2.3420000000000001</v>
      </c>
    </row>
    <row r="15" spans="3:12">
      <c r="E15" s="189" t="s">
        <v>44</v>
      </c>
      <c r="F15" s="189"/>
      <c r="G15" s="189"/>
      <c r="H15" s="189"/>
      <c r="I15" s="189"/>
      <c r="J15" s="189"/>
      <c r="K15" s="189"/>
    </row>
    <row r="16" spans="3:12" ht="21.75" customHeight="1">
      <c r="E16" s="185" t="s">
        <v>45</v>
      </c>
      <c r="F16" s="185"/>
      <c r="G16" s="185"/>
      <c r="H16" s="185"/>
      <c r="I16" s="185"/>
      <c r="J16" s="185"/>
      <c r="K16" s="185"/>
    </row>
    <row r="20" spans="7:11">
      <c r="G20" s="160"/>
      <c r="H20" s="160"/>
      <c r="I20" s="160"/>
      <c r="J20" s="160"/>
      <c r="K20" s="160"/>
    </row>
    <row r="21" spans="7:11">
      <c r="G21" s="160"/>
      <c r="H21" s="160"/>
      <c r="I21" s="160"/>
      <c r="J21" s="160"/>
      <c r="K21" s="160"/>
    </row>
    <row r="22" spans="7:11">
      <c r="G22" s="160"/>
      <c r="H22" s="160"/>
      <c r="I22" s="160"/>
      <c r="J22" s="160"/>
      <c r="K22" s="160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L21"/>
  <sheetViews>
    <sheetView showGridLines="0" showRowColHeaders="0" topLeftCell="A2" workbookViewId="0">
      <selection activeCell="F9" sqref="F9"/>
    </sheetView>
  </sheetViews>
  <sheetFormatPr baseColWidth="10" defaultColWidth="11.42578125" defaultRowHeight="12.75"/>
  <cols>
    <col min="1" max="1" width="0.140625" style="57" customWidth="1"/>
    <col min="2" max="2" width="2.5703125" style="57" customWidth="1"/>
    <col min="3" max="3" width="23.5703125" style="57" customWidth="1"/>
    <col min="4" max="4" width="1.42578125" style="57" customWidth="1"/>
    <col min="5" max="5" width="16.42578125" style="57" bestFit="1" customWidth="1"/>
    <col min="6" max="16384" width="11.42578125" style="57"/>
  </cols>
  <sheetData>
    <row r="1" spans="3:12" ht="0.6" customHeight="1"/>
    <row r="2" spans="3:12" ht="21" customHeight="1">
      <c r="K2" s="29" t="s">
        <v>19</v>
      </c>
      <c r="L2" s="49"/>
    </row>
    <row r="3" spans="3:12" ht="15" customHeight="1">
      <c r="K3" s="46" t="str">
        <f>Indice!E3</f>
        <v>Junio 2023</v>
      </c>
      <c r="L3" s="68"/>
    </row>
    <row r="4" spans="3:12" ht="20.100000000000001" customHeight="1">
      <c r="C4" s="27" t="s">
        <v>46</v>
      </c>
    </row>
    <row r="5" spans="3:12" ht="12.6" customHeight="1"/>
    <row r="7" spans="3:12" ht="12.75" customHeight="1">
      <c r="C7" s="186" t="s">
        <v>48</v>
      </c>
      <c r="E7" s="69"/>
      <c r="F7" s="187" t="str">
        <f>K3</f>
        <v>Junio 2023</v>
      </c>
      <c r="G7" s="188"/>
      <c r="H7" s="188" t="s">
        <v>37</v>
      </c>
      <c r="I7" s="188"/>
      <c r="J7" s="188" t="s">
        <v>38</v>
      </c>
      <c r="K7" s="188"/>
    </row>
    <row r="8" spans="3:12">
      <c r="C8" s="186"/>
      <c r="E8" s="70"/>
      <c r="F8" s="71" t="s">
        <v>13</v>
      </c>
      <c r="G8" s="97" t="str">
        <f>CONCATENATE("% ",RIGHT(F7,2),"/",RIGHT(F7,2)-1)</f>
        <v>% 23/22</v>
      </c>
      <c r="H8" s="71" t="s">
        <v>13</v>
      </c>
      <c r="I8" s="98" t="str">
        <f>G8</f>
        <v>% 23/22</v>
      </c>
      <c r="J8" s="71" t="s">
        <v>13</v>
      </c>
      <c r="K8" s="98" t="str">
        <f>G8</f>
        <v>% 23/22</v>
      </c>
    </row>
    <row r="9" spans="3:12">
      <c r="C9" s="73"/>
      <c r="E9" s="74" t="s">
        <v>39</v>
      </c>
      <c r="F9" s="75">
        <f>Dat_01!Z24/1000</f>
        <v>712.30902099999992</v>
      </c>
      <c r="G9" s="147">
        <f>Dat_01!AB24*100</f>
        <v>2.6874479900000003</v>
      </c>
      <c r="H9" s="75">
        <f>Dat_01!AC24/1000</f>
        <v>4171.2286290000002</v>
      </c>
      <c r="I9" s="147">
        <f>Dat_01!AE24*100</f>
        <v>0.68174557000000002</v>
      </c>
      <c r="J9" s="75">
        <f>Dat_01!AF24/1000</f>
        <v>8563.6029109999999</v>
      </c>
      <c r="K9" s="147">
        <f>Dat_01!AG24*100</f>
        <v>1.27764554</v>
      </c>
    </row>
    <row r="10" spans="3:12">
      <c r="E10" s="15"/>
      <c r="F10" s="76"/>
      <c r="G10" s="76"/>
      <c r="H10" s="76"/>
      <c r="I10" s="76"/>
      <c r="J10" s="76"/>
      <c r="K10" s="76"/>
    </row>
    <row r="11" spans="3:12">
      <c r="E11" s="15" t="s">
        <v>40</v>
      </c>
      <c r="F11" s="76"/>
      <c r="G11" s="76"/>
      <c r="H11" s="76"/>
      <c r="I11" s="76"/>
      <c r="J11" s="76"/>
      <c r="K11" s="76"/>
    </row>
    <row r="12" spans="3:12">
      <c r="E12" s="77" t="s">
        <v>41</v>
      </c>
      <c r="F12" s="76"/>
      <c r="G12" s="94">
        <f>Dat_01!D158*100</f>
        <v>8.4000000000000005E-2</v>
      </c>
      <c r="H12" s="94"/>
      <c r="I12" s="94">
        <f>Dat_01!H158*100</f>
        <v>0.17299999999999999</v>
      </c>
      <c r="J12" s="94"/>
      <c r="K12" s="94">
        <f>Dat_01!L158*100</f>
        <v>0.17500000000000002</v>
      </c>
    </row>
    <row r="13" spans="3:12">
      <c r="E13" s="77" t="s">
        <v>42</v>
      </c>
      <c r="F13" s="76"/>
      <c r="G13" s="94">
        <f>Dat_01!E158*100</f>
        <v>0.28400000000000003</v>
      </c>
      <c r="H13" s="94"/>
      <c r="I13" s="94">
        <f>Dat_01!I158*100</f>
        <v>6.0999999999999999E-2</v>
      </c>
      <c r="J13" s="94"/>
      <c r="K13" s="94">
        <f>Dat_01!M158*100</f>
        <v>0.127</v>
      </c>
    </row>
    <row r="14" spans="3:12">
      <c r="E14" s="78" t="s">
        <v>43</v>
      </c>
      <c r="F14" s="79"/>
      <c r="G14" s="95">
        <f>Dat_01!F158*100</f>
        <v>2.319</v>
      </c>
      <c r="H14" s="95"/>
      <c r="I14" s="95">
        <f>Dat_01!J158*100</f>
        <v>0.44799999999999995</v>
      </c>
      <c r="J14" s="95"/>
      <c r="K14" s="95">
        <f>Dat_01!N158*100</f>
        <v>0.97599999999999998</v>
      </c>
    </row>
    <row r="15" spans="3:12">
      <c r="E15" s="189" t="s">
        <v>44</v>
      </c>
      <c r="F15" s="189"/>
      <c r="G15" s="189"/>
      <c r="H15" s="189"/>
      <c r="I15" s="189"/>
      <c r="J15" s="189"/>
      <c r="K15" s="189"/>
    </row>
    <row r="16" spans="3:12" ht="21.75" customHeight="1">
      <c r="E16" s="185" t="s">
        <v>45</v>
      </c>
      <c r="F16" s="185"/>
      <c r="G16" s="185"/>
      <c r="H16" s="185"/>
      <c r="I16" s="185"/>
      <c r="J16" s="185"/>
      <c r="K16" s="185"/>
    </row>
    <row r="19" spans="7:11">
      <c r="G19" s="160"/>
      <c r="H19" s="160"/>
      <c r="I19" s="160"/>
      <c r="J19" s="160"/>
      <c r="K19" s="160"/>
    </row>
    <row r="20" spans="7:11">
      <c r="G20" s="160"/>
      <c r="H20" s="160"/>
      <c r="I20" s="160"/>
      <c r="J20" s="160"/>
      <c r="K20" s="160"/>
    </row>
    <row r="21" spans="7:11">
      <c r="G21" s="160"/>
      <c r="H21" s="160"/>
      <c r="I21" s="160"/>
      <c r="J21" s="160"/>
      <c r="K21" s="160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6"/>
  <sheetViews>
    <sheetView workbookViewId="0"/>
  </sheetViews>
  <sheetFormatPr baseColWidth="10" defaultRowHeight="15"/>
  <sheetData>
    <row r="1" spans="1:2">
      <c r="A1">
        <v>5</v>
      </c>
      <c r="B1" s="99" t="s">
        <v>130</v>
      </c>
    </row>
    <row r="2" spans="1:2">
      <c r="A2" t="s">
        <v>126</v>
      </c>
    </row>
    <row r="3" spans="1:2">
      <c r="A3" t="s">
        <v>127</v>
      </c>
    </row>
    <row r="4" spans="1:2">
      <c r="A4" t="s">
        <v>128</v>
      </c>
    </row>
    <row r="5" spans="1:2">
      <c r="A5" t="s">
        <v>129</v>
      </c>
    </row>
    <row r="6" spans="1:2">
      <c r="A6" t="s">
        <v>131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>
    <pageSetUpPr autoPageBreaks="0" fitToPage="1"/>
  </sheetPr>
  <dimension ref="C1:W58"/>
  <sheetViews>
    <sheetView showGridLines="0" showRowColHeaders="0" zoomScaleNormal="100" workbookViewId="0">
      <selection activeCell="B2" sqref="B2"/>
    </sheetView>
  </sheetViews>
  <sheetFormatPr baseColWidth="10" defaultRowHeight="11.25"/>
  <cols>
    <col min="1" max="1" width="0.140625" style="1" customWidth="1"/>
    <col min="2" max="2" width="2.5703125" style="1" customWidth="1"/>
    <col min="3" max="3" width="23.5703125" style="1" customWidth="1"/>
    <col min="4" max="4" width="1.42578125" style="1" customWidth="1"/>
    <col min="5" max="5" width="29.140625" style="1" customWidth="1"/>
    <col min="6" max="13" width="7.5703125" style="1" customWidth="1"/>
    <col min="14" max="254" width="11.42578125" style="1"/>
    <col min="255" max="255" width="0.140625" style="1" customWidth="1"/>
    <col min="256" max="256" width="2.5703125" style="1" customWidth="1"/>
    <col min="257" max="257" width="15.42578125" style="1" customWidth="1"/>
    <col min="258" max="258" width="1.42578125" style="1" customWidth="1"/>
    <col min="259" max="259" width="29.140625" style="1" customWidth="1"/>
    <col min="260" max="260" width="7.85546875" style="1" bestFit="1" customWidth="1"/>
    <col min="261" max="261" width="7" style="1" customWidth="1"/>
    <col min="262" max="262" width="7.85546875" style="1" bestFit="1" customWidth="1"/>
    <col min="263" max="263" width="8.42578125" style="1" customWidth="1"/>
    <col min="264" max="264" width="7" style="1" customWidth="1"/>
    <col min="265" max="265" width="6.42578125" style="1" customWidth="1"/>
    <col min="266" max="266" width="7" style="1" customWidth="1"/>
    <col min="267" max="267" width="6.5703125" style="1" customWidth="1"/>
    <col min="268" max="268" width="7" style="1" customWidth="1"/>
    <col min="269" max="269" width="6.42578125" style="1" customWidth="1"/>
    <col min="270" max="510" width="11.42578125" style="1"/>
    <col min="511" max="511" width="0.140625" style="1" customWidth="1"/>
    <col min="512" max="512" width="2.5703125" style="1" customWidth="1"/>
    <col min="513" max="513" width="15.42578125" style="1" customWidth="1"/>
    <col min="514" max="514" width="1.42578125" style="1" customWidth="1"/>
    <col min="515" max="515" width="29.140625" style="1" customWidth="1"/>
    <col min="516" max="516" width="7.85546875" style="1" bestFit="1" customWidth="1"/>
    <col min="517" max="517" width="7" style="1" customWidth="1"/>
    <col min="518" max="518" width="7.85546875" style="1" bestFit="1" customWidth="1"/>
    <col min="519" max="519" width="8.42578125" style="1" customWidth="1"/>
    <col min="520" max="520" width="7" style="1" customWidth="1"/>
    <col min="521" max="521" width="6.42578125" style="1" customWidth="1"/>
    <col min="522" max="522" width="7" style="1" customWidth="1"/>
    <col min="523" max="523" width="6.5703125" style="1" customWidth="1"/>
    <col min="524" max="524" width="7" style="1" customWidth="1"/>
    <col min="525" max="525" width="6.42578125" style="1" customWidth="1"/>
    <col min="526" max="766" width="11.42578125" style="1"/>
    <col min="767" max="767" width="0.140625" style="1" customWidth="1"/>
    <col min="768" max="768" width="2.5703125" style="1" customWidth="1"/>
    <col min="769" max="769" width="15.42578125" style="1" customWidth="1"/>
    <col min="770" max="770" width="1.42578125" style="1" customWidth="1"/>
    <col min="771" max="771" width="29.140625" style="1" customWidth="1"/>
    <col min="772" max="772" width="7.85546875" style="1" bestFit="1" customWidth="1"/>
    <col min="773" max="773" width="7" style="1" customWidth="1"/>
    <col min="774" max="774" width="7.85546875" style="1" bestFit="1" customWidth="1"/>
    <col min="775" max="775" width="8.42578125" style="1" customWidth="1"/>
    <col min="776" max="776" width="7" style="1" customWidth="1"/>
    <col min="777" max="777" width="6.42578125" style="1" customWidth="1"/>
    <col min="778" max="778" width="7" style="1" customWidth="1"/>
    <col min="779" max="779" width="6.5703125" style="1" customWidth="1"/>
    <col min="780" max="780" width="7" style="1" customWidth="1"/>
    <col min="781" max="781" width="6.42578125" style="1" customWidth="1"/>
    <col min="782" max="1022" width="11.42578125" style="1"/>
    <col min="1023" max="1023" width="0.140625" style="1" customWidth="1"/>
    <col min="1024" max="1024" width="2.5703125" style="1" customWidth="1"/>
    <col min="1025" max="1025" width="15.42578125" style="1" customWidth="1"/>
    <col min="1026" max="1026" width="1.42578125" style="1" customWidth="1"/>
    <col min="1027" max="1027" width="29.140625" style="1" customWidth="1"/>
    <col min="1028" max="1028" width="7.85546875" style="1" bestFit="1" customWidth="1"/>
    <col min="1029" max="1029" width="7" style="1" customWidth="1"/>
    <col min="1030" max="1030" width="7.85546875" style="1" bestFit="1" customWidth="1"/>
    <col min="1031" max="1031" width="8.42578125" style="1" customWidth="1"/>
    <col min="1032" max="1032" width="7" style="1" customWidth="1"/>
    <col min="1033" max="1033" width="6.42578125" style="1" customWidth="1"/>
    <col min="1034" max="1034" width="7" style="1" customWidth="1"/>
    <col min="1035" max="1035" width="6.570312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140625" style="1" customWidth="1"/>
    <col min="1280" max="1280" width="2.5703125" style="1" customWidth="1"/>
    <col min="1281" max="1281" width="15.42578125" style="1" customWidth="1"/>
    <col min="1282" max="1282" width="1.42578125" style="1" customWidth="1"/>
    <col min="1283" max="1283" width="29.140625" style="1" customWidth="1"/>
    <col min="1284" max="1284" width="7.85546875" style="1" bestFit="1" customWidth="1"/>
    <col min="1285" max="1285" width="7" style="1" customWidth="1"/>
    <col min="1286" max="1286" width="7.85546875" style="1" bestFit="1" customWidth="1"/>
    <col min="1287" max="1287" width="8.42578125" style="1" customWidth="1"/>
    <col min="1288" max="1288" width="7" style="1" customWidth="1"/>
    <col min="1289" max="1289" width="6.42578125" style="1" customWidth="1"/>
    <col min="1290" max="1290" width="7" style="1" customWidth="1"/>
    <col min="1291" max="1291" width="6.570312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140625" style="1" customWidth="1"/>
    <col min="1536" max="1536" width="2.5703125" style="1" customWidth="1"/>
    <col min="1537" max="1537" width="15.42578125" style="1" customWidth="1"/>
    <col min="1538" max="1538" width="1.42578125" style="1" customWidth="1"/>
    <col min="1539" max="1539" width="29.140625" style="1" customWidth="1"/>
    <col min="1540" max="1540" width="7.85546875" style="1" bestFit="1" customWidth="1"/>
    <col min="1541" max="1541" width="7" style="1" customWidth="1"/>
    <col min="1542" max="1542" width="7.85546875" style="1" bestFit="1" customWidth="1"/>
    <col min="1543" max="1543" width="8.42578125" style="1" customWidth="1"/>
    <col min="1544" max="1544" width="7" style="1" customWidth="1"/>
    <col min="1545" max="1545" width="6.42578125" style="1" customWidth="1"/>
    <col min="1546" max="1546" width="7" style="1" customWidth="1"/>
    <col min="1547" max="1547" width="6.570312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140625" style="1" customWidth="1"/>
    <col min="1792" max="1792" width="2.5703125" style="1" customWidth="1"/>
    <col min="1793" max="1793" width="15.42578125" style="1" customWidth="1"/>
    <col min="1794" max="1794" width="1.42578125" style="1" customWidth="1"/>
    <col min="1795" max="1795" width="29.140625" style="1" customWidth="1"/>
    <col min="1796" max="1796" width="7.85546875" style="1" bestFit="1" customWidth="1"/>
    <col min="1797" max="1797" width="7" style="1" customWidth="1"/>
    <col min="1798" max="1798" width="7.85546875" style="1" bestFit="1" customWidth="1"/>
    <col min="1799" max="1799" width="8.42578125" style="1" customWidth="1"/>
    <col min="1800" max="1800" width="7" style="1" customWidth="1"/>
    <col min="1801" max="1801" width="6.42578125" style="1" customWidth="1"/>
    <col min="1802" max="1802" width="7" style="1" customWidth="1"/>
    <col min="1803" max="1803" width="6.570312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140625" style="1" customWidth="1"/>
    <col min="2048" max="2048" width="2.5703125" style="1" customWidth="1"/>
    <col min="2049" max="2049" width="15.42578125" style="1" customWidth="1"/>
    <col min="2050" max="2050" width="1.42578125" style="1" customWidth="1"/>
    <col min="2051" max="2051" width="29.140625" style="1" customWidth="1"/>
    <col min="2052" max="2052" width="7.85546875" style="1" bestFit="1" customWidth="1"/>
    <col min="2053" max="2053" width="7" style="1" customWidth="1"/>
    <col min="2054" max="2054" width="7.85546875" style="1" bestFit="1" customWidth="1"/>
    <col min="2055" max="2055" width="8.42578125" style="1" customWidth="1"/>
    <col min="2056" max="2056" width="7" style="1" customWidth="1"/>
    <col min="2057" max="2057" width="6.42578125" style="1" customWidth="1"/>
    <col min="2058" max="2058" width="7" style="1" customWidth="1"/>
    <col min="2059" max="2059" width="6.570312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140625" style="1" customWidth="1"/>
    <col min="2304" max="2304" width="2.5703125" style="1" customWidth="1"/>
    <col min="2305" max="2305" width="15.42578125" style="1" customWidth="1"/>
    <col min="2306" max="2306" width="1.42578125" style="1" customWidth="1"/>
    <col min="2307" max="2307" width="29.140625" style="1" customWidth="1"/>
    <col min="2308" max="2308" width="7.85546875" style="1" bestFit="1" customWidth="1"/>
    <col min="2309" max="2309" width="7" style="1" customWidth="1"/>
    <col min="2310" max="2310" width="7.85546875" style="1" bestFit="1" customWidth="1"/>
    <col min="2311" max="2311" width="8.42578125" style="1" customWidth="1"/>
    <col min="2312" max="2312" width="7" style="1" customWidth="1"/>
    <col min="2313" max="2313" width="6.42578125" style="1" customWidth="1"/>
    <col min="2314" max="2314" width="7" style="1" customWidth="1"/>
    <col min="2315" max="2315" width="6.570312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140625" style="1" customWidth="1"/>
    <col min="2560" max="2560" width="2.5703125" style="1" customWidth="1"/>
    <col min="2561" max="2561" width="15.42578125" style="1" customWidth="1"/>
    <col min="2562" max="2562" width="1.42578125" style="1" customWidth="1"/>
    <col min="2563" max="2563" width="29.140625" style="1" customWidth="1"/>
    <col min="2564" max="2564" width="7.85546875" style="1" bestFit="1" customWidth="1"/>
    <col min="2565" max="2565" width="7" style="1" customWidth="1"/>
    <col min="2566" max="2566" width="7.85546875" style="1" bestFit="1" customWidth="1"/>
    <col min="2567" max="2567" width="8.42578125" style="1" customWidth="1"/>
    <col min="2568" max="2568" width="7" style="1" customWidth="1"/>
    <col min="2569" max="2569" width="6.42578125" style="1" customWidth="1"/>
    <col min="2570" max="2570" width="7" style="1" customWidth="1"/>
    <col min="2571" max="2571" width="6.570312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140625" style="1" customWidth="1"/>
    <col min="2816" max="2816" width="2.5703125" style="1" customWidth="1"/>
    <col min="2817" max="2817" width="15.42578125" style="1" customWidth="1"/>
    <col min="2818" max="2818" width="1.42578125" style="1" customWidth="1"/>
    <col min="2819" max="2819" width="29.140625" style="1" customWidth="1"/>
    <col min="2820" max="2820" width="7.85546875" style="1" bestFit="1" customWidth="1"/>
    <col min="2821" max="2821" width="7" style="1" customWidth="1"/>
    <col min="2822" max="2822" width="7.85546875" style="1" bestFit="1" customWidth="1"/>
    <col min="2823" max="2823" width="8.42578125" style="1" customWidth="1"/>
    <col min="2824" max="2824" width="7" style="1" customWidth="1"/>
    <col min="2825" max="2825" width="6.42578125" style="1" customWidth="1"/>
    <col min="2826" max="2826" width="7" style="1" customWidth="1"/>
    <col min="2827" max="2827" width="6.570312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140625" style="1" customWidth="1"/>
    <col min="3072" max="3072" width="2.5703125" style="1" customWidth="1"/>
    <col min="3073" max="3073" width="15.42578125" style="1" customWidth="1"/>
    <col min="3074" max="3074" width="1.42578125" style="1" customWidth="1"/>
    <col min="3075" max="3075" width="29.140625" style="1" customWidth="1"/>
    <col min="3076" max="3076" width="7.85546875" style="1" bestFit="1" customWidth="1"/>
    <col min="3077" max="3077" width="7" style="1" customWidth="1"/>
    <col min="3078" max="3078" width="7.85546875" style="1" bestFit="1" customWidth="1"/>
    <col min="3079" max="3079" width="8.42578125" style="1" customWidth="1"/>
    <col min="3080" max="3080" width="7" style="1" customWidth="1"/>
    <col min="3081" max="3081" width="6.42578125" style="1" customWidth="1"/>
    <col min="3082" max="3082" width="7" style="1" customWidth="1"/>
    <col min="3083" max="3083" width="6.570312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140625" style="1" customWidth="1"/>
    <col min="3328" max="3328" width="2.5703125" style="1" customWidth="1"/>
    <col min="3329" max="3329" width="15.42578125" style="1" customWidth="1"/>
    <col min="3330" max="3330" width="1.42578125" style="1" customWidth="1"/>
    <col min="3331" max="3331" width="29.140625" style="1" customWidth="1"/>
    <col min="3332" max="3332" width="7.85546875" style="1" bestFit="1" customWidth="1"/>
    <col min="3333" max="3333" width="7" style="1" customWidth="1"/>
    <col min="3334" max="3334" width="7.85546875" style="1" bestFit="1" customWidth="1"/>
    <col min="3335" max="3335" width="8.42578125" style="1" customWidth="1"/>
    <col min="3336" max="3336" width="7" style="1" customWidth="1"/>
    <col min="3337" max="3337" width="6.42578125" style="1" customWidth="1"/>
    <col min="3338" max="3338" width="7" style="1" customWidth="1"/>
    <col min="3339" max="3339" width="6.570312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140625" style="1" customWidth="1"/>
    <col min="3584" max="3584" width="2.5703125" style="1" customWidth="1"/>
    <col min="3585" max="3585" width="15.42578125" style="1" customWidth="1"/>
    <col min="3586" max="3586" width="1.42578125" style="1" customWidth="1"/>
    <col min="3587" max="3587" width="29.140625" style="1" customWidth="1"/>
    <col min="3588" max="3588" width="7.85546875" style="1" bestFit="1" customWidth="1"/>
    <col min="3589" max="3589" width="7" style="1" customWidth="1"/>
    <col min="3590" max="3590" width="7.85546875" style="1" bestFit="1" customWidth="1"/>
    <col min="3591" max="3591" width="8.42578125" style="1" customWidth="1"/>
    <col min="3592" max="3592" width="7" style="1" customWidth="1"/>
    <col min="3593" max="3593" width="6.42578125" style="1" customWidth="1"/>
    <col min="3594" max="3594" width="7" style="1" customWidth="1"/>
    <col min="3595" max="3595" width="6.570312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140625" style="1" customWidth="1"/>
    <col min="3840" max="3840" width="2.5703125" style="1" customWidth="1"/>
    <col min="3841" max="3841" width="15.42578125" style="1" customWidth="1"/>
    <col min="3842" max="3842" width="1.42578125" style="1" customWidth="1"/>
    <col min="3843" max="3843" width="29.140625" style="1" customWidth="1"/>
    <col min="3844" max="3844" width="7.85546875" style="1" bestFit="1" customWidth="1"/>
    <col min="3845" max="3845" width="7" style="1" customWidth="1"/>
    <col min="3846" max="3846" width="7.85546875" style="1" bestFit="1" customWidth="1"/>
    <col min="3847" max="3847" width="8.42578125" style="1" customWidth="1"/>
    <col min="3848" max="3848" width="7" style="1" customWidth="1"/>
    <col min="3849" max="3849" width="6.42578125" style="1" customWidth="1"/>
    <col min="3850" max="3850" width="7" style="1" customWidth="1"/>
    <col min="3851" max="3851" width="6.570312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140625" style="1" customWidth="1"/>
    <col min="4096" max="4096" width="2.5703125" style="1" customWidth="1"/>
    <col min="4097" max="4097" width="15.42578125" style="1" customWidth="1"/>
    <col min="4098" max="4098" width="1.42578125" style="1" customWidth="1"/>
    <col min="4099" max="4099" width="29.140625" style="1" customWidth="1"/>
    <col min="4100" max="4100" width="7.85546875" style="1" bestFit="1" customWidth="1"/>
    <col min="4101" max="4101" width="7" style="1" customWidth="1"/>
    <col min="4102" max="4102" width="7.85546875" style="1" bestFit="1" customWidth="1"/>
    <col min="4103" max="4103" width="8.42578125" style="1" customWidth="1"/>
    <col min="4104" max="4104" width="7" style="1" customWidth="1"/>
    <col min="4105" max="4105" width="6.42578125" style="1" customWidth="1"/>
    <col min="4106" max="4106" width="7" style="1" customWidth="1"/>
    <col min="4107" max="4107" width="6.570312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140625" style="1" customWidth="1"/>
    <col min="4352" max="4352" width="2.5703125" style="1" customWidth="1"/>
    <col min="4353" max="4353" width="15.42578125" style="1" customWidth="1"/>
    <col min="4354" max="4354" width="1.42578125" style="1" customWidth="1"/>
    <col min="4355" max="4355" width="29.140625" style="1" customWidth="1"/>
    <col min="4356" max="4356" width="7.85546875" style="1" bestFit="1" customWidth="1"/>
    <col min="4357" max="4357" width="7" style="1" customWidth="1"/>
    <col min="4358" max="4358" width="7.85546875" style="1" bestFit="1" customWidth="1"/>
    <col min="4359" max="4359" width="8.42578125" style="1" customWidth="1"/>
    <col min="4360" max="4360" width="7" style="1" customWidth="1"/>
    <col min="4361" max="4361" width="6.42578125" style="1" customWidth="1"/>
    <col min="4362" max="4362" width="7" style="1" customWidth="1"/>
    <col min="4363" max="4363" width="6.570312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140625" style="1" customWidth="1"/>
    <col min="4608" max="4608" width="2.5703125" style="1" customWidth="1"/>
    <col min="4609" max="4609" width="15.42578125" style="1" customWidth="1"/>
    <col min="4610" max="4610" width="1.42578125" style="1" customWidth="1"/>
    <col min="4611" max="4611" width="29.140625" style="1" customWidth="1"/>
    <col min="4612" max="4612" width="7.85546875" style="1" bestFit="1" customWidth="1"/>
    <col min="4613" max="4613" width="7" style="1" customWidth="1"/>
    <col min="4614" max="4614" width="7.85546875" style="1" bestFit="1" customWidth="1"/>
    <col min="4615" max="4615" width="8.42578125" style="1" customWidth="1"/>
    <col min="4616" max="4616" width="7" style="1" customWidth="1"/>
    <col min="4617" max="4617" width="6.42578125" style="1" customWidth="1"/>
    <col min="4618" max="4618" width="7" style="1" customWidth="1"/>
    <col min="4619" max="4619" width="6.570312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140625" style="1" customWidth="1"/>
    <col min="4864" max="4864" width="2.5703125" style="1" customWidth="1"/>
    <col min="4865" max="4865" width="15.42578125" style="1" customWidth="1"/>
    <col min="4866" max="4866" width="1.42578125" style="1" customWidth="1"/>
    <col min="4867" max="4867" width="29.140625" style="1" customWidth="1"/>
    <col min="4868" max="4868" width="7.85546875" style="1" bestFit="1" customWidth="1"/>
    <col min="4869" max="4869" width="7" style="1" customWidth="1"/>
    <col min="4870" max="4870" width="7.85546875" style="1" bestFit="1" customWidth="1"/>
    <col min="4871" max="4871" width="8.42578125" style="1" customWidth="1"/>
    <col min="4872" max="4872" width="7" style="1" customWidth="1"/>
    <col min="4873" max="4873" width="6.42578125" style="1" customWidth="1"/>
    <col min="4874" max="4874" width="7" style="1" customWidth="1"/>
    <col min="4875" max="4875" width="6.570312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140625" style="1" customWidth="1"/>
    <col min="5120" max="5120" width="2.5703125" style="1" customWidth="1"/>
    <col min="5121" max="5121" width="15.42578125" style="1" customWidth="1"/>
    <col min="5122" max="5122" width="1.42578125" style="1" customWidth="1"/>
    <col min="5123" max="5123" width="29.140625" style="1" customWidth="1"/>
    <col min="5124" max="5124" width="7.85546875" style="1" bestFit="1" customWidth="1"/>
    <col min="5125" max="5125" width="7" style="1" customWidth="1"/>
    <col min="5126" max="5126" width="7.85546875" style="1" bestFit="1" customWidth="1"/>
    <col min="5127" max="5127" width="8.42578125" style="1" customWidth="1"/>
    <col min="5128" max="5128" width="7" style="1" customWidth="1"/>
    <col min="5129" max="5129" width="6.42578125" style="1" customWidth="1"/>
    <col min="5130" max="5130" width="7" style="1" customWidth="1"/>
    <col min="5131" max="5131" width="6.570312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140625" style="1" customWidth="1"/>
    <col min="5376" max="5376" width="2.5703125" style="1" customWidth="1"/>
    <col min="5377" max="5377" width="15.42578125" style="1" customWidth="1"/>
    <col min="5378" max="5378" width="1.42578125" style="1" customWidth="1"/>
    <col min="5379" max="5379" width="29.140625" style="1" customWidth="1"/>
    <col min="5380" max="5380" width="7.85546875" style="1" bestFit="1" customWidth="1"/>
    <col min="5381" max="5381" width="7" style="1" customWidth="1"/>
    <col min="5382" max="5382" width="7.85546875" style="1" bestFit="1" customWidth="1"/>
    <col min="5383" max="5383" width="8.42578125" style="1" customWidth="1"/>
    <col min="5384" max="5384" width="7" style="1" customWidth="1"/>
    <col min="5385" max="5385" width="6.42578125" style="1" customWidth="1"/>
    <col min="5386" max="5386" width="7" style="1" customWidth="1"/>
    <col min="5387" max="5387" width="6.570312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140625" style="1" customWidth="1"/>
    <col min="5632" max="5632" width="2.5703125" style="1" customWidth="1"/>
    <col min="5633" max="5633" width="15.42578125" style="1" customWidth="1"/>
    <col min="5634" max="5634" width="1.42578125" style="1" customWidth="1"/>
    <col min="5635" max="5635" width="29.140625" style="1" customWidth="1"/>
    <col min="5636" max="5636" width="7.85546875" style="1" bestFit="1" customWidth="1"/>
    <col min="5637" max="5637" width="7" style="1" customWidth="1"/>
    <col min="5638" max="5638" width="7.85546875" style="1" bestFit="1" customWidth="1"/>
    <col min="5639" max="5639" width="8.42578125" style="1" customWidth="1"/>
    <col min="5640" max="5640" width="7" style="1" customWidth="1"/>
    <col min="5641" max="5641" width="6.42578125" style="1" customWidth="1"/>
    <col min="5642" max="5642" width="7" style="1" customWidth="1"/>
    <col min="5643" max="5643" width="6.570312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140625" style="1" customWidth="1"/>
    <col min="5888" max="5888" width="2.5703125" style="1" customWidth="1"/>
    <col min="5889" max="5889" width="15.42578125" style="1" customWidth="1"/>
    <col min="5890" max="5890" width="1.42578125" style="1" customWidth="1"/>
    <col min="5891" max="5891" width="29.140625" style="1" customWidth="1"/>
    <col min="5892" max="5892" width="7.85546875" style="1" bestFit="1" customWidth="1"/>
    <col min="5893" max="5893" width="7" style="1" customWidth="1"/>
    <col min="5894" max="5894" width="7.85546875" style="1" bestFit="1" customWidth="1"/>
    <col min="5895" max="5895" width="8.42578125" style="1" customWidth="1"/>
    <col min="5896" max="5896" width="7" style="1" customWidth="1"/>
    <col min="5897" max="5897" width="6.42578125" style="1" customWidth="1"/>
    <col min="5898" max="5898" width="7" style="1" customWidth="1"/>
    <col min="5899" max="5899" width="6.570312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140625" style="1" customWidth="1"/>
    <col min="6144" max="6144" width="2.5703125" style="1" customWidth="1"/>
    <col min="6145" max="6145" width="15.42578125" style="1" customWidth="1"/>
    <col min="6146" max="6146" width="1.42578125" style="1" customWidth="1"/>
    <col min="6147" max="6147" width="29.140625" style="1" customWidth="1"/>
    <col min="6148" max="6148" width="7.85546875" style="1" bestFit="1" customWidth="1"/>
    <col min="6149" max="6149" width="7" style="1" customWidth="1"/>
    <col min="6150" max="6150" width="7.85546875" style="1" bestFit="1" customWidth="1"/>
    <col min="6151" max="6151" width="8.42578125" style="1" customWidth="1"/>
    <col min="6152" max="6152" width="7" style="1" customWidth="1"/>
    <col min="6153" max="6153" width="6.42578125" style="1" customWidth="1"/>
    <col min="6154" max="6154" width="7" style="1" customWidth="1"/>
    <col min="6155" max="6155" width="6.570312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140625" style="1" customWidth="1"/>
    <col min="6400" max="6400" width="2.5703125" style="1" customWidth="1"/>
    <col min="6401" max="6401" width="15.42578125" style="1" customWidth="1"/>
    <col min="6402" max="6402" width="1.42578125" style="1" customWidth="1"/>
    <col min="6403" max="6403" width="29.140625" style="1" customWidth="1"/>
    <col min="6404" max="6404" width="7.85546875" style="1" bestFit="1" customWidth="1"/>
    <col min="6405" max="6405" width="7" style="1" customWidth="1"/>
    <col min="6406" max="6406" width="7.85546875" style="1" bestFit="1" customWidth="1"/>
    <col min="6407" max="6407" width="8.42578125" style="1" customWidth="1"/>
    <col min="6408" max="6408" width="7" style="1" customWidth="1"/>
    <col min="6409" max="6409" width="6.42578125" style="1" customWidth="1"/>
    <col min="6410" max="6410" width="7" style="1" customWidth="1"/>
    <col min="6411" max="6411" width="6.570312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140625" style="1" customWidth="1"/>
    <col min="6656" max="6656" width="2.5703125" style="1" customWidth="1"/>
    <col min="6657" max="6657" width="15.42578125" style="1" customWidth="1"/>
    <col min="6658" max="6658" width="1.42578125" style="1" customWidth="1"/>
    <col min="6659" max="6659" width="29.140625" style="1" customWidth="1"/>
    <col min="6660" max="6660" width="7.85546875" style="1" bestFit="1" customWidth="1"/>
    <col min="6661" max="6661" width="7" style="1" customWidth="1"/>
    <col min="6662" max="6662" width="7.85546875" style="1" bestFit="1" customWidth="1"/>
    <col min="6663" max="6663" width="8.42578125" style="1" customWidth="1"/>
    <col min="6664" max="6664" width="7" style="1" customWidth="1"/>
    <col min="6665" max="6665" width="6.42578125" style="1" customWidth="1"/>
    <col min="6666" max="6666" width="7" style="1" customWidth="1"/>
    <col min="6667" max="6667" width="6.570312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140625" style="1" customWidth="1"/>
    <col min="6912" max="6912" width="2.5703125" style="1" customWidth="1"/>
    <col min="6913" max="6913" width="15.42578125" style="1" customWidth="1"/>
    <col min="6914" max="6914" width="1.42578125" style="1" customWidth="1"/>
    <col min="6915" max="6915" width="29.140625" style="1" customWidth="1"/>
    <col min="6916" max="6916" width="7.85546875" style="1" bestFit="1" customWidth="1"/>
    <col min="6917" max="6917" width="7" style="1" customWidth="1"/>
    <col min="6918" max="6918" width="7.85546875" style="1" bestFit="1" customWidth="1"/>
    <col min="6919" max="6919" width="8.42578125" style="1" customWidth="1"/>
    <col min="6920" max="6920" width="7" style="1" customWidth="1"/>
    <col min="6921" max="6921" width="6.42578125" style="1" customWidth="1"/>
    <col min="6922" max="6922" width="7" style="1" customWidth="1"/>
    <col min="6923" max="6923" width="6.570312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140625" style="1" customWidth="1"/>
    <col min="7168" max="7168" width="2.5703125" style="1" customWidth="1"/>
    <col min="7169" max="7169" width="15.42578125" style="1" customWidth="1"/>
    <col min="7170" max="7170" width="1.42578125" style="1" customWidth="1"/>
    <col min="7171" max="7171" width="29.140625" style="1" customWidth="1"/>
    <col min="7172" max="7172" width="7.85546875" style="1" bestFit="1" customWidth="1"/>
    <col min="7173" max="7173" width="7" style="1" customWidth="1"/>
    <col min="7174" max="7174" width="7.85546875" style="1" bestFit="1" customWidth="1"/>
    <col min="7175" max="7175" width="8.42578125" style="1" customWidth="1"/>
    <col min="7176" max="7176" width="7" style="1" customWidth="1"/>
    <col min="7177" max="7177" width="6.42578125" style="1" customWidth="1"/>
    <col min="7178" max="7178" width="7" style="1" customWidth="1"/>
    <col min="7179" max="7179" width="6.570312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140625" style="1" customWidth="1"/>
    <col min="7424" max="7424" width="2.5703125" style="1" customWidth="1"/>
    <col min="7425" max="7425" width="15.42578125" style="1" customWidth="1"/>
    <col min="7426" max="7426" width="1.42578125" style="1" customWidth="1"/>
    <col min="7427" max="7427" width="29.140625" style="1" customWidth="1"/>
    <col min="7428" max="7428" width="7.85546875" style="1" bestFit="1" customWidth="1"/>
    <col min="7429" max="7429" width="7" style="1" customWidth="1"/>
    <col min="7430" max="7430" width="7.85546875" style="1" bestFit="1" customWidth="1"/>
    <col min="7431" max="7431" width="8.42578125" style="1" customWidth="1"/>
    <col min="7432" max="7432" width="7" style="1" customWidth="1"/>
    <col min="7433" max="7433" width="6.42578125" style="1" customWidth="1"/>
    <col min="7434" max="7434" width="7" style="1" customWidth="1"/>
    <col min="7435" max="7435" width="6.570312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140625" style="1" customWidth="1"/>
    <col min="7680" max="7680" width="2.5703125" style="1" customWidth="1"/>
    <col min="7681" max="7681" width="15.42578125" style="1" customWidth="1"/>
    <col min="7682" max="7682" width="1.42578125" style="1" customWidth="1"/>
    <col min="7683" max="7683" width="29.140625" style="1" customWidth="1"/>
    <col min="7684" max="7684" width="7.85546875" style="1" bestFit="1" customWidth="1"/>
    <col min="7685" max="7685" width="7" style="1" customWidth="1"/>
    <col min="7686" max="7686" width="7.85546875" style="1" bestFit="1" customWidth="1"/>
    <col min="7687" max="7687" width="8.42578125" style="1" customWidth="1"/>
    <col min="7688" max="7688" width="7" style="1" customWidth="1"/>
    <col min="7689" max="7689" width="6.42578125" style="1" customWidth="1"/>
    <col min="7690" max="7690" width="7" style="1" customWidth="1"/>
    <col min="7691" max="7691" width="6.570312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140625" style="1" customWidth="1"/>
    <col min="7936" max="7936" width="2.5703125" style="1" customWidth="1"/>
    <col min="7937" max="7937" width="15.42578125" style="1" customWidth="1"/>
    <col min="7938" max="7938" width="1.42578125" style="1" customWidth="1"/>
    <col min="7939" max="7939" width="29.140625" style="1" customWidth="1"/>
    <col min="7940" max="7940" width="7.85546875" style="1" bestFit="1" customWidth="1"/>
    <col min="7941" max="7941" width="7" style="1" customWidth="1"/>
    <col min="7942" max="7942" width="7.85546875" style="1" bestFit="1" customWidth="1"/>
    <col min="7943" max="7943" width="8.42578125" style="1" customWidth="1"/>
    <col min="7944" max="7944" width="7" style="1" customWidth="1"/>
    <col min="7945" max="7945" width="6.42578125" style="1" customWidth="1"/>
    <col min="7946" max="7946" width="7" style="1" customWidth="1"/>
    <col min="7947" max="7947" width="6.570312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140625" style="1" customWidth="1"/>
    <col min="8192" max="8192" width="2.5703125" style="1" customWidth="1"/>
    <col min="8193" max="8193" width="15.42578125" style="1" customWidth="1"/>
    <col min="8194" max="8194" width="1.42578125" style="1" customWidth="1"/>
    <col min="8195" max="8195" width="29.140625" style="1" customWidth="1"/>
    <col min="8196" max="8196" width="7.85546875" style="1" bestFit="1" customWidth="1"/>
    <col min="8197" max="8197" width="7" style="1" customWidth="1"/>
    <col min="8198" max="8198" width="7.85546875" style="1" bestFit="1" customWidth="1"/>
    <col min="8199" max="8199" width="8.42578125" style="1" customWidth="1"/>
    <col min="8200" max="8200" width="7" style="1" customWidth="1"/>
    <col min="8201" max="8201" width="6.42578125" style="1" customWidth="1"/>
    <col min="8202" max="8202" width="7" style="1" customWidth="1"/>
    <col min="8203" max="8203" width="6.570312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140625" style="1" customWidth="1"/>
    <col min="8448" max="8448" width="2.5703125" style="1" customWidth="1"/>
    <col min="8449" max="8449" width="15.42578125" style="1" customWidth="1"/>
    <col min="8450" max="8450" width="1.42578125" style="1" customWidth="1"/>
    <col min="8451" max="8451" width="29.140625" style="1" customWidth="1"/>
    <col min="8452" max="8452" width="7.85546875" style="1" bestFit="1" customWidth="1"/>
    <col min="8453" max="8453" width="7" style="1" customWidth="1"/>
    <col min="8454" max="8454" width="7.85546875" style="1" bestFit="1" customWidth="1"/>
    <col min="8455" max="8455" width="8.42578125" style="1" customWidth="1"/>
    <col min="8456" max="8456" width="7" style="1" customWidth="1"/>
    <col min="8457" max="8457" width="6.42578125" style="1" customWidth="1"/>
    <col min="8458" max="8458" width="7" style="1" customWidth="1"/>
    <col min="8459" max="8459" width="6.570312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140625" style="1" customWidth="1"/>
    <col min="8704" max="8704" width="2.5703125" style="1" customWidth="1"/>
    <col min="8705" max="8705" width="15.42578125" style="1" customWidth="1"/>
    <col min="8706" max="8706" width="1.42578125" style="1" customWidth="1"/>
    <col min="8707" max="8707" width="29.140625" style="1" customWidth="1"/>
    <col min="8708" max="8708" width="7.85546875" style="1" bestFit="1" customWidth="1"/>
    <col min="8709" max="8709" width="7" style="1" customWidth="1"/>
    <col min="8710" max="8710" width="7.85546875" style="1" bestFit="1" customWidth="1"/>
    <col min="8711" max="8711" width="8.42578125" style="1" customWidth="1"/>
    <col min="8712" max="8712" width="7" style="1" customWidth="1"/>
    <col min="8713" max="8713" width="6.42578125" style="1" customWidth="1"/>
    <col min="8714" max="8714" width="7" style="1" customWidth="1"/>
    <col min="8715" max="8715" width="6.570312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140625" style="1" customWidth="1"/>
    <col min="8960" max="8960" width="2.5703125" style="1" customWidth="1"/>
    <col min="8961" max="8961" width="15.42578125" style="1" customWidth="1"/>
    <col min="8962" max="8962" width="1.42578125" style="1" customWidth="1"/>
    <col min="8963" max="8963" width="29.140625" style="1" customWidth="1"/>
    <col min="8964" max="8964" width="7.85546875" style="1" bestFit="1" customWidth="1"/>
    <col min="8965" max="8965" width="7" style="1" customWidth="1"/>
    <col min="8966" max="8966" width="7.85546875" style="1" bestFit="1" customWidth="1"/>
    <col min="8967" max="8967" width="8.42578125" style="1" customWidth="1"/>
    <col min="8968" max="8968" width="7" style="1" customWidth="1"/>
    <col min="8969" max="8969" width="6.42578125" style="1" customWidth="1"/>
    <col min="8970" max="8970" width="7" style="1" customWidth="1"/>
    <col min="8971" max="8971" width="6.570312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140625" style="1" customWidth="1"/>
    <col min="9216" max="9216" width="2.5703125" style="1" customWidth="1"/>
    <col min="9217" max="9217" width="15.42578125" style="1" customWidth="1"/>
    <col min="9218" max="9218" width="1.42578125" style="1" customWidth="1"/>
    <col min="9219" max="9219" width="29.140625" style="1" customWidth="1"/>
    <col min="9220" max="9220" width="7.85546875" style="1" bestFit="1" customWidth="1"/>
    <col min="9221" max="9221" width="7" style="1" customWidth="1"/>
    <col min="9222" max="9222" width="7.85546875" style="1" bestFit="1" customWidth="1"/>
    <col min="9223" max="9223" width="8.42578125" style="1" customWidth="1"/>
    <col min="9224" max="9224" width="7" style="1" customWidth="1"/>
    <col min="9225" max="9225" width="6.42578125" style="1" customWidth="1"/>
    <col min="9226" max="9226" width="7" style="1" customWidth="1"/>
    <col min="9227" max="9227" width="6.570312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140625" style="1" customWidth="1"/>
    <col min="9472" max="9472" width="2.5703125" style="1" customWidth="1"/>
    <col min="9473" max="9473" width="15.42578125" style="1" customWidth="1"/>
    <col min="9474" max="9474" width="1.42578125" style="1" customWidth="1"/>
    <col min="9475" max="9475" width="29.140625" style="1" customWidth="1"/>
    <col min="9476" max="9476" width="7.85546875" style="1" bestFit="1" customWidth="1"/>
    <col min="9477" max="9477" width="7" style="1" customWidth="1"/>
    <col min="9478" max="9478" width="7.85546875" style="1" bestFit="1" customWidth="1"/>
    <col min="9479" max="9479" width="8.42578125" style="1" customWidth="1"/>
    <col min="9480" max="9480" width="7" style="1" customWidth="1"/>
    <col min="9481" max="9481" width="6.42578125" style="1" customWidth="1"/>
    <col min="9482" max="9482" width="7" style="1" customWidth="1"/>
    <col min="9483" max="9483" width="6.570312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140625" style="1" customWidth="1"/>
    <col min="9728" max="9728" width="2.5703125" style="1" customWidth="1"/>
    <col min="9729" max="9729" width="15.42578125" style="1" customWidth="1"/>
    <col min="9730" max="9730" width="1.42578125" style="1" customWidth="1"/>
    <col min="9731" max="9731" width="29.140625" style="1" customWidth="1"/>
    <col min="9732" max="9732" width="7.85546875" style="1" bestFit="1" customWidth="1"/>
    <col min="9733" max="9733" width="7" style="1" customWidth="1"/>
    <col min="9734" max="9734" width="7.85546875" style="1" bestFit="1" customWidth="1"/>
    <col min="9735" max="9735" width="8.42578125" style="1" customWidth="1"/>
    <col min="9736" max="9736" width="7" style="1" customWidth="1"/>
    <col min="9737" max="9737" width="6.42578125" style="1" customWidth="1"/>
    <col min="9738" max="9738" width="7" style="1" customWidth="1"/>
    <col min="9739" max="9739" width="6.570312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140625" style="1" customWidth="1"/>
    <col min="9984" max="9984" width="2.5703125" style="1" customWidth="1"/>
    <col min="9985" max="9985" width="15.42578125" style="1" customWidth="1"/>
    <col min="9986" max="9986" width="1.42578125" style="1" customWidth="1"/>
    <col min="9987" max="9987" width="29.140625" style="1" customWidth="1"/>
    <col min="9988" max="9988" width="7.85546875" style="1" bestFit="1" customWidth="1"/>
    <col min="9989" max="9989" width="7" style="1" customWidth="1"/>
    <col min="9990" max="9990" width="7.85546875" style="1" bestFit="1" customWidth="1"/>
    <col min="9991" max="9991" width="8.42578125" style="1" customWidth="1"/>
    <col min="9992" max="9992" width="7" style="1" customWidth="1"/>
    <col min="9993" max="9993" width="6.42578125" style="1" customWidth="1"/>
    <col min="9994" max="9994" width="7" style="1" customWidth="1"/>
    <col min="9995" max="9995" width="6.570312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140625" style="1" customWidth="1"/>
    <col min="10240" max="10240" width="2.5703125" style="1" customWidth="1"/>
    <col min="10241" max="10241" width="15.42578125" style="1" customWidth="1"/>
    <col min="10242" max="10242" width="1.42578125" style="1" customWidth="1"/>
    <col min="10243" max="10243" width="29.140625" style="1" customWidth="1"/>
    <col min="10244" max="10244" width="7.85546875" style="1" bestFit="1" customWidth="1"/>
    <col min="10245" max="10245" width="7" style="1" customWidth="1"/>
    <col min="10246" max="10246" width="7.85546875" style="1" bestFit="1" customWidth="1"/>
    <col min="10247" max="10247" width="8.42578125" style="1" customWidth="1"/>
    <col min="10248" max="10248" width="7" style="1" customWidth="1"/>
    <col min="10249" max="10249" width="6.42578125" style="1" customWidth="1"/>
    <col min="10250" max="10250" width="7" style="1" customWidth="1"/>
    <col min="10251" max="10251" width="6.570312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140625" style="1" customWidth="1"/>
    <col min="10496" max="10496" width="2.5703125" style="1" customWidth="1"/>
    <col min="10497" max="10497" width="15.42578125" style="1" customWidth="1"/>
    <col min="10498" max="10498" width="1.42578125" style="1" customWidth="1"/>
    <col min="10499" max="10499" width="29.140625" style="1" customWidth="1"/>
    <col min="10500" max="10500" width="7.85546875" style="1" bestFit="1" customWidth="1"/>
    <col min="10501" max="10501" width="7" style="1" customWidth="1"/>
    <col min="10502" max="10502" width="7.85546875" style="1" bestFit="1" customWidth="1"/>
    <col min="10503" max="10503" width="8.42578125" style="1" customWidth="1"/>
    <col min="10504" max="10504" width="7" style="1" customWidth="1"/>
    <col min="10505" max="10505" width="6.42578125" style="1" customWidth="1"/>
    <col min="10506" max="10506" width="7" style="1" customWidth="1"/>
    <col min="10507" max="10507" width="6.570312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140625" style="1" customWidth="1"/>
    <col min="10752" max="10752" width="2.5703125" style="1" customWidth="1"/>
    <col min="10753" max="10753" width="15.42578125" style="1" customWidth="1"/>
    <col min="10754" max="10754" width="1.42578125" style="1" customWidth="1"/>
    <col min="10755" max="10755" width="29.140625" style="1" customWidth="1"/>
    <col min="10756" max="10756" width="7.85546875" style="1" bestFit="1" customWidth="1"/>
    <col min="10757" max="10757" width="7" style="1" customWidth="1"/>
    <col min="10758" max="10758" width="7.85546875" style="1" bestFit="1" customWidth="1"/>
    <col min="10759" max="10759" width="8.42578125" style="1" customWidth="1"/>
    <col min="10760" max="10760" width="7" style="1" customWidth="1"/>
    <col min="10761" max="10761" width="6.42578125" style="1" customWidth="1"/>
    <col min="10762" max="10762" width="7" style="1" customWidth="1"/>
    <col min="10763" max="10763" width="6.570312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140625" style="1" customWidth="1"/>
    <col min="11008" max="11008" width="2.5703125" style="1" customWidth="1"/>
    <col min="11009" max="11009" width="15.42578125" style="1" customWidth="1"/>
    <col min="11010" max="11010" width="1.42578125" style="1" customWidth="1"/>
    <col min="11011" max="11011" width="29.140625" style="1" customWidth="1"/>
    <col min="11012" max="11012" width="7.85546875" style="1" bestFit="1" customWidth="1"/>
    <col min="11013" max="11013" width="7" style="1" customWidth="1"/>
    <col min="11014" max="11014" width="7.85546875" style="1" bestFit="1" customWidth="1"/>
    <col min="11015" max="11015" width="8.42578125" style="1" customWidth="1"/>
    <col min="11016" max="11016" width="7" style="1" customWidth="1"/>
    <col min="11017" max="11017" width="6.42578125" style="1" customWidth="1"/>
    <col min="11018" max="11018" width="7" style="1" customWidth="1"/>
    <col min="11019" max="11019" width="6.570312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140625" style="1" customWidth="1"/>
    <col min="11264" max="11264" width="2.5703125" style="1" customWidth="1"/>
    <col min="11265" max="11265" width="15.42578125" style="1" customWidth="1"/>
    <col min="11266" max="11266" width="1.42578125" style="1" customWidth="1"/>
    <col min="11267" max="11267" width="29.140625" style="1" customWidth="1"/>
    <col min="11268" max="11268" width="7.85546875" style="1" bestFit="1" customWidth="1"/>
    <col min="11269" max="11269" width="7" style="1" customWidth="1"/>
    <col min="11270" max="11270" width="7.85546875" style="1" bestFit="1" customWidth="1"/>
    <col min="11271" max="11271" width="8.42578125" style="1" customWidth="1"/>
    <col min="11272" max="11272" width="7" style="1" customWidth="1"/>
    <col min="11273" max="11273" width="6.42578125" style="1" customWidth="1"/>
    <col min="11274" max="11274" width="7" style="1" customWidth="1"/>
    <col min="11275" max="11275" width="6.570312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140625" style="1" customWidth="1"/>
    <col min="11520" max="11520" width="2.5703125" style="1" customWidth="1"/>
    <col min="11521" max="11521" width="15.42578125" style="1" customWidth="1"/>
    <col min="11522" max="11522" width="1.42578125" style="1" customWidth="1"/>
    <col min="11523" max="11523" width="29.140625" style="1" customWidth="1"/>
    <col min="11524" max="11524" width="7.85546875" style="1" bestFit="1" customWidth="1"/>
    <col min="11525" max="11525" width="7" style="1" customWidth="1"/>
    <col min="11526" max="11526" width="7.85546875" style="1" bestFit="1" customWidth="1"/>
    <col min="11527" max="11527" width="8.42578125" style="1" customWidth="1"/>
    <col min="11528" max="11528" width="7" style="1" customWidth="1"/>
    <col min="11529" max="11529" width="6.42578125" style="1" customWidth="1"/>
    <col min="11530" max="11530" width="7" style="1" customWidth="1"/>
    <col min="11531" max="11531" width="6.570312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140625" style="1" customWidth="1"/>
    <col min="11776" max="11776" width="2.5703125" style="1" customWidth="1"/>
    <col min="11777" max="11777" width="15.42578125" style="1" customWidth="1"/>
    <col min="11778" max="11778" width="1.42578125" style="1" customWidth="1"/>
    <col min="11779" max="11779" width="29.140625" style="1" customWidth="1"/>
    <col min="11780" max="11780" width="7.85546875" style="1" bestFit="1" customWidth="1"/>
    <col min="11781" max="11781" width="7" style="1" customWidth="1"/>
    <col min="11782" max="11782" width="7.85546875" style="1" bestFit="1" customWidth="1"/>
    <col min="11783" max="11783" width="8.42578125" style="1" customWidth="1"/>
    <col min="11784" max="11784" width="7" style="1" customWidth="1"/>
    <col min="11785" max="11785" width="6.42578125" style="1" customWidth="1"/>
    <col min="11786" max="11786" width="7" style="1" customWidth="1"/>
    <col min="11787" max="11787" width="6.570312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140625" style="1" customWidth="1"/>
    <col min="12032" max="12032" width="2.5703125" style="1" customWidth="1"/>
    <col min="12033" max="12033" width="15.42578125" style="1" customWidth="1"/>
    <col min="12034" max="12034" width="1.42578125" style="1" customWidth="1"/>
    <col min="12035" max="12035" width="29.140625" style="1" customWidth="1"/>
    <col min="12036" max="12036" width="7.85546875" style="1" bestFit="1" customWidth="1"/>
    <col min="12037" max="12037" width="7" style="1" customWidth="1"/>
    <col min="12038" max="12038" width="7.85546875" style="1" bestFit="1" customWidth="1"/>
    <col min="12039" max="12039" width="8.42578125" style="1" customWidth="1"/>
    <col min="12040" max="12040" width="7" style="1" customWidth="1"/>
    <col min="12041" max="12041" width="6.42578125" style="1" customWidth="1"/>
    <col min="12042" max="12042" width="7" style="1" customWidth="1"/>
    <col min="12043" max="12043" width="6.570312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140625" style="1" customWidth="1"/>
    <col min="12288" max="12288" width="2.5703125" style="1" customWidth="1"/>
    <col min="12289" max="12289" width="15.42578125" style="1" customWidth="1"/>
    <col min="12290" max="12290" width="1.42578125" style="1" customWidth="1"/>
    <col min="12291" max="12291" width="29.140625" style="1" customWidth="1"/>
    <col min="12292" max="12292" width="7.85546875" style="1" bestFit="1" customWidth="1"/>
    <col min="12293" max="12293" width="7" style="1" customWidth="1"/>
    <col min="12294" max="12294" width="7.85546875" style="1" bestFit="1" customWidth="1"/>
    <col min="12295" max="12295" width="8.42578125" style="1" customWidth="1"/>
    <col min="12296" max="12296" width="7" style="1" customWidth="1"/>
    <col min="12297" max="12297" width="6.42578125" style="1" customWidth="1"/>
    <col min="12298" max="12298" width="7" style="1" customWidth="1"/>
    <col min="12299" max="12299" width="6.570312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140625" style="1" customWidth="1"/>
    <col min="12544" max="12544" width="2.5703125" style="1" customWidth="1"/>
    <col min="12545" max="12545" width="15.42578125" style="1" customWidth="1"/>
    <col min="12546" max="12546" width="1.42578125" style="1" customWidth="1"/>
    <col min="12547" max="12547" width="29.140625" style="1" customWidth="1"/>
    <col min="12548" max="12548" width="7.85546875" style="1" bestFit="1" customWidth="1"/>
    <col min="12549" max="12549" width="7" style="1" customWidth="1"/>
    <col min="12550" max="12550" width="7.85546875" style="1" bestFit="1" customWidth="1"/>
    <col min="12551" max="12551" width="8.42578125" style="1" customWidth="1"/>
    <col min="12552" max="12552" width="7" style="1" customWidth="1"/>
    <col min="12553" max="12553" width="6.42578125" style="1" customWidth="1"/>
    <col min="12554" max="12554" width="7" style="1" customWidth="1"/>
    <col min="12555" max="12555" width="6.570312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140625" style="1" customWidth="1"/>
    <col min="12800" max="12800" width="2.5703125" style="1" customWidth="1"/>
    <col min="12801" max="12801" width="15.42578125" style="1" customWidth="1"/>
    <col min="12802" max="12802" width="1.42578125" style="1" customWidth="1"/>
    <col min="12803" max="12803" width="29.140625" style="1" customWidth="1"/>
    <col min="12804" max="12804" width="7.85546875" style="1" bestFit="1" customWidth="1"/>
    <col min="12805" max="12805" width="7" style="1" customWidth="1"/>
    <col min="12806" max="12806" width="7.85546875" style="1" bestFit="1" customWidth="1"/>
    <col min="12807" max="12807" width="8.42578125" style="1" customWidth="1"/>
    <col min="12808" max="12808" width="7" style="1" customWidth="1"/>
    <col min="12809" max="12809" width="6.42578125" style="1" customWidth="1"/>
    <col min="12810" max="12810" width="7" style="1" customWidth="1"/>
    <col min="12811" max="12811" width="6.570312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140625" style="1" customWidth="1"/>
    <col min="13056" max="13056" width="2.5703125" style="1" customWidth="1"/>
    <col min="13057" max="13057" width="15.42578125" style="1" customWidth="1"/>
    <col min="13058" max="13058" width="1.42578125" style="1" customWidth="1"/>
    <col min="13059" max="13059" width="29.140625" style="1" customWidth="1"/>
    <col min="13060" max="13060" width="7.85546875" style="1" bestFit="1" customWidth="1"/>
    <col min="13061" max="13061" width="7" style="1" customWidth="1"/>
    <col min="13062" max="13062" width="7.85546875" style="1" bestFit="1" customWidth="1"/>
    <col min="13063" max="13063" width="8.42578125" style="1" customWidth="1"/>
    <col min="13064" max="13064" width="7" style="1" customWidth="1"/>
    <col min="13065" max="13065" width="6.42578125" style="1" customWidth="1"/>
    <col min="13066" max="13066" width="7" style="1" customWidth="1"/>
    <col min="13067" max="13067" width="6.570312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140625" style="1" customWidth="1"/>
    <col min="13312" max="13312" width="2.5703125" style="1" customWidth="1"/>
    <col min="13313" max="13313" width="15.42578125" style="1" customWidth="1"/>
    <col min="13314" max="13314" width="1.42578125" style="1" customWidth="1"/>
    <col min="13315" max="13315" width="29.140625" style="1" customWidth="1"/>
    <col min="13316" max="13316" width="7.85546875" style="1" bestFit="1" customWidth="1"/>
    <col min="13317" max="13317" width="7" style="1" customWidth="1"/>
    <col min="13318" max="13318" width="7.85546875" style="1" bestFit="1" customWidth="1"/>
    <col min="13319" max="13319" width="8.42578125" style="1" customWidth="1"/>
    <col min="13320" max="13320" width="7" style="1" customWidth="1"/>
    <col min="13321" max="13321" width="6.42578125" style="1" customWidth="1"/>
    <col min="13322" max="13322" width="7" style="1" customWidth="1"/>
    <col min="13323" max="13323" width="6.570312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140625" style="1" customWidth="1"/>
    <col min="13568" max="13568" width="2.5703125" style="1" customWidth="1"/>
    <col min="13569" max="13569" width="15.42578125" style="1" customWidth="1"/>
    <col min="13570" max="13570" width="1.42578125" style="1" customWidth="1"/>
    <col min="13571" max="13571" width="29.140625" style="1" customWidth="1"/>
    <col min="13572" max="13572" width="7.85546875" style="1" bestFit="1" customWidth="1"/>
    <col min="13573" max="13573" width="7" style="1" customWidth="1"/>
    <col min="13574" max="13574" width="7.85546875" style="1" bestFit="1" customWidth="1"/>
    <col min="13575" max="13575" width="8.42578125" style="1" customWidth="1"/>
    <col min="13576" max="13576" width="7" style="1" customWidth="1"/>
    <col min="13577" max="13577" width="6.42578125" style="1" customWidth="1"/>
    <col min="13578" max="13578" width="7" style="1" customWidth="1"/>
    <col min="13579" max="13579" width="6.570312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140625" style="1" customWidth="1"/>
    <col min="13824" max="13824" width="2.5703125" style="1" customWidth="1"/>
    <col min="13825" max="13825" width="15.42578125" style="1" customWidth="1"/>
    <col min="13826" max="13826" width="1.42578125" style="1" customWidth="1"/>
    <col min="13827" max="13827" width="29.140625" style="1" customWidth="1"/>
    <col min="13828" max="13828" width="7.85546875" style="1" bestFit="1" customWidth="1"/>
    <col min="13829" max="13829" width="7" style="1" customWidth="1"/>
    <col min="13830" max="13830" width="7.85546875" style="1" bestFit="1" customWidth="1"/>
    <col min="13831" max="13831" width="8.42578125" style="1" customWidth="1"/>
    <col min="13832" max="13832" width="7" style="1" customWidth="1"/>
    <col min="13833" max="13833" width="6.42578125" style="1" customWidth="1"/>
    <col min="13834" max="13834" width="7" style="1" customWidth="1"/>
    <col min="13835" max="13835" width="6.570312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140625" style="1" customWidth="1"/>
    <col min="14080" max="14080" width="2.5703125" style="1" customWidth="1"/>
    <col min="14081" max="14081" width="15.42578125" style="1" customWidth="1"/>
    <col min="14082" max="14082" width="1.42578125" style="1" customWidth="1"/>
    <col min="14083" max="14083" width="29.140625" style="1" customWidth="1"/>
    <col min="14084" max="14084" width="7.85546875" style="1" bestFit="1" customWidth="1"/>
    <col min="14085" max="14085" width="7" style="1" customWidth="1"/>
    <col min="14086" max="14086" width="7.85546875" style="1" bestFit="1" customWidth="1"/>
    <col min="14087" max="14087" width="8.42578125" style="1" customWidth="1"/>
    <col min="14088" max="14088" width="7" style="1" customWidth="1"/>
    <col min="14089" max="14089" width="6.42578125" style="1" customWidth="1"/>
    <col min="14090" max="14090" width="7" style="1" customWidth="1"/>
    <col min="14091" max="14091" width="6.570312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140625" style="1" customWidth="1"/>
    <col min="14336" max="14336" width="2.5703125" style="1" customWidth="1"/>
    <col min="14337" max="14337" width="15.42578125" style="1" customWidth="1"/>
    <col min="14338" max="14338" width="1.42578125" style="1" customWidth="1"/>
    <col min="14339" max="14339" width="29.140625" style="1" customWidth="1"/>
    <col min="14340" max="14340" width="7.85546875" style="1" bestFit="1" customWidth="1"/>
    <col min="14341" max="14341" width="7" style="1" customWidth="1"/>
    <col min="14342" max="14342" width="7.85546875" style="1" bestFit="1" customWidth="1"/>
    <col min="14343" max="14343" width="8.42578125" style="1" customWidth="1"/>
    <col min="14344" max="14344" width="7" style="1" customWidth="1"/>
    <col min="14345" max="14345" width="6.42578125" style="1" customWidth="1"/>
    <col min="14346" max="14346" width="7" style="1" customWidth="1"/>
    <col min="14347" max="14347" width="6.570312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140625" style="1" customWidth="1"/>
    <col min="14592" max="14592" width="2.5703125" style="1" customWidth="1"/>
    <col min="14593" max="14593" width="15.42578125" style="1" customWidth="1"/>
    <col min="14594" max="14594" width="1.42578125" style="1" customWidth="1"/>
    <col min="14595" max="14595" width="29.140625" style="1" customWidth="1"/>
    <col min="14596" max="14596" width="7.85546875" style="1" bestFit="1" customWidth="1"/>
    <col min="14597" max="14597" width="7" style="1" customWidth="1"/>
    <col min="14598" max="14598" width="7.85546875" style="1" bestFit="1" customWidth="1"/>
    <col min="14599" max="14599" width="8.42578125" style="1" customWidth="1"/>
    <col min="14600" max="14600" width="7" style="1" customWidth="1"/>
    <col min="14601" max="14601" width="6.42578125" style="1" customWidth="1"/>
    <col min="14602" max="14602" width="7" style="1" customWidth="1"/>
    <col min="14603" max="14603" width="6.570312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140625" style="1" customWidth="1"/>
    <col min="14848" max="14848" width="2.5703125" style="1" customWidth="1"/>
    <col min="14849" max="14849" width="15.42578125" style="1" customWidth="1"/>
    <col min="14850" max="14850" width="1.42578125" style="1" customWidth="1"/>
    <col min="14851" max="14851" width="29.140625" style="1" customWidth="1"/>
    <col min="14852" max="14852" width="7.85546875" style="1" bestFit="1" customWidth="1"/>
    <col min="14853" max="14853" width="7" style="1" customWidth="1"/>
    <col min="14854" max="14854" width="7.85546875" style="1" bestFit="1" customWidth="1"/>
    <col min="14855" max="14855" width="8.42578125" style="1" customWidth="1"/>
    <col min="14856" max="14856" width="7" style="1" customWidth="1"/>
    <col min="14857" max="14857" width="6.42578125" style="1" customWidth="1"/>
    <col min="14858" max="14858" width="7" style="1" customWidth="1"/>
    <col min="14859" max="14859" width="6.570312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140625" style="1" customWidth="1"/>
    <col min="15104" max="15104" width="2.5703125" style="1" customWidth="1"/>
    <col min="15105" max="15105" width="15.42578125" style="1" customWidth="1"/>
    <col min="15106" max="15106" width="1.42578125" style="1" customWidth="1"/>
    <col min="15107" max="15107" width="29.140625" style="1" customWidth="1"/>
    <col min="15108" max="15108" width="7.85546875" style="1" bestFit="1" customWidth="1"/>
    <col min="15109" max="15109" width="7" style="1" customWidth="1"/>
    <col min="15110" max="15110" width="7.85546875" style="1" bestFit="1" customWidth="1"/>
    <col min="15111" max="15111" width="8.42578125" style="1" customWidth="1"/>
    <col min="15112" max="15112" width="7" style="1" customWidth="1"/>
    <col min="15113" max="15113" width="6.42578125" style="1" customWidth="1"/>
    <col min="15114" max="15114" width="7" style="1" customWidth="1"/>
    <col min="15115" max="15115" width="6.570312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140625" style="1" customWidth="1"/>
    <col min="15360" max="15360" width="2.5703125" style="1" customWidth="1"/>
    <col min="15361" max="15361" width="15.42578125" style="1" customWidth="1"/>
    <col min="15362" max="15362" width="1.42578125" style="1" customWidth="1"/>
    <col min="15363" max="15363" width="29.140625" style="1" customWidth="1"/>
    <col min="15364" max="15364" width="7.85546875" style="1" bestFit="1" customWidth="1"/>
    <col min="15365" max="15365" width="7" style="1" customWidth="1"/>
    <col min="15366" max="15366" width="7.85546875" style="1" bestFit="1" customWidth="1"/>
    <col min="15367" max="15367" width="8.42578125" style="1" customWidth="1"/>
    <col min="15368" max="15368" width="7" style="1" customWidth="1"/>
    <col min="15369" max="15369" width="6.42578125" style="1" customWidth="1"/>
    <col min="15370" max="15370" width="7" style="1" customWidth="1"/>
    <col min="15371" max="15371" width="6.570312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140625" style="1" customWidth="1"/>
    <col min="15616" max="15616" width="2.5703125" style="1" customWidth="1"/>
    <col min="15617" max="15617" width="15.42578125" style="1" customWidth="1"/>
    <col min="15618" max="15618" width="1.42578125" style="1" customWidth="1"/>
    <col min="15619" max="15619" width="29.140625" style="1" customWidth="1"/>
    <col min="15620" max="15620" width="7.85546875" style="1" bestFit="1" customWidth="1"/>
    <col min="15621" max="15621" width="7" style="1" customWidth="1"/>
    <col min="15622" max="15622" width="7.85546875" style="1" bestFit="1" customWidth="1"/>
    <col min="15623" max="15623" width="8.42578125" style="1" customWidth="1"/>
    <col min="15624" max="15624" width="7" style="1" customWidth="1"/>
    <col min="15625" max="15625" width="6.42578125" style="1" customWidth="1"/>
    <col min="15626" max="15626" width="7" style="1" customWidth="1"/>
    <col min="15627" max="15627" width="6.570312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140625" style="1" customWidth="1"/>
    <col min="15872" max="15872" width="2.5703125" style="1" customWidth="1"/>
    <col min="15873" max="15873" width="15.42578125" style="1" customWidth="1"/>
    <col min="15874" max="15874" width="1.42578125" style="1" customWidth="1"/>
    <col min="15875" max="15875" width="29.140625" style="1" customWidth="1"/>
    <col min="15876" max="15876" width="7.85546875" style="1" bestFit="1" customWidth="1"/>
    <col min="15877" max="15877" width="7" style="1" customWidth="1"/>
    <col min="15878" max="15878" width="7.85546875" style="1" bestFit="1" customWidth="1"/>
    <col min="15879" max="15879" width="8.42578125" style="1" customWidth="1"/>
    <col min="15880" max="15880" width="7" style="1" customWidth="1"/>
    <col min="15881" max="15881" width="6.42578125" style="1" customWidth="1"/>
    <col min="15882" max="15882" width="7" style="1" customWidth="1"/>
    <col min="15883" max="15883" width="6.570312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140625" style="1" customWidth="1"/>
    <col min="16128" max="16128" width="2.5703125" style="1" customWidth="1"/>
    <col min="16129" max="16129" width="15.42578125" style="1" customWidth="1"/>
    <col min="16130" max="16130" width="1.42578125" style="1" customWidth="1"/>
    <col min="16131" max="16131" width="29.140625" style="1" customWidth="1"/>
    <col min="16132" max="16132" width="7.85546875" style="1" bestFit="1" customWidth="1"/>
    <col min="16133" max="16133" width="7" style="1" customWidth="1"/>
    <col min="16134" max="16134" width="7.85546875" style="1" bestFit="1" customWidth="1"/>
    <col min="16135" max="16135" width="8.42578125" style="1" customWidth="1"/>
    <col min="16136" max="16136" width="7" style="1" customWidth="1"/>
    <col min="16137" max="16137" width="6.42578125" style="1" customWidth="1"/>
    <col min="16138" max="16138" width="7" style="1" customWidth="1"/>
    <col min="16139" max="16139" width="6.570312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29" t="s">
        <v>19</v>
      </c>
    </row>
    <row r="3" spans="3:23" ht="15" customHeight="1">
      <c r="M3" s="28" t="str">
        <f>Indice!E3</f>
        <v>Junio 2023</v>
      </c>
    </row>
    <row r="4" spans="3:23" ht="20.25" customHeight="1">
      <c r="C4" s="27" t="s">
        <v>46</v>
      </c>
    </row>
    <row r="5" spans="3:23" ht="12.75" customHeight="1"/>
    <row r="6" spans="3:23" ht="13.5" customHeight="1"/>
    <row r="7" spans="3:23" s="23" customFormat="1" ht="12.75" customHeight="1">
      <c r="C7" s="190" t="s">
        <v>18</v>
      </c>
      <c r="E7" s="26"/>
      <c r="F7" s="191" t="s">
        <v>17</v>
      </c>
      <c r="G7" s="192"/>
      <c r="H7" s="191" t="s">
        <v>16</v>
      </c>
      <c r="I7" s="192"/>
      <c r="J7" s="191" t="s">
        <v>15</v>
      </c>
      <c r="K7" s="192"/>
      <c r="L7" s="191" t="s">
        <v>14</v>
      </c>
      <c r="M7" s="192"/>
    </row>
    <row r="8" spans="3:23" s="23" customFormat="1" ht="12.75" customHeight="1">
      <c r="C8" s="190"/>
      <c r="E8" s="25"/>
      <c r="F8" s="24" t="s">
        <v>13</v>
      </c>
      <c r="G8" s="96" t="str">
        <f>CONCATENATE("% ",RIGHT(M3,2),"/",RIGHT(M3,2)-1)</f>
        <v>% 23/22</v>
      </c>
      <c r="H8" s="24" t="s">
        <v>13</v>
      </c>
      <c r="I8" s="96" t="str">
        <f>G8</f>
        <v>% 23/22</v>
      </c>
      <c r="J8" s="24" t="s">
        <v>13</v>
      </c>
      <c r="K8" s="96" t="str">
        <f>I8</f>
        <v>% 23/22</v>
      </c>
      <c r="L8" s="24" t="s">
        <v>13</v>
      </c>
      <c r="M8" s="96" t="str">
        <f>K8</f>
        <v>% 23/22</v>
      </c>
    </row>
    <row r="9" spans="3:23" s="22" customFormat="1" ht="12.75" customHeight="1">
      <c r="C9" s="19"/>
      <c r="E9" s="17" t="s">
        <v>12</v>
      </c>
      <c r="F9" s="138" t="s">
        <v>3</v>
      </c>
      <c r="G9" s="14" t="s">
        <v>3</v>
      </c>
      <c r="H9" s="14">
        <f>Dat_01!Z8/1000</f>
        <v>0.28383700000000001</v>
      </c>
      <c r="I9" s="14">
        <f>IF(Dat_01!AB8*100=-100,"-",Dat_01!AB8*100)</f>
        <v>0.87212091999999997</v>
      </c>
      <c r="J9" s="138" t="s">
        <v>3</v>
      </c>
      <c r="K9" s="14" t="s">
        <v>3</v>
      </c>
      <c r="L9" s="138" t="s">
        <v>3</v>
      </c>
      <c r="M9" s="14" t="s">
        <v>3</v>
      </c>
      <c r="N9" s="7"/>
      <c r="O9" s="7"/>
    </row>
    <row r="10" spans="3:23" ht="12.75" customHeight="1">
      <c r="E10" s="17" t="s">
        <v>6</v>
      </c>
      <c r="F10" s="138" t="s">
        <v>3</v>
      </c>
      <c r="G10" s="14" t="s">
        <v>3</v>
      </c>
      <c r="H10" s="138">
        <f>Dat_01!Z15/1000</f>
        <v>0.80873800000000007</v>
      </c>
      <c r="I10" s="14">
        <f>Dat_01!AB15*100</f>
        <v>-66.98435637</v>
      </c>
      <c r="J10" s="138" t="s">
        <v>3</v>
      </c>
      <c r="K10" s="14" t="s">
        <v>3</v>
      </c>
      <c r="L10" s="138" t="s">
        <v>3</v>
      </c>
      <c r="M10" s="14" t="s">
        <v>3</v>
      </c>
      <c r="N10" s="7"/>
      <c r="O10" s="7"/>
    </row>
    <row r="11" spans="3:23" ht="12.75" customHeight="1">
      <c r="E11" s="17" t="s">
        <v>5</v>
      </c>
      <c r="F11" s="14">
        <f>Dat_01!R16/1000</f>
        <v>5.6180000000000001E-2</v>
      </c>
      <c r="G11" s="14">
        <f>Dat_01!T16*100</f>
        <v>-8.5894661499999998</v>
      </c>
      <c r="H11" s="138">
        <f>Dat_01!Z16/1000</f>
        <v>63.396431</v>
      </c>
      <c r="I11" s="14">
        <f>Dat_01!AB16*100</f>
        <v>-60.465325489999998</v>
      </c>
      <c r="J11" s="138" t="s">
        <v>3</v>
      </c>
      <c r="K11" s="14" t="s">
        <v>3</v>
      </c>
      <c r="L11" s="138" t="s">
        <v>3</v>
      </c>
      <c r="M11" s="14" t="s">
        <v>3</v>
      </c>
      <c r="N11" s="7"/>
      <c r="O11" s="7"/>
    </row>
    <row r="12" spans="3:23" ht="12.75" customHeight="1">
      <c r="C12" s="10"/>
      <c r="E12" s="17" t="s">
        <v>4</v>
      </c>
      <c r="F12" s="138">
        <f>Dat_01!R17/1000</f>
        <v>35.587197999999994</v>
      </c>
      <c r="G12" s="14">
        <f>Dat_01!T17*100</f>
        <v>21.591473780000001</v>
      </c>
      <c r="H12" s="138">
        <f>Dat_01!Z17/1000</f>
        <v>30.366741999999999</v>
      </c>
      <c r="I12" s="14">
        <f>Dat_01!AB17*100</f>
        <v>-1.25437631</v>
      </c>
      <c r="J12" s="138" t="s">
        <v>3</v>
      </c>
      <c r="K12" s="14" t="s">
        <v>3</v>
      </c>
      <c r="L12" s="138">
        <f>Dat_01!J17/1000</f>
        <v>7.9900000000000006E-3</v>
      </c>
      <c r="M12" s="14">
        <f>IF(Dat_01!L17*100=-100,"-",Dat_01!L17*100)</f>
        <v>1.04970279</v>
      </c>
      <c r="N12" s="7"/>
      <c r="O12" s="7"/>
      <c r="P12" s="16"/>
    </row>
    <row r="13" spans="3:23" ht="12.75" customHeight="1">
      <c r="C13" s="10"/>
      <c r="E13" s="15" t="s">
        <v>83</v>
      </c>
      <c r="F13" s="14">
        <f>Dat_01!R18/1000</f>
        <v>8.4138999999999992E-2</v>
      </c>
      <c r="G13" s="14">
        <f>Dat_01!T18*100</f>
        <v>-24.321139779999999</v>
      </c>
      <c r="H13" s="138">
        <f>Dat_01!Z18/1000</f>
        <v>0.66513099999999992</v>
      </c>
      <c r="I13" s="14">
        <f>IF(Dat_01!AB18*100=-100,"-",Dat_01!AB18*100)</f>
        <v>-4.44975334</v>
      </c>
      <c r="J13" s="138" t="s">
        <v>3</v>
      </c>
      <c r="K13" s="14" t="s">
        <v>3</v>
      </c>
      <c r="L13" s="138" t="s">
        <v>3</v>
      </c>
      <c r="M13" s="14" t="s">
        <v>3</v>
      </c>
      <c r="N13" s="7"/>
      <c r="O13" s="7"/>
    </row>
    <row r="14" spans="3:23" ht="12.75" customHeight="1">
      <c r="C14" s="10"/>
      <c r="E14" s="15" t="s">
        <v>54</v>
      </c>
      <c r="F14" s="138">
        <f>Dat_01!R21/1000</f>
        <v>15.5976535</v>
      </c>
      <c r="G14" s="14">
        <f>Dat_01!T21*100</f>
        <v>18.286602720000001</v>
      </c>
      <c r="H14" s="138" t="s">
        <v>3</v>
      </c>
      <c r="I14" s="14" t="s">
        <v>3</v>
      </c>
      <c r="J14" s="138" t="s">
        <v>3</v>
      </c>
      <c r="K14" s="14" t="s">
        <v>3</v>
      </c>
      <c r="L14" s="14">
        <f>Dat_01!J21/1000</f>
        <v>0.46444950000000002</v>
      </c>
      <c r="M14" s="14">
        <f>Dat_01!L21*100</f>
        <v>-14.498380450000001</v>
      </c>
      <c r="N14" s="7"/>
      <c r="O14" s="7"/>
    </row>
    <row r="15" spans="3:23" ht="12.75" customHeight="1">
      <c r="C15" s="10"/>
      <c r="E15" s="152" t="s">
        <v>80</v>
      </c>
      <c r="F15" s="155">
        <f>SUM(F9:F14)</f>
        <v>51.325170499999992</v>
      </c>
      <c r="G15" s="156">
        <f>((SUM(Dat_01!R8,Dat_01!R15:R18,Dat_01!R20)/SUM(Dat_01!S8,Dat_01!S15:S18,Dat_01!S20))-1)*100</f>
        <v>20.405869771930575</v>
      </c>
      <c r="H15" s="155">
        <f>SUM(H9:H14)</f>
        <v>95.520879000000008</v>
      </c>
      <c r="I15" s="156">
        <f>((SUM(Dat_01!Z8,Dat_01!Z15:Z18,Dat_01!Z20)/SUM(Dat_01!AA8,Dat_01!AA15:AA18,Dat_01!AA20))-1)*100</f>
        <v>-50.898114164637967</v>
      </c>
      <c r="J15" s="155" t="s">
        <v>3</v>
      </c>
      <c r="K15" s="156" t="s">
        <v>3</v>
      </c>
      <c r="L15" s="156">
        <f>SUM(L9:L14)</f>
        <v>0.47243950000000001</v>
      </c>
      <c r="M15" s="156">
        <f>((SUM(Dat_01!J8,Dat_01!J15:J18,Dat_01!J21)/SUM(Dat_01!K8,Dat_01!K15:K18,Dat_01!K20))-1)*100</f>
        <v>-14.275306765859973</v>
      </c>
      <c r="N15" s="7"/>
      <c r="O15" s="7"/>
    </row>
    <row r="16" spans="3:23" ht="12.75" customHeight="1">
      <c r="C16" s="19"/>
      <c r="E16" s="17" t="s">
        <v>11</v>
      </c>
      <c r="F16" s="138">
        <f>Dat_01!R9/1000</f>
        <v>3.1799560000000002</v>
      </c>
      <c r="G16" s="14" t="s">
        <v>3</v>
      </c>
      <c r="H16" s="138" t="s">
        <v>3</v>
      </c>
      <c r="I16" s="14" t="s">
        <v>3</v>
      </c>
      <c r="J16" s="138" t="s">
        <v>3</v>
      </c>
      <c r="K16" s="14" t="s">
        <v>3</v>
      </c>
      <c r="L16" s="138" t="s">
        <v>3</v>
      </c>
      <c r="M16" s="14" t="s">
        <v>3</v>
      </c>
      <c r="N16" s="7"/>
      <c r="O16" s="7"/>
      <c r="P16" s="6"/>
      <c r="Q16" s="6"/>
      <c r="R16" s="6"/>
      <c r="S16" s="6"/>
      <c r="T16" s="6"/>
      <c r="U16" s="6"/>
      <c r="V16" s="6"/>
      <c r="W16" s="6"/>
    </row>
    <row r="17" spans="3:23" ht="12.75" customHeight="1">
      <c r="C17" s="19"/>
      <c r="E17" s="21" t="s">
        <v>10</v>
      </c>
      <c r="F17" s="139">
        <f>SUM(Dat_01!R10,Dat_01!R14)/1000</f>
        <v>20.755148000000002</v>
      </c>
      <c r="G17" s="20">
        <f>((SUM(Dat_01!R10,Dat_01!R14)/SUM(Dat_01!S10,Dat_01!S14))-1)*100</f>
        <v>-60.827662648688687</v>
      </c>
      <c r="H17" s="139">
        <f>SUM(Dat_01!Z10,Dat_01!Z14)/1000</f>
        <v>159.42586700000001</v>
      </c>
      <c r="I17" s="20">
        <f>((SUM(Dat_01!Z10,Dat_01!Z14)/SUM(Dat_01!AA10,Dat_01!AA14))-1)*100</f>
        <v>13.732637051541019</v>
      </c>
      <c r="J17" s="139">
        <f>Dat_01!B10/1000</f>
        <v>14.994945</v>
      </c>
      <c r="K17" s="20">
        <f>Dat_01!D10*100</f>
        <v>-9.4001865500000008</v>
      </c>
      <c r="L17" s="139">
        <f>Dat_01!J10/1000</f>
        <v>15.696530000000001</v>
      </c>
      <c r="M17" s="20">
        <f>Dat_01!L10*100</f>
        <v>3.7029955599999997</v>
      </c>
      <c r="N17" s="146"/>
      <c r="O17" s="145"/>
      <c r="Q17" s="6"/>
      <c r="R17" s="6"/>
      <c r="S17" s="6"/>
      <c r="T17" s="6"/>
      <c r="U17" s="6"/>
      <c r="V17" s="6"/>
      <c r="W17" s="6"/>
    </row>
    <row r="18" spans="3:23" ht="12.75" customHeight="1">
      <c r="C18" s="19"/>
      <c r="E18" s="21" t="s">
        <v>9</v>
      </c>
      <c r="F18" s="139">
        <f>Dat_01!R11/1000</f>
        <v>56.449230999999997</v>
      </c>
      <c r="G18" s="20">
        <f>Dat_01!T11*100</f>
        <v>71.504874450000003</v>
      </c>
      <c r="H18" s="139">
        <f>Dat_01!Z11/1000</f>
        <v>20.997602999999998</v>
      </c>
      <c r="I18" s="20">
        <f>Dat_01!AB11*100</f>
        <v>42.403174620000001</v>
      </c>
      <c r="J18" s="139">
        <f>Dat_01!B11/1000</f>
        <v>4.3600000000000002E-3</v>
      </c>
      <c r="K18" s="20">
        <f>IF(Dat_01!D11=-100%,"-",Dat_01!D11*100)</f>
        <v>-93.179187130000003</v>
      </c>
      <c r="L18" s="139">
        <f>Dat_01!J11/1000</f>
        <v>1.3524E-2</v>
      </c>
      <c r="M18" s="20">
        <f>IF(Dat_01!L11*100=-100,"-",Dat_01!L11*100)</f>
        <v>24.725629439999999</v>
      </c>
      <c r="N18" s="146"/>
      <c r="O18" s="18"/>
      <c r="P18" s="6"/>
      <c r="Q18" s="6"/>
      <c r="R18" s="6"/>
      <c r="S18" s="6"/>
      <c r="T18" s="6"/>
      <c r="U18" s="6"/>
      <c r="V18" s="6"/>
      <c r="W18" s="6"/>
    </row>
    <row r="19" spans="3:23" ht="12.75" customHeight="1">
      <c r="C19" s="19"/>
      <c r="E19" s="21" t="s">
        <v>8</v>
      </c>
      <c r="F19" s="139" t="s">
        <v>3</v>
      </c>
      <c r="G19" s="20" t="s">
        <v>3</v>
      </c>
      <c r="H19" s="139">
        <f>Dat_01!Z12/1000</f>
        <v>84.90544100000001</v>
      </c>
      <c r="I19" s="20">
        <f>Dat_01!AB12*100</f>
        <v>40.048130579999999</v>
      </c>
      <c r="J19" s="139" t="s">
        <v>3</v>
      </c>
      <c r="K19" s="139" t="s">
        <v>3</v>
      </c>
      <c r="L19" s="139" t="s">
        <v>3</v>
      </c>
      <c r="M19" s="139" t="s">
        <v>3</v>
      </c>
      <c r="N19" s="146"/>
      <c r="O19" s="18"/>
      <c r="P19" s="6"/>
      <c r="Q19" s="6"/>
      <c r="R19" s="6"/>
      <c r="S19" s="6"/>
      <c r="T19" s="6"/>
      <c r="U19" s="6"/>
      <c r="V19" s="6"/>
      <c r="W19" s="6"/>
    </row>
    <row r="20" spans="3:23" ht="12.75" customHeight="1">
      <c r="C20" s="19"/>
      <c r="E20" s="17" t="s">
        <v>7</v>
      </c>
      <c r="F20" s="138">
        <f>SUM(F17:F19)</f>
        <v>77.204379000000003</v>
      </c>
      <c r="G20" s="14">
        <f>((SUM(Dat_01!R10:R12,Dat_01!R14)/SUM(Dat_01!S10:S12,Dat_01!S14))-1)*100</f>
        <v>-10.121141679883072</v>
      </c>
      <c r="H20" s="138">
        <f>SUM(H17:H19)</f>
        <v>265.32891100000001</v>
      </c>
      <c r="I20" s="14">
        <f>(H20/(H17/(I17/100+1)+H18/(I18/100+1)+H19/(I19/100+1))-1)*100</f>
        <v>23.095569117778968</v>
      </c>
      <c r="J20" s="138">
        <f>SUM(J17:J19)</f>
        <v>14.999305</v>
      </c>
      <c r="K20" s="14">
        <f>((SUM(Dat_01!B10:B12)/SUM(Dat_01!C10:C12))-1)*100</f>
        <v>-9.7225114579478689</v>
      </c>
      <c r="L20" s="138">
        <f>SUM(L17:L19)</f>
        <v>15.710054000000001</v>
      </c>
      <c r="M20" s="14">
        <f>((SUM(Dat_01!J10:J12)/SUM(Dat_01!K10:K12))-1)*100</f>
        <v>3.718044751904781</v>
      </c>
      <c r="N20" s="7"/>
      <c r="O20" s="7"/>
      <c r="P20" s="6"/>
      <c r="Q20" s="6"/>
      <c r="R20" s="6"/>
      <c r="S20" s="6"/>
      <c r="T20" s="6"/>
      <c r="U20" s="6"/>
      <c r="V20" s="6"/>
      <c r="W20" s="6"/>
    </row>
    <row r="21" spans="3:23" ht="12.75" customHeight="1">
      <c r="C21" s="19"/>
      <c r="E21" s="17" t="s">
        <v>84</v>
      </c>
      <c r="F21" s="138">
        <f>Dat_01!R13/1000</f>
        <v>269.55010299999998</v>
      </c>
      <c r="G21" s="14">
        <f>Dat_01!T13*100</f>
        <v>-26.67056861</v>
      </c>
      <c r="H21" s="138">
        <f>Dat_01!Z13/1000</f>
        <v>351.45923100000005</v>
      </c>
      <c r="I21" s="14">
        <f>Dat_01!AB13*100</f>
        <v>23.934821849999999</v>
      </c>
      <c r="J21" s="138" t="s">
        <v>3</v>
      </c>
      <c r="K21" s="14" t="s">
        <v>3</v>
      </c>
      <c r="L21" s="138" t="s">
        <v>3</v>
      </c>
      <c r="M21" s="14" t="s">
        <v>3</v>
      </c>
      <c r="N21" s="7"/>
      <c r="O21" s="7"/>
      <c r="P21" s="6"/>
      <c r="Q21" s="6"/>
      <c r="R21" s="6"/>
      <c r="S21" s="6"/>
      <c r="T21" s="6"/>
      <c r="U21" s="6"/>
      <c r="V21" s="6"/>
      <c r="W21" s="6"/>
    </row>
    <row r="22" spans="3:23" ht="12.75" customHeight="1">
      <c r="C22" s="10"/>
      <c r="E22" s="15" t="s">
        <v>23</v>
      </c>
      <c r="F22" s="138">
        <f>Dat_01!R19/1000</f>
        <v>3.7894670000000001</v>
      </c>
      <c r="G22" s="14">
        <f>Dat_01!T19*100</f>
        <v>146.65517183</v>
      </c>
      <c r="H22" s="138">
        <f>Dat_01!Z19/1000</f>
        <v>0</v>
      </c>
      <c r="I22" s="14" t="s">
        <v>3</v>
      </c>
      <c r="J22" s="138" t="s">
        <v>3</v>
      </c>
      <c r="K22" s="14" t="s">
        <v>3</v>
      </c>
      <c r="L22" s="138" t="s">
        <v>3</v>
      </c>
      <c r="M22" s="14" t="s">
        <v>3</v>
      </c>
      <c r="N22" s="7"/>
      <c r="O22" s="7"/>
    </row>
    <row r="23" spans="3:23" ht="12.75" customHeight="1">
      <c r="C23" s="10"/>
      <c r="E23" s="15" t="s">
        <v>55</v>
      </c>
      <c r="F23" s="138">
        <f>Dat_01!R20/1000</f>
        <v>15.5976535</v>
      </c>
      <c r="G23" s="14">
        <f>Dat_01!T20*100</f>
        <v>18.286602720000001</v>
      </c>
      <c r="H23" s="138" t="s">
        <v>3</v>
      </c>
      <c r="I23" s="14" t="s">
        <v>3</v>
      </c>
      <c r="J23" s="138" t="s">
        <v>3</v>
      </c>
      <c r="K23" s="14" t="s">
        <v>3</v>
      </c>
      <c r="L23" s="14">
        <f>Dat_01!J20/1000</f>
        <v>0.46444950000000002</v>
      </c>
      <c r="M23" s="14">
        <f>Dat_01!L20*100</f>
        <v>-14.498380450000001</v>
      </c>
      <c r="N23" s="7"/>
      <c r="O23" s="7"/>
    </row>
    <row r="24" spans="3:23" ht="12.75" customHeight="1">
      <c r="C24" s="10"/>
      <c r="E24" s="152" t="s">
        <v>81</v>
      </c>
      <c r="F24" s="140">
        <f>SUM(F16,F20:F23)</f>
        <v>369.32155849999998</v>
      </c>
      <c r="G24" s="156">
        <f>((SUM(Dat_01!R9:R14,Dat_01!R19,Dat_01!R21)/SUM(Dat_01!S9:S14,Dat_01!S19,Dat_01!S21))-1)*100</f>
        <v>-25.742221131875954</v>
      </c>
      <c r="H24" s="140">
        <f>SUM(H16,H20:H23)</f>
        <v>616.78814200000011</v>
      </c>
      <c r="I24" s="156">
        <f>((SUM(Dat_01!Z9:Z14,Dat_01!Z19,Dat_01!Z21)/SUM(Dat_01!AA9:AA14,Dat_01!AA19,Dat_01!AA21))-1)*100</f>
        <v>23.572394998203762</v>
      </c>
      <c r="J24" s="140">
        <f>SUM(J16,J20:J23)</f>
        <v>14.999305</v>
      </c>
      <c r="K24" s="156">
        <f>((SUM(Dat_01!B9:B14,Dat_01!B19,Dat_01!B21)/SUM(Dat_01!C9:C14,Dat_01!C19,Dat_01!C21))-1)*100</f>
        <v>-9.7225114579478689</v>
      </c>
      <c r="L24" s="140">
        <f>SUM(L16,L20:L23)</f>
        <v>16.1745035</v>
      </c>
      <c r="M24" s="156">
        <f>((SUM(Dat_01!J9:J14,Dat_01!J19,Dat_01!J21)/SUM(Dat_01!K9:K14,Dat_01!K19,Dat_01!K21))-1)*100</f>
        <v>3.0873752393349774</v>
      </c>
      <c r="N24" s="7"/>
      <c r="O24" s="7"/>
    </row>
    <row r="25" spans="3:23" ht="12.75" customHeight="1">
      <c r="C25" s="13"/>
      <c r="E25" s="12" t="s">
        <v>87</v>
      </c>
      <c r="F25" s="141">
        <f>Dat_01!R23/1000</f>
        <v>124.35013400000001</v>
      </c>
      <c r="G25" s="11">
        <f>Dat_01!T23*100</f>
        <v>253.01606264999998</v>
      </c>
      <c r="H25" s="141" t="s">
        <v>3</v>
      </c>
      <c r="I25" s="141" t="s">
        <v>3</v>
      </c>
      <c r="J25" s="141" t="s">
        <v>3</v>
      </c>
      <c r="K25" s="141" t="s">
        <v>3</v>
      </c>
      <c r="L25" s="141" t="s">
        <v>3</v>
      </c>
      <c r="M25" s="141" t="s">
        <v>3</v>
      </c>
      <c r="N25" s="7"/>
      <c r="O25" s="7"/>
    </row>
    <row r="26" spans="3:23" ht="16.350000000000001" customHeight="1">
      <c r="C26" s="10"/>
      <c r="E26" s="9" t="s">
        <v>1</v>
      </c>
      <c r="F26" s="142">
        <f>Dat_01!R24/1000</f>
        <v>544.99686299999996</v>
      </c>
      <c r="G26" s="8">
        <f>Dat_01!T24*100</f>
        <v>-5.2513101600000001</v>
      </c>
      <c r="H26" s="142">
        <f>Dat_01!Z24/1000</f>
        <v>712.30902099999992</v>
      </c>
      <c r="I26" s="8">
        <f>Dat_01!AB24*100</f>
        <v>2.6874479900000003</v>
      </c>
      <c r="J26" s="142">
        <f>Dat_01!B24/1000</f>
        <v>14.999305</v>
      </c>
      <c r="K26" s="8">
        <f>Dat_01!D24*100</f>
        <v>-9.7225114599999998</v>
      </c>
      <c r="L26" s="142">
        <f>Dat_01!J24/1000</f>
        <v>16.646943</v>
      </c>
      <c r="M26" s="8">
        <f>Dat_01!L24*100</f>
        <v>2.4982076499999999</v>
      </c>
      <c r="N26" s="7"/>
      <c r="O26" s="7"/>
    </row>
    <row r="27" spans="3:23" ht="16.350000000000001" customHeight="1">
      <c r="C27" s="10"/>
      <c r="E27" s="195" t="s">
        <v>56</v>
      </c>
      <c r="F27" s="195"/>
      <c r="G27" s="195"/>
      <c r="H27" s="195"/>
      <c r="I27" s="195"/>
      <c r="J27" s="195"/>
      <c r="K27" s="195"/>
      <c r="L27" s="153"/>
      <c r="M27" s="154"/>
      <c r="N27" s="7"/>
      <c r="O27" s="7"/>
    </row>
    <row r="28" spans="3:23" ht="34.5" customHeight="1">
      <c r="C28" s="10"/>
      <c r="E28" s="196" t="s">
        <v>105</v>
      </c>
      <c r="F28" s="196"/>
      <c r="G28" s="196"/>
      <c r="H28" s="196"/>
      <c r="I28" s="196"/>
      <c r="J28" s="196"/>
      <c r="K28" s="196"/>
      <c r="L28" s="196"/>
      <c r="M28" s="196"/>
      <c r="N28" s="7"/>
      <c r="O28" s="7"/>
    </row>
    <row r="29" spans="3:23" ht="12.75" customHeight="1">
      <c r="C29" s="3"/>
      <c r="D29" s="3"/>
      <c r="E29" s="194" t="s">
        <v>0</v>
      </c>
      <c r="F29" s="194"/>
      <c r="G29" s="194"/>
      <c r="H29" s="194"/>
      <c r="I29" s="194"/>
      <c r="J29" s="194"/>
      <c r="K29" s="194"/>
      <c r="L29" s="194"/>
      <c r="M29" s="194"/>
      <c r="O29" s="6"/>
    </row>
    <row r="30" spans="3:23" ht="12.75" customHeight="1">
      <c r="E30" s="193" t="s">
        <v>82</v>
      </c>
      <c r="F30" s="193"/>
      <c r="G30" s="193"/>
      <c r="H30" s="193"/>
      <c r="I30" s="193"/>
      <c r="J30" s="193"/>
      <c r="K30" s="193"/>
      <c r="L30" s="193"/>
      <c r="M30" s="193"/>
    </row>
    <row r="31" spans="3:23" ht="12.75" customHeight="1">
      <c r="C31" s="3"/>
      <c r="D31" s="3"/>
      <c r="E31" s="193" t="s">
        <v>85</v>
      </c>
      <c r="F31" s="193"/>
      <c r="G31" s="193"/>
      <c r="H31" s="193"/>
      <c r="I31" s="193"/>
      <c r="J31" s="193"/>
      <c r="K31" s="193"/>
      <c r="L31" s="193"/>
      <c r="M31" s="193"/>
    </row>
    <row r="32" spans="3:23" ht="12.75" customHeight="1">
      <c r="E32" s="193" t="s">
        <v>86</v>
      </c>
      <c r="F32" s="193"/>
      <c r="G32" s="193"/>
      <c r="H32" s="193"/>
      <c r="I32" s="193"/>
      <c r="J32" s="193"/>
      <c r="K32" s="193"/>
      <c r="L32" s="193"/>
      <c r="M32" s="193"/>
    </row>
    <row r="33" spans="3:13" ht="12.75" customHeight="1">
      <c r="E33" s="193"/>
      <c r="F33" s="193"/>
      <c r="G33" s="193"/>
      <c r="H33" s="193"/>
      <c r="I33" s="193"/>
      <c r="J33" s="193"/>
      <c r="K33" s="193"/>
      <c r="L33" s="193"/>
      <c r="M33" s="193"/>
    </row>
    <row r="34" spans="3:13" ht="12.75" customHeight="1">
      <c r="E34" s="5"/>
      <c r="F34" s="5"/>
      <c r="G34" s="5"/>
      <c r="H34" s="5"/>
      <c r="I34" s="5"/>
      <c r="J34" s="5"/>
      <c r="K34" s="5"/>
      <c r="L34" s="5"/>
      <c r="M34" s="5"/>
    </row>
    <row r="35" spans="3:13" ht="12.75" customHeight="1">
      <c r="E35" s="4"/>
      <c r="G35" s="3"/>
      <c r="I35" s="3"/>
      <c r="K35" s="3"/>
      <c r="L35" s="3"/>
      <c r="M35" s="3"/>
    </row>
    <row r="36" spans="3:13">
      <c r="E36" s="2"/>
      <c r="F36" s="2"/>
      <c r="G36" s="2"/>
      <c r="H36" s="2"/>
      <c r="I36" s="2"/>
      <c r="J36" s="2"/>
      <c r="K36" s="2"/>
    </row>
    <row r="37" spans="3:13">
      <c r="E37" s="2"/>
      <c r="F37" s="2"/>
      <c r="G37" s="2"/>
      <c r="H37" s="2"/>
      <c r="I37" s="2"/>
      <c r="J37" s="2"/>
      <c r="K37" s="2"/>
    </row>
    <row r="38" spans="3:13">
      <c r="E38" s="2"/>
      <c r="F38" s="2"/>
      <c r="G38" s="2"/>
      <c r="H38" s="2"/>
      <c r="I38" s="2"/>
      <c r="J38" s="2"/>
      <c r="K38" s="2"/>
    </row>
    <row r="39" spans="3:13">
      <c r="E39" s="2"/>
      <c r="F39" s="2"/>
      <c r="G39" s="2"/>
      <c r="H39" s="2"/>
      <c r="I39" s="2"/>
      <c r="J39" s="2"/>
      <c r="K39" s="2"/>
    </row>
    <row r="40" spans="3:13">
      <c r="E40" s="2"/>
      <c r="F40" s="2"/>
      <c r="G40" s="2"/>
      <c r="H40" s="2"/>
      <c r="I40" s="2"/>
      <c r="J40" s="2"/>
      <c r="K40" s="2"/>
    </row>
    <row r="41" spans="3:13">
      <c r="E41" s="2"/>
      <c r="F41" s="2"/>
      <c r="G41" s="2"/>
      <c r="H41" s="2"/>
      <c r="I41" s="2"/>
      <c r="J41" s="2"/>
      <c r="K41" s="2"/>
    </row>
    <row r="42" spans="3:13">
      <c r="E42" s="2"/>
      <c r="F42" s="2"/>
      <c r="G42" s="2"/>
      <c r="H42" s="2"/>
      <c r="I42" s="2"/>
      <c r="J42" s="2"/>
      <c r="K42" s="2"/>
    </row>
    <row r="43" spans="3:13">
      <c r="C43" s="2"/>
      <c r="D43" s="2"/>
      <c r="E43" s="2"/>
      <c r="F43" s="2"/>
      <c r="G43" s="2"/>
      <c r="H43" s="2"/>
      <c r="I43" s="2"/>
      <c r="J43" s="2"/>
      <c r="K43" s="2"/>
    </row>
    <row r="44" spans="3:13">
      <c r="C44" s="2"/>
      <c r="D44" s="2"/>
      <c r="E44" s="2"/>
      <c r="F44" s="2"/>
      <c r="G44" s="2"/>
      <c r="H44" s="2"/>
      <c r="I44" s="2"/>
      <c r="J44" s="2"/>
      <c r="K44" s="2"/>
    </row>
    <row r="45" spans="3:13">
      <c r="C45" s="2"/>
      <c r="D45" s="2"/>
      <c r="E45" s="2"/>
      <c r="F45" s="2"/>
      <c r="G45" s="2"/>
      <c r="H45" s="2"/>
      <c r="I45" s="2"/>
      <c r="J45" s="2"/>
      <c r="K45" s="2"/>
    </row>
    <row r="46" spans="3:13">
      <c r="C46" s="2"/>
      <c r="D46" s="2"/>
      <c r="E46" s="2"/>
      <c r="F46" s="2"/>
      <c r="G46" s="2"/>
      <c r="H46" s="2"/>
      <c r="I46" s="2"/>
      <c r="J46" s="2"/>
      <c r="K46" s="2"/>
    </row>
    <row r="47" spans="3:13">
      <c r="C47" s="2"/>
      <c r="D47" s="2"/>
      <c r="E47" s="2"/>
      <c r="F47" s="2"/>
      <c r="G47" s="2"/>
      <c r="H47" s="2"/>
      <c r="I47" s="2"/>
      <c r="J47" s="2"/>
      <c r="K47" s="2"/>
    </row>
    <row r="48" spans="3:13">
      <c r="C48" s="2"/>
      <c r="D48" s="2"/>
      <c r="E48" s="2"/>
      <c r="F48" s="2"/>
      <c r="G48" s="2"/>
      <c r="H48" s="2"/>
      <c r="I48" s="2"/>
      <c r="J48" s="2"/>
      <c r="K48" s="2"/>
    </row>
    <row r="49" spans="3:11">
      <c r="C49" s="2"/>
      <c r="D49" s="2"/>
      <c r="E49" s="2"/>
      <c r="F49" s="2"/>
      <c r="G49" s="2"/>
      <c r="H49" s="2"/>
      <c r="I49" s="2"/>
      <c r="J49" s="2"/>
      <c r="K49" s="2"/>
    </row>
    <row r="50" spans="3:11">
      <c r="C50" s="2"/>
      <c r="D50" s="2"/>
      <c r="E50" s="2"/>
      <c r="F50" s="2"/>
      <c r="G50" s="2"/>
      <c r="H50" s="2"/>
      <c r="I50" s="2"/>
      <c r="J50" s="2"/>
      <c r="K50" s="2"/>
    </row>
    <row r="51" spans="3:11">
      <c r="C51" s="2"/>
      <c r="D51" s="2"/>
      <c r="E51" s="2"/>
      <c r="F51" s="2"/>
      <c r="G51" s="2"/>
      <c r="H51" s="2"/>
      <c r="I51" s="2"/>
      <c r="J51" s="2"/>
      <c r="K51" s="2"/>
    </row>
    <row r="52" spans="3:11">
      <c r="C52" s="2"/>
      <c r="D52" s="2"/>
      <c r="E52" s="2"/>
      <c r="F52" s="2"/>
      <c r="G52" s="2"/>
      <c r="H52" s="2"/>
      <c r="I52" s="2"/>
      <c r="J52" s="2"/>
      <c r="K52" s="2"/>
    </row>
    <row r="53" spans="3:11">
      <c r="C53" s="2"/>
      <c r="D53" s="2"/>
      <c r="E53" s="2"/>
      <c r="F53" s="2"/>
      <c r="G53" s="2"/>
      <c r="H53" s="2"/>
      <c r="I53" s="2"/>
      <c r="J53" s="2"/>
      <c r="K53" s="2"/>
    </row>
    <row r="54" spans="3:11">
      <c r="C54" s="2"/>
      <c r="D54" s="2"/>
      <c r="E54" s="2"/>
      <c r="F54" s="2"/>
      <c r="G54" s="2"/>
      <c r="H54" s="2"/>
      <c r="I54" s="2"/>
      <c r="J54" s="2"/>
      <c r="K54" s="2"/>
    </row>
    <row r="55" spans="3:11">
      <c r="C55" s="2"/>
      <c r="D55" s="2"/>
      <c r="E55" s="2"/>
      <c r="F55" s="2"/>
      <c r="G55" s="2"/>
      <c r="H55" s="2"/>
      <c r="I55" s="2"/>
      <c r="J55" s="2"/>
      <c r="K55" s="2"/>
    </row>
    <row r="56" spans="3:11">
      <c r="C56" s="2"/>
      <c r="D56" s="2"/>
      <c r="E56" s="2"/>
      <c r="F56" s="2"/>
      <c r="G56" s="2"/>
      <c r="H56" s="2"/>
      <c r="I56" s="2"/>
      <c r="J56" s="2"/>
      <c r="K56" s="2"/>
    </row>
    <row r="57" spans="3:11">
      <c r="C57" s="2"/>
      <c r="D57" s="2"/>
      <c r="E57" s="2"/>
      <c r="F57" s="2"/>
      <c r="G57" s="2"/>
      <c r="H57" s="2"/>
      <c r="I57" s="2"/>
      <c r="J57" s="2"/>
      <c r="K57" s="2"/>
    </row>
    <row r="58" spans="3:11">
      <c r="C58" s="2"/>
      <c r="D58" s="2"/>
    </row>
  </sheetData>
  <mergeCells count="12">
    <mergeCell ref="C7:C8"/>
    <mergeCell ref="F7:G7"/>
    <mergeCell ref="H7:I7"/>
    <mergeCell ref="J7:K7"/>
    <mergeCell ref="E33:M33"/>
    <mergeCell ref="L7:M7"/>
    <mergeCell ref="E29:M29"/>
    <mergeCell ref="E30:M30"/>
    <mergeCell ref="E31:M31"/>
    <mergeCell ref="E32:M32"/>
    <mergeCell ref="E27:K27"/>
    <mergeCell ref="E28:M28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5 I15 G20 G24 I24 K24 I20" formula="1"/>
    <ignoredError sqref="M20" formulaRange="1"/>
    <ignoredError sqref="K20" formula="1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pageSetUpPr fitToPage="1"/>
  </sheetPr>
  <dimension ref="A1:L37"/>
  <sheetViews>
    <sheetView showGridLines="0" showRowColHeaders="0" zoomScaleNormal="100" workbookViewId="0">
      <selection activeCell="J13" sqref="J13"/>
    </sheetView>
  </sheetViews>
  <sheetFormatPr baseColWidth="10" defaultRowHeight="12.75"/>
  <cols>
    <col min="1" max="1" width="0.140625" style="31" customWidth="1"/>
    <col min="2" max="2" width="2.5703125" style="31" customWidth="1"/>
    <col min="3" max="3" width="23.5703125" style="31" customWidth="1"/>
    <col min="4" max="4" width="1.42578125" style="31" customWidth="1"/>
    <col min="5" max="5" width="58.85546875" style="31" customWidth="1"/>
    <col min="6" max="6" width="11.42578125" style="30"/>
    <col min="7" max="7" width="19.85546875" style="30" customWidth="1"/>
    <col min="8" max="9" width="11.42578125" style="30"/>
    <col min="10" max="10" width="11" style="30" bestFit="1" customWidth="1"/>
    <col min="11" max="253" width="11.42578125" style="30"/>
    <col min="254" max="254" width="0.140625" style="30" customWidth="1"/>
    <col min="255" max="255" width="2.5703125" style="30" customWidth="1"/>
    <col min="256" max="256" width="18.5703125" style="30" customWidth="1"/>
    <col min="257" max="257" width="1.42578125" style="30" customWidth="1"/>
    <col min="258" max="258" width="58.85546875" style="30" customWidth="1"/>
    <col min="259" max="260" width="11.42578125" style="30"/>
    <col min="261" max="261" width="2.140625" style="30" customWidth="1"/>
    <col min="262" max="262" width="11.42578125" style="30"/>
    <col min="263" max="263" width="9.5703125" style="30" customWidth="1"/>
    <col min="264" max="509" width="11.42578125" style="30"/>
    <col min="510" max="510" width="0.140625" style="30" customWidth="1"/>
    <col min="511" max="511" width="2.5703125" style="30" customWidth="1"/>
    <col min="512" max="512" width="18.5703125" style="30" customWidth="1"/>
    <col min="513" max="513" width="1.42578125" style="30" customWidth="1"/>
    <col min="514" max="514" width="58.85546875" style="30" customWidth="1"/>
    <col min="515" max="516" width="11.42578125" style="30"/>
    <col min="517" max="517" width="2.140625" style="30" customWidth="1"/>
    <col min="518" max="518" width="11.42578125" style="30"/>
    <col min="519" max="519" width="9.5703125" style="30" customWidth="1"/>
    <col min="520" max="765" width="11.42578125" style="30"/>
    <col min="766" max="766" width="0.140625" style="30" customWidth="1"/>
    <col min="767" max="767" width="2.5703125" style="30" customWidth="1"/>
    <col min="768" max="768" width="18.5703125" style="30" customWidth="1"/>
    <col min="769" max="769" width="1.42578125" style="30" customWidth="1"/>
    <col min="770" max="770" width="58.85546875" style="30" customWidth="1"/>
    <col min="771" max="772" width="11.42578125" style="30"/>
    <col min="773" max="773" width="2.140625" style="30" customWidth="1"/>
    <col min="774" max="774" width="11.42578125" style="30"/>
    <col min="775" max="775" width="9.5703125" style="30" customWidth="1"/>
    <col min="776" max="1021" width="11.42578125" style="30"/>
    <col min="1022" max="1022" width="0.140625" style="30" customWidth="1"/>
    <col min="1023" max="1023" width="2.5703125" style="30" customWidth="1"/>
    <col min="1024" max="1024" width="18.5703125" style="30" customWidth="1"/>
    <col min="1025" max="1025" width="1.42578125" style="30" customWidth="1"/>
    <col min="1026" max="1026" width="58.85546875" style="30" customWidth="1"/>
    <col min="1027" max="1028" width="11.42578125" style="30"/>
    <col min="1029" max="1029" width="2.140625" style="30" customWidth="1"/>
    <col min="1030" max="1030" width="11.42578125" style="30"/>
    <col min="1031" max="1031" width="9.5703125" style="30" customWidth="1"/>
    <col min="1032" max="1277" width="11.42578125" style="30"/>
    <col min="1278" max="1278" width="0.140625" style="30" customWidth="1"/>
    <col min="1279" max="1279" width="2.5703125" style="30" customWidth="1"/>
    <col min="1280" max="1280" width="18.5703125" style="30" customWidth="1"/>
    <col min="1281" max="1281" width="1.42578125" style="30" customWidth="1"/>
    <col min="1282" max="1282" width="58.85546875" style="30" customWidth="1"/>
    <col min="1283" max="1284" width="11.42578125" style="30"/>
    <col min="1285" max="1285" width="2.140625" style="30" customWidth="1"/>
    <col min="1286" max="1286" width="11.42578125" style="30"/>
    <col min="1287" max="1287" width="9.5703125" style="30" customWidth="1"/>
    <col min="1288" max="1533" width="11.42578125" style="30"/>
    <col min="1534" max="1534" width="0.140625" style="30" customWidth="1"/>
    <col min="1535" max="1535" width="2.5703125" style="30" customWidth="1"/>
    <col min="1536" max="1536" width="18.5703125" style="30" customWidth="1"/>
    <col min="1537" max="1537" width="1.42578125" style="30" customWidth="1"/>
    <col min="1538" max="1538" width="58.85546875" style="30" customWidth="1"/>
    <col min="1539" max="1540" width="11.42578125" style="30"/>
    <col min="1541" max="1541" width="2.140625" style="30" customWidth="1"/>
    <col min="1542" max="1542" width="11.42578125" style="30"/>
    <col min="1543" max="1543" width="9.5703125" style="30" customWidth="1"/>
    <col min="1544" max="1789" width="11.42578125" style="30"/>
    <col min="1790" max="1790" width="0.140625" style="30" customWidth="1"/>
    <col min="1791" max="1791" width="2.5703125" style="30" customWidth="1"/>
    <col min="1792" max="1792" width="18.5703125" style="30" customWidth="1"/>
    <col min="1793" max="1793" width="1.42578125" style="30" customWidth="1"/>
    <col min="1794" max="1794" width="58.85546875" style="30" customWidth="1"/>
    <col min="1795" max="1796" width="11.42578125" style="30"/>
    <col min="1797" max="1797" width="2.140625" style="30" customWidth="1"/>
    <col min="1798" max="1798" width="11.42578125" style="30"/>
    <col min="1799" max="1799" width="9.5703125" style="30" customWidth="1"/>
    <col min="1800" max="2045" width="11.42578125" style="30"/>
    <col min="2046" max="2046" width="0.140625" style="30" customWidth="1"/>
    <col min="2047" max="2047" width="2.5703125" style="30" customWidth="1"/>
    <col min="2048" max="2048" width="18.5703125" style="30" customWidth="1"/>
    <col min="2049" max="2049" width="1.42578125" style="30" customWidth="1"/>
    <col min="2050" max="2050" width="58.85546875" style="30" customWidth="1"/>
    <col min="2051" max="2052" width="11.42578125" style="30"/>
    <col min="2053" max="2053" width="2.140625" style="30" customWidth="1"/>
    <col min="2054" max="2054" width="11.42578125" style="30"/>
    <col min="2055" max="2055" width="9.5703125" style="30" customWidth="1"/>
    <col min="2056" max="2301" width="11.42578125" style="30"/>
    <col min="2302" max="2302" width="0.140625" style="30" customWidth="1"/>
    <col min="2303" max="2303" width="2.5703125" style="30" customWidth="1"/>
    <col min="2304" max="2304" width="18.5703125" style="30" customWidth="1"/>
    <col min="2305" max="2305" width="1.42578125" style="30" customWidth="1"/>
    <col min="2306" max="2306" width="58.85546875" style="30" customWidth="1"/>
    <col min="2307" max="2308" width="11.42578125" style="30"/>
    <col min="2309" max="2309" width="2.140625" style="30" customWidth="1"/>
    <col min="2310" max="2310" width="11.42578125" style="30"/>
    <col min="2311" max="2311" width="9.5703125" style="30" customWidth="1"/>
    <col min="2312" max="2557" width="11.42578125" style="30"/>
    <col min="2558" max="2558" width="0.140625" style="30" customWidth="1"/>
    <col min="2559" max="2559" width="2.5703125" style="30" customWidth="1"/>
    <col min="2560" max="2560" width="18.5703125" style="30" customWidth="1"/>
    <col min="2561" max="2561" width="1.42578125" style="30" customWidth="1"/>
    <col min="2562" max="2562" width="58.85546875" style="30" customWidth="1"/>
    <col min="2563" max="2564" width="11.42578125" style="30"/>
    <col min="2565" max="2565" width="2.140625" style="30" customWidth="1"/>
    <col min="2566" max="2566" width="11.42578125" style="30"/>
    <col min="2567" max="2567" width="9.5703125" style="30" customWidth="1"/>
    <col min="2568" max="2813" width="11.42578125" style="30"/>
    <col min="2814" max="2814" width="0.140625" style="30" customWidth="1"/>
    <col min="2815" max="2815" width="2.5703125" style="30" customWidth="1"/>
    <col min="2816" max="2816" width="18.5703125" style="30" customWidth="1"/>
    <col min="2817" max="2817" width="1.42578125" style="30" customWidth="1"/>
    <col min="2818" max="2818" width="58.85546875" style="30" customWidth="1"/>
    <col min="2819" max="2820" width="11.42578125" style="30"/>
    <col min="2821" max="2821" width="2.140625" style="30" customWidth="1"/>
    <col min="2822" max="2822" width="11.42578125" style="30"/>
    <col min="2823" max="2823" width="9.5703125" style="30" customWidth="1"/>
    <col min="2824" max="3069" width="11.42578125" style="30"/>
    <col min="3070" max="3070" width="0.140625" style="30" customWidth="1"/>
    <col min="3071" max="3071" width="2.5703125" style="30" customWidth="1"/>
    <col min="3072" max="3072" width="18.5703125" style="30" customWidth="1"/>
    <col min="3073" max="3073" width="1.42578125" style="30" customWidth="1"/>
    <col min="3074" max="3074" width="58.85546875" style="30" customWidth="1"/>
    <col min="3075" max="3076" width="11.42578125" style="30"/>
    <col min="3077" max="3077" width="2.140625" style="30" customWidth="1"/>
    <col min="3078" max="3078" width="11.42578125" style="30"/>
    <col min="3079" max="3079" width="9.5703125" style="30" customWidth="1"/>
    <col min="3080" max="3325" width="11.42578125" style="30"/>
    <col min="3326" max="3326" width="0.140625" style="30" customWidth="1"/>
    <col min="3327" max="3327" width="2.5703125" style="30" customWidth="1"/>
    <col min="3328" max="3328" width="18.5703125" style="30" customWidth="1"/>
    <col min="3329" max="3329" width="1.42578125" style="30" customWidth="1"/>
    <col min="3330" max="3330" width="58.85546875" style="30" customWidth="1"/>
    <col min="3331" max="3332" width="11.42578125" style="30"/>
    <col min="3333" max="3333" width="2.140625" style="30" customWidth="1"/>
    <col min="3334" max="3334" width="11.42578125" style="30"/>
    <col min="3335" max="3335" width="9.5703125" style="30" customWidth="1"/>
    <col min="3336" max="3581" width="11.42578125" style="30"/>
    <col min="3582" max="3582" width="0.140625" style="30" customWidth="1"/>
    <col min="3583" max="3583" width="2.5703125" style="30" customWidth="1"/>
    <col min="3584" max="3584" width="18.5703125" style="30" customWidth="1"/>
    <col min="3585" max="3585" width="1.42578125" style="30" customWidth="1"/>
    <col min="3586" max="3586" width="58.85546875" style="30" customWidth="1"/>
    <col min="3587" max="3588" width="11.42578125" style="30"/>
    <col min="3589" max="3589" width="2.140625" style="30" customWidth="1"/>
    <col min="3590" max="3590" width="11.42578125" style="30"/>
    <col min="3591" max="3591" width="9.5703125" style="30" customWidth="1"/>
    <col min="3592" max="3837" width="11.42578125" style="30"/>
    <col min="3838" max="3838" width="0.140625" style="30" customWidth="1"/>
    <col min="3839" max="3839" width="2.5703125" style="30" customWidth="1"/>
    <col min="3840" max="3840" width="18.5703125" style="30" customWidth="1"/>
    <col min="3841" max="3841" width="1.42578125" style="30" customWidth="1"/>
    <col min="3842" max="3842" width="58.85546875" style="30" customWidth="1"/>
    <col min="3843" max="3844" width="11.42578125" style="30"/>
    <col min="3845" max="3845" width="2.140625" style="30" customWidth="1"/>
    <col min="3846" max="3846" width="11.42578125" style="30"/>
    <col min="3847" max="3847" width="9.5703125" style="30" customWidth="1"/>
    <col min="3848" max="4093" width="11.42578125" style="30"/>
    <col min="4094" max="4094" width="0.140625" style="30" customWidth="1"/>
    <col min="4095" max="4095" width="2.5703125" style="30" customWidth="1"/>
    <col min="4096" max="4096" width="18.5703125" style="30" customWidth="1"/>
    <col min="4097" max="4097" width="1.42578125" style="30" customWidth="1"/>
    <col min="4098" max="4098" width="58.85546875" style="30" customWidth="1"/>
    <col min="4099" max="4100" width="11.42578125" style="30"/>
    <col min="4101" max="4101" width="2.140625" style="30" customWidth="1"/>
    <col min="4102" max="4102" width="11.42578125" style="30"/>
    <col min="4103" max="4103" width="9.5703125" style="30" customWidth="1"/>
    <col min="4104" max="4349" width="11.42578125" style="30"/>
    <col min="4350" max="4350" width="0.140625" style="30" customWidth="1"/>
    <col min="4351" max="4351" width="2.5703125" style="30" customWidth="1"/>
    <col min="4352" max="4352" width="18.5703125" style="30" customWidth="1"/>
    <col min="4353" max="4353" width="1.42578125" style="30" customWidth="1"/>
    <col min="4354" max="4354" width="58.85546875" style="30" customWidth="1"/>
    <col min="4355" max="4356" width="11.42578125" style="30"/>
    <col min="4357" max="4357" width="2.140625" style="30" customWidth="1"/>
    <col min="4358" max="4358" width="11.42578125" style="30"/>
    <col min="4359" max="4359" width="9.5703125" style="30" customWidth="1"/>
    <col min="4360" max="4605" width="11.42578125" style="30"/>
    <col min="4606" max="4606" width="0.140625" style="30" customWidth="1"/>
    <col min="4607" max="4607" width="2.5703125" style="30" customWidth="1"/>
    <col min="4608" max="4608" width="18.5703125" style="30" customWidth="1"/>
    <col min="4609" max="4609" width="1.42578125" style="30" customWidth="1"/>
    <col min="4610" max="4610" width="58.85546875" style="30" customWidth="1"/>
    <col min="4611" max="4612" width="11.42578125" style="30"/>
    <col min="4613" max="4613" width="2.140625" style="30" customWidth="1"/>
    <col min="4614" max="4614" width="11.42578125" style="30"/>
    <col min="4615" max="4615" width="9.5703125" style="30" customWidth="1"/>
    <col min="4616" max="4861" width="11.42578125" style="30"/>
    <col min="4862" max="4862" width="0.140625" style="30" customWidth="1"/>
    <col min="4863" max="4863" width="2.5703125" style="30" customWidth="1"/>
    <col min="4864" max="4864" width="18.5703125" style="30" customWidth="1"/>
    <col min="4865" max="4865" width="1.42578125" style="30" customWidth="1"/>
    <col min="4866" max="4866" width="58.85546875" style="30" customWidth="1"/>
    <col min="4867" max="4868" width="11.42578125" style="30"/>
    <col min="4869" max="4869" width="2.140625" style="30" customWidth="1"/>
    <col min="4870" max="4870" width="11.42578125" style="30"/>
    <col min="4871" max="4871" width="9.5703125" style="30" customWidth="1"/>
    <col min="4872" max="5117" width="11.42578125" style="30"/>
    <col min="5118" max="5118" width="0.140625" style="30" customWidth="1"/>
    <col min="5119" max="5119" width="2.5703125" style="30" customWidth="1"/>
    <col min="5120" max="5120" width="18.5703125" style="30" customWidth="1"/>
    <col min="5121" max="5121" width="1.42578125" style="30" customWidth="1"/>
    <col min="5122" max="5122" width="58.85546875" style="30" customWidth="1"/>
    <col min="5123" max="5124" width="11.42578125" style="30"/>
    <col min="5125" max="5125" width="2.140625" style="30" customWidth="1"/>
    <col min="5126" max="5126" width="11.42578125" style="30"/>
    <col min="5127" max="5127" width="9.5703125" style="30" customWidth="1"/>
    <col min="5128" max="5373" width="11.42578125" style="30"/>
    <col min="5374" max="5374" width="0.140625" style="30" customWidth="1"/>
    <col min="5375" max="5375" width="2.5703125" style="30" customWidth="1"/>
    <col min="5376" max="5376" width="18.5703125" style="30" customWidth="1"/>
    <col min="5377" max="5377" width="1.42578125" style="30" customWidth="1"/>
    <col min="5378" max="5378" width="58.85546875" style="30" customWidth="1"/>
    <col min="5379" max="5380" width="11.42578125" style="30"/>
    <col min="5381" max="5381" width="2.140625" style="30" customWidth="1"/>
    <col min="5382" max="5382" width="11.42578125" style="30"/>
    <col min="5383" max="5383" width="9.5703125" style="30" customWidth="1"/>
    <col min="5384" max="5629" width="11.42578125" style="30"/>
    <col min="5630" max="5630" width="0.140625" style="30" customWidth="1"/>
    <col min="5631" max="5631" width="2.5703125" style="30" customWidth="1"/>
    <col min="5632" max="5632" width="18.5703125" style="30" customWidth="1"/>
    <col min="5633" max="5633" width="1.42578125" style="30" customWidth="1"/>
    <col min="5634" max="5634" width="58.85546875" style="30" customWidth="1"/>
    <col min="5635" max="5636" width="11.42578125" style="30"/>
    <col min="5637" max="5637" width="2.140625" style="30" customWidth="1"/>
    <col min="5638" max="5638" width="11.42578125" style="30"/>
    <col min="5639" max="5639" width="9.5703125" style="30" customWidth="1"/>
    <col min="5640" max="5885" width="11.42578125" style="30"/>
    <col min="5886" max="5886" width="0.140625" style="30" customWidth="1"/>
    <col min="5887" max="5887" width="2.5703125" style="30" customWidth="1"/>
    <col min="5888" max="5888" width="18.5703125" style="30" customWidth="1"/>
    <col min="5889" max="5889" width="1.42578125" style="30" customWidth="1"/>
    <col min="5890" max="5890" width="58.85546875" style="30" customWidth="1"/>
    <col min="5891" max="5892" width="11.42578125" style="30"/>
    <col min="5893" max="5893" width="2.140625" style="30" customWidth="1"/>
    <col min="5894" max="5894" width="11.42578125" style="30"/>
    <col min="5895" max="5895" width="9.5703125" style="30" customWidth="1"/>
    <col min="5896" max="6141" width="11.42578125" style="30"/>
    <col min="6142" max="6142" width="0.140625" style="30" customWidth="1"/>
    <col min="6143" max="6143" width="2.5703125" style="30" customWidth="1"/>
    <col min="6144" max="6144" width="18.5703125" style="30" customWidth="1"/>
    <col min="6145" max="6145" width="1.42578125" style="30" customWidth="1"/>
    <col min="6146" max="6146" width="58.85546875" style="30" customWidth="1"/>
    <col min="6147" max="6148" width="11.42578125" style="30"/>
    <col min="6149" max="6149" width="2.140625" style="30" customWidth="1"/>
    <col min="6150" max="6150" width="11.42578125" style="30"/>
    <col min="6151" max="6151" width="9.5703125" style="30" customWidth="1"/>
    <col min="6152" max="6397" width="11.42578125" style="30"/>
    <col min="6398" max="6398" width="0.140625" style="30" customWidth="1"/>
    <col min="6399" max="6399" width="2.5703125" style="30" customWidth="1"/>
    <col min="6400" max="6400" width="18.5703125" style="30" customWidth="1"/>
    <col min="6401" max="6401" width="1.42578125" style="30" customWidth="1"/>
    <col min="6402" max="6402" width="58.85546875" style="30" customWidth="1"/>
    <col min="6403" max="6404" width="11.42578125" style="30"/>
    <col min="6405" max="6405" width="2.140625" style="30" customWidth="1"/>
    <col min="6406" max="6406" width="11.42578125" style="30"/>
    <col min="6407" max="6407" width="9.5703125" style="30" customWidth="1"/>
    <col min="6408" max="6653" width="11.42578125" style="30"/>
    <col min="6654" max="6654" width="0.140625" style="30" customWidth="1"/>
    <col min="6655" max="6655" width="2.5703125" style="30" customWidth="1"/>
    <col min="6656" max="6656" width="18.5703125" style="30" customWidth="1"/>
    <col min="6657" max="6657" width="1.42578125" style="30" customWidth="1"/>
    <col min="6658" max="6658" width="58.85546875" style="30" customWidth="1"/>
    <col min="6659" max="6660" width="11.42578125" style="30"/>
    <col min="6661" max="6661" width="2.140625" style="30" customWidth="1"/>
    <col min="6662" max="6662" width="11.42578125" style="30"/>
    <col min="6663" max="6663" width="9.5703125" style="30" customWidth="1"/>
    <col min="6664" max="6909" width="11.42578125" style="30"/>
    <col min="6910" max="6910" width="0.140625" style="30" customWidth="1"/>
    <col min="6911" max="6911" width="2.5703125" style="30" customWidth="1"/>
    <col min="6912" max="6912" width="18.5703125" style="30" customWidth="1"/>
    <col min="6913" max="6913" width="1.42578125" style="30" customWidth="1"/>
    <col min="6914" max="6914" width="58.85546875" style="30" customWidth="1"/>
    <col min="6915" max="6916" width="11.42578125" style="30"/>
    <col min="6917" max="6917" width="2.140625" style="30" customWidth="1"/>
    <col min="6918" max="6918" width="11.42578125" style="30"/>
    <col min="6919" max="6919" width="9.5703125" style="30" customWidth="1"/>
    <col min="6920" max="7165" width="11.42578125" style="30"/>
    <col min="7166" max="7166" width="0.140625" style="30" customWidth="1"/>
    <col min="7167" max="7167" width="2.5703125" style="30" customWidth="1"/>
    <col min="7168" max="7168" width="18.5703125" style="30" customWidth="1"/>
    <col min="7169" max="7169" width="1.42578125" style="30" customWidth="1"/>
    <col min="7170" max="7170" width="58.85546875" style="30" customWidth="1"/>
    <col min="7171" max="7172" width="11.42578125" style="30"/>
    <col min="7173" max="7173" width="2.140625" style="30" customWidth="1"/>
    <col min="7174" max="7174" width="11.42578125" style="30"/>
    <col min="7175" max="7175" width="9.5703125" style="30" customWidth="1"/>
    <col min="7176" max="7421" width="11.42578125" style="30"/>
    <col min="7422" max="7422" width="0.140625" style="30" customWidth="1"/>
    <col min="7423" max="7423" width="2.5703125" style="30" customWidth="1"/>
    <col min="7424" max="7424" width="18.5703125" style="30" customWidth="1"/>
    <col min="7425" max="7425" width="1.42578125" style="30" customWidth="1"/>
    <col min="7426" max="7426" width="58.85546875" style="30" customWidth="1"/>
    <col min="7427" max="7428" width="11.42578125" style="30"/>
    <col min="7429" max="7429" width="2.140625" style="30" customWidth="1"/>
    <col min="7430" max="7430" width="11.42578125" style="30"/>
    <col min="7431" max="7431" width="9.5703125" style="30" customWidth="1"/>
    <col min="7432" max="7677" width="11.42578125" style="30"/>
    <col min="7678" max="7678" width="0.140625" style="30" customWidth="1"/>
    <col min="7679" max="7679" width="2.5703125" style="30" customWidth="1"/>
    <col min="7680" max="7680" width="18.5703125" style="30" customWidth="1"/>
    <col min="7681" max="7681" width="1.42578125" style="30" customWidth="1"/>
    <col min="7682" max="7682" width="58.85546875" style="30" customWidth="1"/>
    <col min="7683" max="7684" width="11.42578125" style="30"/>
    <col min="7685" max="7685" width="2.140625" style="30" customWidth="1"/>
    <col min="7686" max="7686" width="11.42578125" style="30"/>
    <col min="7687" max="7687" width="9.5703125" style="30" customWidth="1"/>
    <col min="7688" max="7933" width="11.42578125" style="30"/>
    <col min="7934" max="7934" width="0.140625" style="30" customWidth="1"/>
    <col min="7935" max="7935" width="2.5703125" style="30" customWidth="1"/>
    <col min="7936" max="7936" width="18.5703125" style="30" customWidth="1"/>
    <col min="7937" max="7937" width="1.42578125" style="30" customWidth="1"/>
    <col min="7938" max="7938" width="58.85546875" style="30" customWidth="1"/>
    <col min="7939" max="7940" width="11.42578125" style="30"/>
    <col min="7941" max="7941" width="2.140625" style="30" customWidth="1"/>
    <col min="7942" max="7942" width="11.42578125" style="30"/>
    <col min="7943" max="7943" width="9.5703125" style="30" customWidth="1"/>
    <col min="7944" max="8189" width="11.42578125" style="30"/>
    <col min="8190" max="8190" width="0.140625" style="30" customWidth="1"/>
    <col min="8191" max="8191" width="2.5703125" style="30" customWidth="1"/>
    <col min="8192" max="8192" width="18.5703125" style="30" customWidth="1"/>
    <col min="8193" max="8193" width="1.42578125" style="30" customWidth="1"/>
    <col min="8194" max="8194" width="58.85546875" style="30" customWidth="1"/>
    <col min="8195" max="8196" width="11.42578125" style="30"/>
    <col min="8197" max="8197" width="2.140625" style="30" customWidth="1"/>
    <col min="8198" max="8198" width="11.42578125" style="30"/>
    <col min="8199" max="8199" width="9.5703125" style="30" customWidth="1"/>
    <col min="8200" max="8445" width="11.42578125" style="30"/>
    <col min="8446" max="8446" width="0.140625" style="30" customWidth="1"/>
    <col min="8447" max="8447" width="2.5703125" style="30" customWidth="1"/>
    <col min="8448" max="8448" width="18.5703125" style="30" customWidth="1"/>
    <col min="8449" max="8449" width="1.42578125" style="30" customWidth="1"/>
    <col min="8450" max="8450" width="58.85546875" style="30" customWidth="1"/>
    <col min="8451" max="8452" width="11.42578125" style="30"/>
    <col min="8453" max="8453" width="2.140625" style="30" customWidth="1"/>
    <col min="8454" max="8454" width="11.42578125" style="30"/>
    <col min="8455" max="8455" width="9.5703125" style="30" customWidth="1"/>
    <col min="8456" max="8701" width="11.42578125" style="30"/>
    <col min="8702" max="8702" width="0.140625" style="30" customWidth="1"/>
    <col min="8703" max="8703" width="2.5703125" style="30" customWidth="1"/>
    <col min="8704" max="8704" width="18.5703125" style="30" customWidth="1"/>
    <col min="8705" max="8705" width="1.42578125" style="30" customWidth="1"/>
    <col min="8706" max="8706" width="58.85546875" style="30" customWidth="1"/>
    <col min="8707" max="8708" width="11.42578125" style="30"/>
    <col min="8709" max="8709" width="2.140625" style="30" customWidth="1"/>
    <col min="8710" max="8710" width="11.42578125" style="30"/>
    <col min="8711" max="8711" width="9.5703125" style="30" customWidth="1"/>
    <col min="8712" max="8957" width="11.42578125" style="30"/>
    <col min="8958" max="8958" width="0.140625" style="30" customWidth="1"/>
    <col min="8959" max="8959" width="2.5703125" style="30" customWidth="1"/>
    <col min="8960" max="8960" width="18.5703125" style="30" customWidth="1"/>
    <col min="8961" max="8961" width="1.42578125" style="30" customWidth="1"/>
    <col min="8962" max="8962" width="58.85546875" style="30" customWidth="1"/>
    <col min="8963" max="8964" width="11.42578125" style="30"/>
    <col min="8965" max="8965" width="2.140625" style="30" customWidth="1"/>
    <col min="8966" max="8966" width="11.42578125" style="30"/>
    <col min="8967" max="8967" width="9.5703125" style="30" customWidth="1"/>
    <col min="8968" max="9213" width="11.42578125" style="30"/>
    <col min="9214" max="9214" width="0.140625" style="30" customWidth="1"/>
    <col min="9215" max="9215" width="2.5703125" style="30" customWidth="1"/>
    <col min="9216" max="9216" width="18.5703125" style="30" customWidth="1"/>
    <col min="9217" max="9217" width="1.42578125" style="30" customWidth="1"/>
    <col min="9218" max="9218" width="58.85546875" style="30" customWidth="1"/>
    <col min="9219" max="9220" width="11.42578125" style="30"/>
    <col min="9221" max="9221" width="2.140625" style="30" customWidth="1"/>
    <col min="9222" max="9222" width="11.42578125" style="30"/>
    <col min="9223" max="9223" width="9.5703125" style="30" customWidth="1"/>
    <col min="9224" max="9469" width="11.42578125" style="30"/>
    <col min="9470" max="9470" width="0.140625" style="30" customWidth="1"/>
    <col min="9471" max="9471" width="2.5703125" style="30" customWidth="1"/>
    <col min="9472" max="9472" width="18.5703125" style="30" customWidth="1"/>
    <col min="9473" max="9473" width="1.42578125" style="30" customWidth="1"/>
    <col min="9474" max="9474" width="58.85546875" style="30" customWidth="1"/>
    <col min="9475" max="9476" width="11.42578125" style="30"/>
    <col min="9477" max="9477" width="2.140625" style="30" customWidth="1"/>
    <col min="9478" max="9478" width="11.42578125" style="30"/>
    <col min="9479" max="9479" width="9.5703125" style="30" customWidth="1"/>
    <col min="9480" max="9725" width="11.42578125" style="30"/>
    <col min="9726" max="9726" width="0.140625" style="30" customWidth="1"/>
    <col min="9727" max="9727" width="2.5703125" style="30" customWidth="1"/>
    <col min="9728" max="9728" width="18.5703125" style="30" customWidth="1"/>
    <col min="9729" max="9729" width="1.42578125" style="30" customWidth="1"/>
    <col min="9730" max="9730" width="58.85546875" style="30" customWidth="1"/>
    <col min="9731" max="9732" width="11.42578125" style="30"/>
    <col min="9733" max="9733" width="2.140625" style="30" customWidth="1"/>
    <col min="9734" max="9734" width="11.42578125" style="30"/>
    <col min="9735" max="9735" width="9.5703125" style="30" customWidth="1"/>
    <col min="9736" max="9981" width="11.42578125" style="30"/>
    <col min="9982" max="9982" width="0.140625" style="30" customWidth="1"/>
    <col min="9983" max="9983" width="2.5703125" style="30" customWidth="1"/>
    <col min="9984" max="9984" width="18.5703125" style="30" customWidth="1"/>
    <col min="9985" max="9985" width="1.42578125" style="30" customWidth="1"/>
    <col min="9986" max="9986" width="58.85546875" style="30" customWidth="1"/>
    <col min="9987" max="9988" width="11.42578125" style="30"/>
    <col min="9989" max="9989" width="2.140625" style="30" customWidth="1"/>
    <col min="9990" max="9990" width="11.42578125" style="30"/>
    <col min="9991" max="9991" width="9.5703125" style="30" customWidth="1"/>
    <col min="9992" max="10237" width="11.42578125" style="30"/>
    <col min="10238" max="10238" width="0.140625" style="30" customWidth="1"/>
    <col min="10239" max="10239" width="2.5703125" style="30" customWidth="1"/>
    <col min="10240" max="10240" width="18.5703125" style="30" customWidth="1"/>
    <col min="10241" max="10241" width="1.42578125" style="30" customWidth="1"/>
    <col min="10242" max="10242" width="58.85546875" style="30" customWidth="1"/>
    <col min="10243" max="10244" width="11.42578125" style="30"/>
    <col min="10245" max="10245" width="2.140625" style="30" customWidth="1"/>
    <col min="10246" max="10246" width="11.42578125" style="30"/>
    <col min="10247" max="10247" width="9.5703125" style="30" customWidth="1"/>
    <col min="10248" max="10493" width="11.42578125" style="30"/>
    <col min="10494" max="10494" width="0.140625" style="30" customWidth="1"/>
    <col min="10495" max="10495" width="2.5703125" style="30" customWidth="1"/>
    <col min="10496" max="10496" width="18.5703125" style="30" customWidth="1"/>
    <col min="10497" max="10497" width="1.42578125" style="30" customWidth="1"/>
    <col min="10498" max="10498" width="58.85546875" style="30" customWidth="1"/>
    <col min="10499" max="10500" width="11.42578125" style="30"/>
    <col min="10501" max="10501" width="2.140625" style="30" customWidth="1"/>
    <col min="10502" max="10502" width="11.42578125" style="30"/>
    <col min="10503" max="10503" width="9.5703125" style="30" customWidth="1"/>
    <col min="10504" max="10749" width="11.42578125" style="30"/>
    <col min="10750" max="10750" width="0.140625" style="30" customWidth="1"/>
    <col min="10751" max="10751" width="2.5703125" style="30" customWidth="1"/>
    <col min="10752" max="10752" width="18.5703125" style="30" customWidth="1"/>
    <col min="10753" max="10753" width="1.42578125" style="30" customWidth="1"/>
    <col min="10754" max="10754" width="58.85546875" style="30" customWidth="1"/>
    <col min="10755" max="10756" width="11.42578125" style="30"/>
    <col min="10757" max="10757" width="2.140625" style="30" customWidth="1"/>
    <col min="10758" max="10758" width="11.42578125" style="30"/>
    <col min="10759" max="10759" width="9.5703125" style="30" customWidth="1"/>
    <col min="10760" max="11005" width="11.42578125" style="30"/>
    <col min="11006" max="11006" width="0.140625" style="30" customWidth="1"/>
    <col min="11007" max="11007" width="2.5703125" style="30" customWidth="1"/>
    <col min="11008" max="11008" width="18.5703125" style="30" customWidth="1"/>
    <col min="11009" max="11009" width="1.42578125" style="30" customWidth="1"/>
    <col min="11010" max="11010" width="58.85546875" style="30" customWidth="1"/>
    <col min="11011" max="11012" width="11.42578125" style="30"/>
    <col min="11013" max="11013" width="2.140625" style="30" customWidth="1"/>
    <col min="11014" max="11014" width="11.42578125" style="30"/>
    <col min="11015" max="11015" width="9.5703125" style="30" customWidth="1"/>
    <col min="11016" max="11261" width="11.42578125" style="30"/>
    <col min="11262" max="11262" width="0.140625" style="30" customWidth="1"/>
    <col min="11263" max="11263" width="2.5703125" style="30" customWidth="1"/>
    <col min="11264" max="11264" width="18.5703125" style="30" customWidth="1"/>
    <col min="11265" max="11265" width="1.42578125" style="30" customWidth="1"/>
    <col min="11266" max="11266" width="58.85546875" style="30" customWidth="1"/>
    <col min="11267" max="11268" width="11.42578125" style="30"/>
    <col min="11269" max="11269" width="2.140625" style="30" customWidth="1"/>
    <col min="11270" max="11270" width="11.42578125" style="30"/>
    <col min="11271" max="11271" width="9.5703125" style="30" customWidth="1"/>
    <col min="11272" max="11517" width="11.42578125" style="30"/>
    <col min="11518" max="11518" width="0.140625" style="30" customWidth="1"/>
    <col min="11519" max="11519" width="2.5703125" style="30" customWidth="1"/>
    <col min="11520" max="11520" width="18.5703125" style="30" customWidth="1"/>
    <col min="11521" max="11521" width="1.42578125" style="30" customWidth="1"/>
    <col min="11522" max="11522" width="58.85546875" style="30" customWidth="1"/>
    <col min="11523" max="11524" width="11.42578125" style="30"/>
    <col min="11525" max="11525" width="2.140625" style="30" customWidth="1"/>
    <col min="11526" max="11526" width="11.42578125" style="30"/>
    <col min="11527" max="11527" width="9.5703125" style="30" customWidth="1"/>
    <col min="11528" max="11773" width="11.42578125" style="30"/>
    <col min="11774" max="11774" width="0.140625" style="30" customWidth="1"/>
    <col min="11775" max="11775" width="2.5703125" style="30" customWidth="1"/>
    <col min="11776" max="11776" width="18.5703125" style="30" customWidth="1"/>
    <col min="11777" max="11777" width="1.42578125" style="30" customWidth="1"/>
    <col min="11778" max="11778" width="58.85546875" style="30" customWidth="1"/>
    <col min="11779" max="11780" width="11.42578125" style="30"/>
    <col min="11781" max="11781" width="2.140625" style="30" customWidth="1"/>
    <col min="11782" max="11782" width="11.42578125" style="30"/>
    <col min="11783" max="11783" width="9.5703125" style="30" customWidth="1"/>
    <col min="11784" max="12029" width="11.42578125" style="30"/>
    <col min="12030" max="12030" width="0.140625" style="30" customWidth="1"/>
    <col min="12031" max="12031" width="2.5703125" style="30" customWidth="1"/>
    <col min="12032" max="12032" width="18.5703125" style="30" customWidth="1"/>
    <col min="12033" max="12033" width="1.42578125" style="30" customWidth="1"/>
    <col min="12034" max="12034" width="58.85546875" style="30" customWidth="1"/>
    <col min="12035" max="12036" width="11.42578125" style="30"/>
    <col min="12037" max="12037" width="2.140625" style="30" customWidth="1"/>
    <col min="12038" max="12038" width="11.42578125" style="30"/>
    <col min="12039" max="12039" width="9.5703125" style="30" customWidth="1"/>
    <col min="12040" max="12285" width="11.42578125" style="30"/>
    <col min="12286" max="12286" width="0.140625" style="30" customWidth="1"/>
    <col min="12287" max="12287" width="2.5703125" style="30" customWidth="1"/>
    <col min="12288" max="12288" width="18.5703125" style="30" customWidth="1"/>
    <col min="12289" max="12289" width="1.42578125" style="30" customWidth="1"/>
    <col min="12290" max="12290" width="58.85546875" style="30" customWidth="1"/>
    <col min="12291" max="12292" width="11.42578125" style="30"/>
    <col min="12293" max="12293" width="2.140625" style="30" customWidth="1"/>
    <col min="12294" max="12294" width="11.42578125" style="30"/>
    <col min="12295" max="12295" width="9.5703125" style="30" customWidth="1"/>
    <col min="12296" max="12541" width="11.42578125" style="30"/>
    <col min="12542" max="12542" width="0.140625" style="30" customWidth="1"/>
    <col min="12543" max="12543" width="2.5703125" style="30" customWidth="1"/>
    <col min="12544" max="12544" width="18.5703125" style="30" customWidth="1"/>
    <col min="12545" max="12545" width="1.42578125" style="30" customWidth="1"/>
    <col min="12546" max="12546" width="58.85546875" style="30" customWidth="1"/>
    <col min="12547" max="12548" width="11.42578125" style="30"/>
    <col min="12549" max="12549" width="2.140625" style="30" customWidth="1"/>
    <col min="12550" max="12550" width="11.42578125" style="30"/>
    <col min="12551" max="12551" width="9.5703125" style="30" customWidth="1"/>
    <col min="12552" max="12797" width="11.42578125" style="30"/>
    <col min="12798" max="12798" width="0.140625" style="30" customWidth="1"/>
    <col min="12799" max="12799" width="2.5703125" style="30" customWidth="1"/>
    <col min="12800" max="12800" width="18.5703125" style="30" customWidth="1"/>
    <col min="12801" max="12801" width="1.42578125" style="30" customWidth="1"/>
    <col min="12802" max="12802" width="58.85546875" style="30" customWidth="1"/>
    <col min="12803" max="12804" width="11.42578125" style="30"/>
    <col min="12805" max="12805" width="2.140625" style="30" customWidth="1"/>
    <col min="12806" max="12806" width="11.42578125" style="30"/>
    <col min="12807" max="12807" width="9.5703125" style="30" customWidth="1"/>
    <col min="12808" max="13053" width="11.42578125" style="30"/>
    <col min="13054" max="13054" width="0.140625" style="30" customWidth="1"/>
    <col min="13055" max="13055" width="2.5703125" style="30" customWidth="1"/>
    <col min="13056" max="13056" width="18.5703125" style="30" customWidth="1"/>
    <col min="13057" max="13057" width="1.42578125" style="30" customWidth="1"/>
    <col min="13058" max="13058" width="58.85546875" style="30" customWidth="1"/>
    <col min="13059" max="13060" width="11.42578125" style="30"/>
    <col min="13061" max="13061" width="2.140625" style="30" customWidth="1"/>
    <col min="13062" max="13062" width="11.42578125" style="30"/>
    <col min="13063" max="13063" width="9.5703125" style="30" customWidth="1"/>
    <col min="13064" max="13309" width="11.42578125" style="30"/>
    <col min="13310" max="13310" width="0.140625" style="30" customWidth="1"/>
    <col min="13311" max="13311" width="2.5703125" style="30" customWidth="1"/>
    <col min="13312" max="13312" width="18.5703125" style="30" customWidth="1"/>
    <col min="13313" max="13313" width="1.42578125" style="30" customWidth="1"/>
    <col min="13314" max="13314" width="58.85546875" style="30" customWidth="1"/>
    <col min="13315" max="13316" width="11.42578125" style="30"/>
    <col min="13317" max="13317" width="2.140625" style="30" customWidth="1"/>
    <col min="13318" max="13318" width="11.42578125" style="30"/>
    <col min="13319" max="13319" width="9.5703125" style="30" customWidth="1"/>
    <col min="13320" max="13565" width="11.42578125" style="30"/>
    <col min="13566" max="13566" width="0.140625" style="30" customWidth="1"/>
    <col min="13567" max="13567" width="2.5703125" style="30" customWidth="1"/>
    <col min="13568" max="13568" width="18.5703125" style="30" customWidth="1"/>
    <col min="13569" max="13569" width="1.42578125" style="30" customWidth="1"/>
    <col min="13570" max="13570" width="58.85546875" style="30" customWidth="1"/>
    <col min="13571" max="13572" width="11.42578125" style="30"/>
    <col min="13573" max="13573" width="2.140625" style="30" customWidth="1"/>
    <col min="13574" max="13574" width="11.42578125" style="30"/>
    <col min="13575" max="13575" width="9.5703125" style="30" customWidth="1"/>
    <col min="13576" max="13821" width="11.42578125" style="30"/>
    <col min="13822" max="13822" width="0.140625" style="30" customWidth="1"/>
    <col min="13823" max="13823" width="2.5703125" style="30" customWidth="1"/>
    <col min="13824" max="13824" width="18.5703125" style="30" customWidth="1"/>
    <col min="13825" max="13825" width="1.42578125" style="30" customWidth="1"/>
    <col min="13826" max="13826" width="58.85546875" style="30" customWidth="1"/>
    <col min="13827" max="13828" width="11.42578125" style="30"/>
    <col min="13829" max="13829" width="2.140625" style="30" customWidth="1"/>
    <col min="13830" max="13830" width="11.42578125" style="30"/>
    <col min="13831" max="13831" width="9.5703125" style="30" customWidth="1"/>
    <col min="13832" max="14077" width="11.42578125" style="30"/>
    <col min="14078" max="14078" width="0.140625" style="30" customWidth="1"/>
    <col min="14079" max="14079" width="2.5703125" style="30" customWidth="1"/>
    <col min="14080" max="14080" width="18.5703125" style="30" customWidth="1"/>
    <col min="14081" max="14081" width="1.42578125" style="30" customWidth="1"/>
    <col min="14082" max="14082" width="58.85546875" style="30" customWidth="1"/>
    <col min="14083" max="14084" width="11.42578125" style="30"/>
    <col min="14085" max="14085" width="2.140625" style="30" customWidth="1"/>
    <col min="14086" max="14086" width="11.42578125" style="30"/>
    <col min="14087" max="14087" width="9.5703125" style="30" customWidth="1"/>
    <col min="14088" max="14333" width="11.42578125" style="30"/>
    <col min="14334" max="14334" width="0.140625" style="30" customWidth="1"/>
    <col min="14335" max="14335" width="2.5703125" style="30" customWidth="1"/>
    <col min="14336" max="14336" width="18.5703125" style="30" customWidth="1"/>
    <col min="14337" max="14337" width="1.42578125" style="30" customWidth="1"/>
    <col min="14338" max="14338" width="58.85546875" style="30" customWidth="1"/>
    <col min="14339" max="14340" width="11.42578125" style="30"/>
    <col min="14341" max="14341" width="2.140625" style="30" customWidth="1"/>
    <col min="14342" max="14342" width="11.42578125" style="30"/>
    <col min="14343" max="14343" width="9.5703125" style="30" customWidth="1"/>
    <col min="14344" max="14589" width="11.42578125" style="30"/>
    <col min="14590" max="14590" width="0.140625" style="30" customWidth="1"/>
    <col min="14591" max="14591" width="2.5703125" style="30" customWidth="1"/>
    <col min="14592" max="14592" width="18.5703125" style="30" customWidth="1"/>
    <col min="14593" max="14593" width="1.42578125" style="30" customWidth="1"/>
    <col min="14594" max="14594" width="58.85546875" style="30" customWidth="1"/>
    <col min="14595" max="14596" width="11.42578125" style="30"/>
    <col min="14597" max="14597" width="2.140625" style="30" customWidth="1"/>
    <col min="14598" max="14598" width="11.42578125" style="30"/>
    <col min="14599" max="14599" width="9.5703125" style="30" customWidth="1"/>
    <col min="14600" max="14845" width="11.42578125" style="30"/>
    <col min="14846" max="14846" width="0.140625" style="30" customWidth="1"/>
    <col min="14847" max="14847" width="2.5703125" style="30" customWidth="1"/>
    <col min="14848" max="14848" width="18.5703125" style="30" customWidth="1"/>
    <col min="14849" max="14849" width="1.42578125" style="30" customWidth="1"/>
    <col min="14850" max="14850" width="58.85546875" style="30" customWidth="1"/>
    <col min="14851" max="14852" width="11.42578125" style="30"/>
    <col min="14853" max="14853" width="2.140625" style="30" customWidth="1"/>
    <col min="14854" max="14854" width="11.42578125" style="30"/>
    <col min="14855" max="14855" width="9.5703125" style="30" customWidth="1"/>
    <col min="14856" max="15101" width="11.42578125" style="30"/>
    <col min="15102" max="15102" width="0.140625" style="30" customWidth="1"/>
    <col min="15103" max="15103" width="2.5703125" style="30" customWidth="1"/>
    <col min="15104" max="15104" width="18.5703125" style="30" customWidth="1"/>
    <col min="15105" max="15105" width="1.42578125" style="30" customWidth="1"/>
    <col min="15106" max="15106" width="58.85546875" style="30" customWidth="1"/>
    <col min="15107" max="15108" width="11.42578125" style="30"/>
    <col min="15109" max="15109" width="2.140625" style="30" customWidth="1"/>
    <col min="15110" max="15110" width="11.42578125" style="30"/>
    <col min="15111" max="15111" width="9.5703125" style="30" customWidth="1"/>
    <col min="15112" max="15357" width="11.42578125" style="30"/>
    <col min="15358" max="15358" width="0.140625" style="30" customWidth="1"/>
    <col min="15359" max="15359" width="2.5703125" style="30" customWidth="1"/>
    <col min="15360" max="15360" width="18.5703125" style="30" customWidth="1"/>
    <col min="15361" max="15361" width="1.42578125" style="30" customWidth="1"/>
    <col min="15362" max="15362" width="58.85546875" style="30" customWidth="1"/>
    <col min="15363" max="15364" width="11.42578125" style="30"/>
    <col min="15365" max="15365" width="2.140625" style="30" customWidth="1"/>
    <col min="15366" max="15366" width="11.42578125" style="30"/>
    <col min="15367" max="15367" width="9.5703125" style="30" customWidth="1"/>
    <col min="15368" max="15613" width="11.42578125" style="30"/>
    <col min="15614" max="15614" width="0.140625" style="30" customWidth="1"/>
    <col min="15615" max="15615" width="2.5703125" style="30" customWidth="1"/>
    <col min="15616" max="15616" width="18.5703125" style="30" customWidth="1"/>
    <col min="15617" max="15617" width="1.42578125" style="30" customWidth="1"/>
    <col min="15618" max="15618" width="58.85546875" style="30" customWidth="1"/>
    <col min="15619" max="15620" width="11.42578125" style="30"/>
    <col min="15621" max="15621" width="2.140625" style="30" customWidth="1"/>
    <col min="15622" max="15622" width="11.42578125" style="30"/>
    <col min="15623" max="15623" width="9.5703125" style="30" customWidth="1"/>
    <col min="15624" max="15869" width="11.42578125" style="30"/>
    <col min="15870" max="15870" width="0.140625" style="30" customWidth="1"/>
    <col min="15871" max="15871" width="2.5703125" style="30" customWidth="1"/>
    <col min="15872" max="15872" width="18.5703125" style="30" customWidth="1"/>
    <col min="15873" max="15873" width="1.42578125" style="30" customWidth="1"/>
    <col min="15874" max="15874" width="58.85546875" style="30" customWidth="1"/>
    <col min="15875" max="15876" width="11.42578125" style="30"/>
    <col min="15877" max="15877" width="2.140625" style="30" customWidth="1"/>
    <col min="15878" max="15878" width="11.42578125" style="30"/>
    <col min="15879" max="15879" width="9.5703125" style="30" customWidth="1"/>
    <col min="15880" max="16125" width="11.42578125" style="30"/>
    <col min="16126" max="16126" width="0.140625" style="30" customWidth="1"/>
    <col min="16127" max="16127" width="2.5703125" style="30" customWidth="1"/>
    <col min="16128" max="16128" width="18.5703125" style="30" customWidth="1"/>
    <col min="16129" max="16129" width="1.42578125" style="30" customWidth="1"/>
    <col min="16130" max="16130" width="58.85546875" style="30" customWidth="1"/>
    <col min="16131" max="16132" width="11.42578125" style="30"/>
    <col min="16133" max="16133" width="2.140625" style="30" customWidth="1"/>
    <col min="16134" max="16134" width="11.42578125" style="30"/>
    <col min="16135" max="16135" width="9.5703125" style="30" customWidth="1"/>
    <col min="16136" max="16384" width="11.42578125" style="30"/>
  </cols>
  <sheetData>
    <row r="1" spans="2:12" s="31" customFormat="1" ht="0.75" customHeight="1"/>
    <row r="2" spans="2:12" s="31" customFormat="1" ht="21" customHeight="1">
      <c r="E2" s="29" t="s">
        <v>19</v>
      </c>
    </row>
    <row r="3" spans="2:12" s="31" customFormat="1" ht="15" customHeight="1">
      <c r="E3" s="46" t="str">
        <f>Indice!E3</f>
        <v>Junio 2023</v>
      </c>
    </row>
    <row r="4" spans="2:12" s="33" customFormat="1" ht="20.25" customHeight="1">
      <c r="B4" s="41"/>
      <c r="C4" s="27" t="s">
        <v>46</v>
      </c>
    </row>
    <row r="5" spans="2:12" s="33" customFormat="1" ht="12.75" customHeight="1">
      <c r="B5" s="41"/>
      <c r="C5" s="45"/>
    </row>
    <row r="6" spans="2:12" s="33" customFormat="1" ht="13.5" customHeight="1">
      <c r="B6" s="41"/>
      <c r="C6" s="40"/>
      <c r="D6" s="39"/>
      <c r="E6" s="39"/>
    </row>
    <row r="7" spans="2:12" s="33" customFormat="1" ht="12.75" customHeight="1">
      <c r="B7" s="41"/>
      <c r="C7" s="197" t="s">
        <v>31</v>
      </c>
      <c r="D7" s="39"/>
      <c r="E7" s="43"/>
    </row>
    <row r="8" spans="2:12" s="33" customFormat="1" ht="12.75" customHeight="1">
      <c r="B8" s="41"/>
      <c r="C8" s="197"/>
      <c r="D8" s="39"/>
      <c r="E8" s="43"/>
      <c r="J8" s="32"/>
      <c r="K8" s="32"/>
      <c r="L8" s="32"/>
    </row>
    <row r="9" spans="2:12" s="33" customFormat="1" ht="12.75" customHeight="1">
      <c r="B9" s="41"/>
      <c r="C9" s="44"/>
      <c r="D9" s="39"/>
      <c r="E9" s="43"/>
      <c r="J9" s="32"/>
      <c r="K9" s="81"/>
      <c r="L9" s="82"/>
    </row>
    <row r="10" spans="2:12" s="33" customFormat="1" ht="12.75" customHeight="1">
      <c r="B10" s="41"/>
      <c r="C10" s="34"/>
      <c r="D10" s="39"/>
      <c r="E10" s="43"/>
      <c r="J10" s="32"/>
      <c r="K10" s="83"/>
      <c r="L10" s="80"/>
    </row>
    <row r="11" spans="2:12" s="33" customFormat="1" ht="12.75" customHeight="1">
      <c r="B11" s="41"/>
      <c r="D11" s="39"/>
      <c r="E11" s="39"/>
      <c r="J11" s="32"/>
      <c r="K11" s="83"/>
      <c r="L11" s="80"/>
    </row>
    <row r="12" spans="2:12" s="33" customFormat="1" ht="12.75" customHeight="1">
      <c r="B12" s="41"/>
      <c r="C12" s="42"/>
      <c r="D12" s="39"/>
      <c r="E12" s="39"/>
      <c r="J12" s="32"/>
      <c r="K12" s="83"/>
      <c r="L12" s="80"/>
    </row>
    <row r="13" spans="2:12" s="33" customFormat="1" ht="12.75" customHeight="1">
      <c r="B13" s="41"/>
      <c r="C13" s="42"/>
      <c r="D13" s="39"/>
      <c r="E13" s="39"/>
      <c r="J13" s="32"/>
      <c r="K13" s="32"/>
      <c r="L13" s="32"/>
    </row>
    <row r="14" spans="2:12" s="33" customFormat="1" ht="12.75" customHeight="1">
      <c r="B14" s="41"/>
      <c r="C14" s="42"/>
      <c r="D14" s="39"/>
      <c r="E14" s="39"/>
    </row>
    <row r="15" spans="2:12" s="33" customFormat="1" ht="12.75" customHeight="1">
      <c r="B15" s="41"/>
      <c r="C15" s="42"/>
      <c r="D15" s="39"/>
      <c r="E15" s="39"/>
    </row>
    <row r="16" spans="2:12" s="33" customFormat="1" ht="12.75" customHeight="1">
      <c r="B16" s="41"/>
      <c r="D16" s="39"/>
      <c r="E16" s="39"/>
      <c r="J16" s="32"/>
      <c r="K16" s="32"/>
      <c r="L16" s="32"/>
    </row>
    <row r="17" spans="2:12" s="33" customFormat="1" ht="12.75" customHeight="1">
      <c r="B17" s="41"/>
      <c r="D17" s="39"/>
      <c r="E17" s="39"/>
      <c r="J17" s="32"/>
      <c r="K17" s="32"/>
      <c r="L17" s="32"/>
    </row>
    <row r="18" spans="2:12" s="33" customFormat="1" ht="12.75" customHeight="1">
      <c r="B18" s="41"/>
      <c r="D18" s="39"/>
      <c r="E18" s="39"/>
      <c r="F18" s="151"/>
      <c r="J18" s="32"/>
      <c r="K18" s="32"/>
      <c r="L18" s="32"/>
    </row>
    <row r="19" spans="2:12" s="33" customFormat="1" ht="12.75" customHeight="1">
      <c r="B19" s="41"/>
      <c r="C19" s="42"/>
      <c r="D19" s="39"/>
      <c r="E19" s="39"/>
      <c r="J19" s="32"/>
      <c r="K19" s="32"/>
      <c r="L19" s="32"/>
    </row>
    <row r="20" spans="2:12" s="33" customFormat="1" ht="12.75" customHeight="1">
      <c r="B20" s="41"/>
      <c r="C20" s="40"/>
      <c r="D20" s="39"/>
      <c r="E20" s="39"/>
      <c r="J20" s="32"/>
      <c r="K20" s="32"/>
      <c r="L20" s="32"/>
    </row>
    <row r="21" spans="2:12" s="33" customFormat="1" ht="12.75" customHeight="1">
      <c r="B21" s="41"/>
      <c r="C21" s="40"/>
      <c r="D21" s="39"/>
      <c r="E21" s="39"/>
      <c r="J21" s="164"/>
      <c r="K21" s="32"/>
    </row>
    <row r="22" spans="2:12" s="33" customFormat="1" ht="12.75" customHeight="1">
      <c r="B22" s="41"/>
      <c r="C22" s="40"/>
      <c r="D22" s="39"/>
      <c r="E22" s="39"/>
      <c r="J22" s="32"/>
      <c r="K22" s="32"/>
    </row>
    <row r="23" spans="2:12">
      <c r="E23" s="38"/>
      <c r="J23" s="33"/>
      <c r="K23" s="33"/>
    </row>
    <row r="24" spans="2:12">
      <c r="C24" s="197" t="s">
        <v>28</v>
      </c>
      <c r="E24" s="37"/>
      <c r="J24" s="33"/>
      <c r="K24" s="33"/>
    </row>
    <row r="25" spans="2:12">
      <c r="C25" s="197"/>
      <c r="E25" s="36"/>
      <c r="J25" s="32"/>
      <c r="K25" s="32"/>
    </row>
    <row r="26" spans="2:12" ht="12.75" customHeight="1">
      <c r="J26" s="81"/>
      <c r="K26" s="82"/>
    </row>
    <row r="27" spans="2:12">
      <c r="J27" s="83"/>
      <c r="K27" s="80"/>
    </row>
    <row r="28" spans="2:12">
      <c r="C28" s="35"/>
      <c r="J28" s="83"/>
      <c r="K28" s="80"/>
    </row>
    <row r="29" spans="2:12">
      <c r="C29" s="34"/>
      <c r="J29" s="83"/>
      <c r="K29" s="80"/>
    </row>
    <row r="30" spans="2:12">
      <c r="J30" s="32"/>
      <c r="K30" s="32"/>
    </row>
    <row r="31" spans="2:12" ht="12.75" customHeight="1">
      <c r="J31" s="33"/>
      <c r="K31" s="33"/>
    </row>
    <row r="32" spans="2:12">
      <c r="J32" s="33"/>
      <c r="K32" s="33"/>
    </row>
    <row r="33" spans="10:11">
      <c r="J33" s="32"/>
      <c r="K33" s="32"/>
    </row>
    <row r="34" spans="10:11">
      <c r="J34" s="32"/>
      <c r="K34" s="32"/>
    </row>
    <row r="35" spans="10:11">
      <c r="J35" s="32"/>
      <c r="K35" s="32"/>
    </row>
    <row r="36" spans="10:11">
      <c r="J36" s="32"/>
      <c r="K36" s="32"/>
    </row>
    <row r="37" spans="10:11">
      <c r="J37" s="32"/>
      <c r="K37" s="32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T49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0" customWidth="1"/>
    <col min="2" max="2" width="2.5703125" style="50" customWidth="1"/>
    <col min="3" max="3" width="23.5703125" style="50" customWidth="1"/>
    <col min="4" max="4" width="1.42578125" style="50" customWidth="1"/>
    <col min="5" max="5" width="105.5703125" style="50" customWidth="1"/>
    <col min="6" max="6" width="10.5703125" style="50" customWidth="1"/>
    <col min="7" max="7" width="21" style="50" bestFit="1" customWidth="1"/>
    <col min="8" max="244" width="11.42578125" style="50"/>
    <col min="245" max="245" width="0.140625" style="50" customWidth="1"/>
    <col min="246" max="246" width="2.5703125" style="50" customWidth="1"/>
    <col min="247" max="247" width="18.5703125" style="50" customWidth="1"/>
    <col min="248" max="248" width="1.42578125" style="50" customWidth="1"/>
    <col min="249" max="249" width="30.5703125" style="50" customWidth="1"/>
    <col min="250" max="254" width="10.5703125" style="50" customWidth="1"/>
    <col min="255" max="500" width="11.42578125" style="50"/>
    <col min="501" max="501" width="0.140625" style="50" customWidth="1"/>
    <col min="502" max="502" width="2.5703125" style="50" customWidth="1"/>
    <col min="503" max="503" width="18.5703125" style="50" customWidth="1"/>
    <col min="504" max="504" width="1.42578125" style="50" customWidth="1"/>
    <col min="505" max="505" width="30.5703125" style="50" customWidth="1"/>
    <col min="506" max="510" width="10.5703125" style="50" customWidth="1"/>
    <col min="511" max="756" width="11.42578125" style="50"/>
    <col min="757" max="757" width="0.140625" style="50" customWidth="1"/>
    <col min="758" max="758" width="2.5703125" style="50" customWidth="1"/>
    <col min="759" max="759" width="18.5703125" style="50" customWidth="1"/>
    <col min="760" max="760" width="1.42578125" style="50" customWidth="1"/>
    <col min="761" max="761" width="30.5703125" style="50" customWidth="1"/>
    <col min="762" max="766" width="10.5703125" style="50" customWidth="1"/>
    <col min="767" max="1012" width="11.42578125" style="50"/>
    <col min="1013" max="1013" width="0.140625" style="50" customWidth="1"/>
    <col min="1014" max="1014" width="2.5703125" style="50" customWidth="1"/>
    <col min="1015" max="1015" width="18.5703125" style="50" customWidth="1"/>
    <col min="1016" max="1016" width="1.42578125" style="50" customWidth="1"/>
    <col min="1017" max="1017" width="30.5703125" style="50" customWidth="1"/>
    <col min="1018" max="1022" width="10.5703125" style="50" customWidth="1"/>
    <col min="1023" max="1268" width="11.42578125" style="50"/>
    <col min="1269" max="1269" width="0.140625" style="50" customWidth="1"/>
    <col min="1270" max="1270" width="2.5703125" style="50" customWidth="1"/>
    <col min="1271" max="1271" width="18.5703125" style="50" customWidth="1"/>
    <col min="1272" max="1272" width="1.42578125" style="50" customWidth="1"/>
    <col min="1273" max="1273" width="30.5703125" style="50" customWidth="1"/>
    <col min="1274" max="1278" width="10.5703125" style="50" customWidth="1"/>
    <col min="1279" max="1524" width="11.42578125" style="50"/>
    <col min="1525" max="1525" width="0.140625" style="50" customWidth="1"/>
    <col min="1526" max="1526" width="2.5703125" style="50" customWidth="1"/>
    <col min="1527" max="1527" width="18.5703125" style="50" customWidth="1"/>
    <col min="1528" max="1528" width="1.42578125" style="50" customWidth="1"/>
    <col min="1529" max="1529" width="30.5703125" style="50" customWidth="1"/>
    <col min="1530" max="1534" width="10.5703125" style="50" customWidth="1"/>
    <col min="1535" max="1780" width="11.42578125" style="50"/>
    <col min="1781" max="1781" width="0.140625" style="50" customWidth="1"/>
    <col min="1782" max="1782" width="2.5703125" style="50" customWidth="1"/>
    <col min="1783" max="1783" width="18.5703125" style="50" customWidth="1"/>
    <col min="1784" max="1784" width="1.42578125" style="50" customWidth="1"/>
    <col min="1785" max="1785" width="30.5703125" style="50" customWidth="1"/>
    <col min="1786" max="1790" width="10.5703125" style="50" customWidth="1"/>
    <col min="1791" max="2036" width="11.42578125" style="50"/>
    <col min="2037" max="2037" width="0.140625" style="50" customWidth="1"/>
    <col min="2038" max="2038" width="2.5703125" style="50" customWidth="1"/>
    <col min="2039" max="2039" width="18.5703125" style="50" customWidth="1"/>
    <col min="2040" max="2040" width="1.42578125" style="50" customWidth="1"/>
    <col min="2041" max="2041" width="30.5703125" style="50" customWidth="1"/>
    <col min="2042" max="2046" width="10.5703125" style="50" customWidth="1"/>
    <col min="2047" max="2292" width="11.42578125" style="50"/>
    <col min="2293" max="2293" width="0.140625" style="50" customWidth="1"/>
    <col min="2294" max="2294" width="2.5703125" style="50" customWidth="1"/>
    <col min="2295" max="2295" width="18.5703125" style="50" customWidth="1"/>
    <col min="2296" max="2296" width="1.42578125" style="50" customWidth="1"/>
    <col min="2297" max="2297" width="30.5703125" style="50" customWidth="1"/>
    <col min="2298" max="2302" width="10.5703125" style="50" customWidth="1"/>
    <col min="2303" max="2548" width="11.42578125" style="50"/>
    <col min="2549" max="2549" width="0.140625" style="50" customWidth="1"/>
    <col min="2550" max="2550" width="2.5703125" style="50" customWidth="1"/>
    <col min="2551" max="2551" width="18.5703125" style="50" customWidth="1"/>
    <col min="2552" max="2552" width="1.42578125" style="50" customWidth="1"/>
    <col min="2553" max="2553" width="30.5703125" style="50" customWidth="1"/>
    <col min="2554" max="2558" width="10.5703125" style="50" customWidth="1"/>
    <col min="2559" max="2804" width="11.42578125" style="50"/>
    <col min="2805" max="2805" width="0.140625" style="50" customWidth="1"/>
    <col min="2806" max="2806" width="2.5703125" style="50" customWidth="1"/>
    <col min="2807" max="2807" width="18.5703125" style="50" customWidth="1"/>
    <col min="2808" max="2808" width="1.42578125" style="50" customWidth="1"/>
    <col min="2809" max="2809" width="30.5703125" style="50" customWidth="1"/>
    <col min="2810" max="2814" width="10.5703125" style="50" customWidth="1"/>
    <col min="2815" max="3060" width="11.42578125" style="50"/>
    <col min="3061" max="3061" width="0.140625" style="50" customWidth="1"/>
    <col min="3062" max="3062" width="2.5703125" style="50" customWidth="1"/>
    <col min="3063" max="3063" width="18.5703125" style="50" customWidth="1"/>
    <col min="3064" max="3064" width="1.42578125" style="50" customWidth="1"/>
    <col min="3065" max="3065" width="30.5703125" style="50" customWidth="1"/>
    <col min="3066" max="3070" width="10.5703125" style="50" customWidth="1"/>
    <col min="3071" max="3316" width="11.42578125" style="50"/>
    <col min="3317" max="3317" width="0.140625" style="50" customWidth="1"/>
    <col min="3318" max="3318" width="2.5703125" style="50" customWidth="1"/>
    <col min="3319" max="3319" width="18.5703125" style="50" customWidth="1"/>
    <col min="3320" max="3320" width="1.42578125" style="50" customWidth="1"/>
    <col min="3321" max="3321" width="30.5703125" style="50" customWidth="1"/>
    <col min="3322" max="3326" width="10.5703125" style="50" customWidth="1"/>
    <col min="3327" max="3572" width="11.42578125" style="50"/>
    <col min="3573" max="3573" width="0.140625" style="50" customWidth="1"/>
    <col min="3574" max="3574" width="2.5703125" style="50" customWidth="1"/>
    <col min="3575" max="3575" width="18.5703125" style="50" customWidth="1"/>
    <col min="3576" max="3576" width="1.42578125" style="50" customWidth="1"/>
    <col min="3577" max="3577" width="30.5703125" style="50" customWidth="1"/>
    <col min="3578" max="3582" width="10.5703125" style="50" customWidth="1"/>
    <col min="3583" max="3828" width="11.42578125" style="50"/>
    <col min="3829" max="3829" width="0.140625" style="50" customWidth="1"/>
    <col min="3830" max="3830" width="2.5703125" style="50" customWidth="1"/>
    <col min="3831" max="3831" width="18.5703125" style="50" customWidth="1"/>
    <col min="3832" max="3832" width="1.42578125" style="50" customWidth="1"/>
    <col min="3833" max="3833" width="30.5703125" style="50" customWidth="1"/>
    <col min="3834" max="3838" width="10.5703125" style="50" customWidth="1"/>
    <col min="3839" max="4084" width="11.42578125" style="50"/>
    <col min="4085" max="4085" width="0.140625" style="50" customWidth="1"/>
    <col min="4086" max="4086" width="2.5703125" style="50" customWidth="1"/>
    <col min="4087" max="4087" width="18.5703125" style="50" customWidth="1"/>
    <col min="4088" max="4088" width="1.42578125" style="50" customWidth="1"/>
    <col min="4089" max="4089" width="30.5703125" style="50" customWidth="1"/>
    <col min="4090" max="4094" width="10.5703125" style="50" customWidth="1"/>
    <col min="4095" max="4340" width="11.42578125" style="50"/>
    <col min="4341" max="4341" width="0.140625" style="50" customWidth="1"/>
    <col min="4342" max="4342" width="2.5703125" style="50" customWidth="1"/>
    <col min="4343" max="4343" width="18.5703125" style="50" customWidth="1"/>
    <col min="4344" max="4344" width="1.42578125" style="50" customWidth="1"/>
    <col min="4345" max="4345" width="30.5703125" style="50" customWidth="1"/>
    <col min="4346" max="4350" width="10.5703125" style="50" customWidth="1"/>
    <col min="4351" max="4596" width="11.42578125" style="50"/>
    <col min="4597" max="4597" width="0.140625" style="50" customWidth="1"/>
    <col min="4598" max="4598" width="2.5703125" style="50" customWidth="1"/>
    <col min="4599" max="4599" width="18.5703125" style="50" customWidth="1"/>
    <col min="4600" max="4600" width="1.42578125" style="50" customWidth="1"/>
    <col min="4601" max="4601" width="30.5703125" style="50" customWidth="1"/>
    <col min="4602" max="4606" width="10.5703125" style="50" customWidth="1"/>
    <col min="4607" max="4852" width="11.42578125" style="50"/>
    <col min="4853" max="4853" width="0.140625" style="50" customWidth="1"/>
    <col min="4854" max="4854" width="2.5703125" style="50" customWidth="1"/>
    <col min="4855" max="4855" width="18.5703125" style="50" customWidth="1"/>
    <col min="4856" max="4856" width="1.42578125" style="50" customWidth="1"/>
    <col min="4857" max="4857" width="30.5703125" style="50" customWidth="1"/>
    <col min="4858" max="4862" width="10.5703125" style="50" customWidth="1"/>
    <col min="4863" max="5108" width="11.42578125" style="50"/>
    <col min="5109" max="5109" width="0.140625" style="50" customWidth="1"/>
    <col min="5110" max="5110" width="2.5703125" style="50" customWidth="1"/>
    <col min="5111" max="5111" width="18.5703125" style="50" customWidth="1"/>
    <col min="5112" max="5112" width="1.42578125" style="50" customWidth="1"/>
    <col min="5113" max="5113" width="30.5703125" style="50" customWidth="1"/>
    <col min="5114" max="5118" width="10.5703125" style="50" customWidth="1"/>
    <col min="5119" max="5364" width="11.42578125" style="50"/>
    <col min="5365" max="5365" width="0.140625" style="50" customWidth="1"/>
    <col min="5366" max="5366" width="2.5703125" style="50" customWidth="1"/>
    <col min="5367" max="5367" width="18.5703125" style="50" customWidth="1"/>
    <col min="5368" max="5368" width="1.42578125" style="50" customWidth="1"/>
    <col min="5369" max="5369" width="30.5703125" style="50" customWidth="1"/>
    <col min="5370" max="5374" width="10.5703125" style="50" customWidth="1"/>
    <col min="5375" max="5620" width="11.42578125" style="50"/>
    <col min="5621" max="5621" width="0.140625" style="50" customWidth="1"/>
    <col min="5622" max="5622" width="2.5703125" style="50" customWidth="1"/>
    <col min="5623" max="5623" width="18.5703125" style="50" customWidth="1"/>
    <col min="5624" max="5624" width="1.42578125" style="50" customWidth="1"/>
    <col min="5625" max="5625" width="30.5703125" style="50" customWidth="1"/>
    <col min="5626" max="5630" width="10.5703125" style="50" customWidth="1"/>
    <col min="5631" max="5876" width="11.42578125" style="50"/>
    <col min="5877" max="5877" width="0.140625" style="50" customWidth="1"/>
    <col min="5878" max="5878" width="2.5703125" style="50" customWidth="1"/>
    <col min="5879" max="5879" width="18.5703125" style="50" customWidth="1"/>
    <col min="5880" max="5880" width="1.42578125" style="50" customWidth="1"/>
    <col min="5881" max="5881" width="30.5703125" style="50" customWidth="1"/>
    <col min="5882" max="5886" width="10.5703125" style="50" customWidth="1"/>
    <col min="5887" max="6132" width="11.42578125" style="50"/>
    <col min="6133" max="6133" width="0.140625" style="50" customWidth="1"/>
    <col min="6134" max="6134" width="2.5703125" style="50" customWidth="1"/>
    <col min="6135" max="6135" width="18.5703125" style="50" customWidth="1"/>
    <col min="6136" max="6136" width="1.42578125" style="50" customWidth="1"/>
    <col min="6137" max="6137" width="30.5703125" style="50" customWidth="1"/>
    <col min="6138" max="6142" width="10.5703125" style="50" customWidth="1"/>
    <col min="6143" max="6388" width="11.42578125" style="50"/>
    <col min="6389" max="6389" width="0.140625" style="50" customWidth="1"/>
    <col min="6390" max="6390" width="2.5703125" style="50" customWidth="1"/>
    <col min="6391" max="6391" width="18.5703125" style="50" customWidth="1"/>
    <col min="6392" max="6392" width="1.42578125" style="50" customWidth="1"/>
    <col min="6393" max="6393" width="30.5703125" style="50" customWidth="1"/>
    <col min="6394" max="6398" width="10.5703125" style="50" customWidth="1"/>
    <col min="6399" max="6644" width="11.42578125" style="50"/>
    <col min="6645" max="6645" width="0.140625" style="50" customWidth="1"/>
    <col min="6646" max="6646" width="2.5703125" style="50" customWidth="1"/>
    <col min="6647" max="6647" width="18.5703125" style="50" customWidth="1"/>
    <col min="6648" max="6648" width="1.42578125" style="50" customWidth="1"/>
    <col min="6649" max="6649" width="30.5703125" style="50" customWidth="1"/>
    <col min="6650" max="6654" width="10.5703125" style="50" customWidth="1"/>
    <col min="6655" max="6900" width="11.42578125" style="50"/>
    <col min="6901" max="6901" width="0.140625" style="50" customWidth="1"/>
    <col min="6902" max="6902" width="2.5703125" style="50" customWidth="1"/>
    <col min="6903" max="6903" width="18.5703125" style="50" customWidth="1"/>
    <col min="6904" max="6904" width="1.42578125" style="50" customWidth="1"/>
    <col min="6905" max="6905" width="30.5703125" style="50" customWidth="1"/>
    <col min="6906" max="6910" width="10.5703125" style="50" customWidth="1"/>
    <col min="6911" max="7156" width="11.42578125" style="50"/>
    <col min="7157" max="7157" width="0.140625" style="50" customWidth="1"/>
    <col min="7158" max="7158" width="2.5703125" style="50" customWidth="1"/>
    <col min="7159" max="7159" width="18.5703125" style="50" customWidth="1"/>
    <col min="7160" max="7160" width="1.42578125" style="50" customWidth="1"/>
    <col min="7161" max="7161" width="30.5703125" style="50" customWidth="1"/>
    <col min="7162" max="7166" width="10.5703125" style="50" customWidth="1"/>
    <col min="7167" max="7412" width="11.42578125" style="50"/>
    <col min="7413" max="7413" width="0.140625" style="50" customWidth="1"/>
    <col min="7414" max="7414" width="2.5703125" style="50" customWidth="1"/>
    <col min="7415" max="7415" width="18.5703125" style="50" customWidth="1"/>
    <col min="7416" max="7416" width="1.42578125" style="50" customWidth="1"/>
    <col min="7417" max="7417" width="30.5703125" style="50" customWidth="1"/>
    <col min="7418" max="7422" width="10.5703125" style="50" customWidth="1"/>
    <col min="7423" max="7668" width="11.42578125" style="50"/>
    <col min="7669" max="7669" width="0.140625" style="50" customWidth="1"/>
    <col min="7670" max="7670" width="2.5703125" style="50" customWidth="1"/>
    <col min="7671" max="7671" width="18.5703125" style="50" customWidth="1"/>
    <col min="7672" max="7672" width="1.42578125" style="50" customWidth="1"/>
    <col min="7673" max="7673" width="30.5703125" style="50" customWidth="1"/>
    <col min="7674" max="7678" width="10.5703125" style="50" customWidth="1"/>
    <col min="7679" max="7924" width="11.42578125" style="50"/>
    <col min="7925" max="7925" width="0.140625" style="50" customWidth="1"/>
    <col min="7926" max="7926" width="2.5703125" style="50" customWidth="1"/>
    <col min="7927" max="7927" width="18.5703125" style="50" customWidth="1"/>
    <col min="7928" max="7928" width="1.42578125" style="50" customWidth="1"/>
    <col min="7929" max="7929" width="30.5703125" style="50" customWidth="1"/>
    <col min="7930" max="7934" width="10.5703125" style="50" customWidth="1"/>
    <col min="7935" max="8180" width="11.42578125" style="50"/>
    <col min="8181" max="8181" width="0.140625" style="50" customWidth="1"/>
    <col min="8182" max="8182" width="2.5703125" style="50" customWidth="1"/>
    <col min="8183" max="8183" width="18.5703125" style="50" customWidth="1"/>
    <col min="8184" max="8184" width="1.42578125" style="50" customWidth="1"/>
    <col min="8185" max="8185" width="30.5703125" style="50" customWidth="1"/>
    <col min="8186" max="8190" width="10.5703125" style="50" customWidth="1"/>
    <col min="8191" max="8436" width="11.42578125" style="50"/>
    <col min="8437" max="8437" width="0.140625" style="50" customWidth="1"/>
    <col min="8438" max="8438" width="2.5703125" style="50" customWidth="1"/>
    <col min="8439" max="8439" width="18.5703125" style="50" customWidth="1"/>
    <col min="8440" max="8440" width="1.42578125" style="50" customWidth="1"/>
    <col min="8441" max="8441" width="30.5703125" style="50" customWidth="1"/>
    <col min="8442" max="8446" width="10.5703125" style="50" customWidth="1"/>
    <col min="8447" max="8692" width="11.42578125" style="50"/>
    <col min="8693" max="8693" width="0.140625" style="50" customWidth="1"/>
    <col min="8694" max="8694" width="2.5703125" style="50" customWidth="1"/>
    <col min="8695" max="8695" width="18.5703125" style="50" customWidth="1"/>
    <col min="8696" max="8696" width="1.42578125" style="50" customWidth="1"/>
    <col min="8697" max="8697" width="30.5703125" style="50" customWidth="1"/>
    <col min="8698" max="8702" width="10.5703125" style="50" customWidth="1"/>
    <col min="8703" max="8948" width="11.42578125" style="50"/>
    <col min="8949" max="8949" width="0.140625" style="50" customWidth="1"/>
    <col min="8950" max="8950" width="2.5703125" style="50" customWidth="1"/>
    <col min="8951" max="8951" width="18.5703125" style="50" customWidth="1"/>
    <col min="8952" max="8952" width="1.42578125" style="50" customWidth="1"/>
    <col min="8953" max="8953" width="30.5703125" style="50" customWidth="1"/>
    <col min="8954" max="8958" width="10.5703125" style="50" customWidth="1"/>
    <col min="8959" max="9204" width="11.42578125" style="50"/>
    <col min="9205" max="9205" width="0.140625" style="50" customWidth="1"/>
    <col min="9206" max="9206" width="2.5703125" style="50" customWidth="1"/>
    <col min="9207" max="9207" width="18.5703125" style="50" customWidth="1"/>
    <col min="9208" max="9208" width="1.42578125" style="50" customWidth="1"/>
    <col min="9209" max="9209" width="30.5703125" style="50" customWidth="1"/>
    <col min="9210" max="9214" width="10.5703125" style="50" customWidth="1"/>
    <col min="9215" max="9460" width="11.42578125" style="50"/>
    <col min="9461" max="9461" width="0.140625" style="50" customWidth="1"/>
    <col min="9462" max="9462" width="2.5703125" style="50" customWidth="1"/>
    <col min="9463" max="9463" width="18.5703125" style="50" customWidth="1"/>
    <col min="9464" max="9464" width="1.42578125" style="50" customWidth="1"/>
    <col min="9465" max="9465" width="30.5703125" style="50" customWidth="1"/>
    <col min="9466" max="9470" width="10.5703125" style="50" customWidth="1"/>
    <col min="9471" max="9716" width="11.42578125" style="50"/>
    <col min="9717" max="9717" width="0.140625" style="50" customWidth="1"/>
    <col min="9718" max="9718" width="2.5703125" style="50" customWidth="1"/>
    <col min="9719" max="9719" width="18.5703125" style="50" customWidth="1"/>
    <col min="9720" max="9720" width="1.42578125" style="50" customWidth="1"/>
    <col min="9721" max="9721" width="30.5703125" style="50" customWidth="1"/>
    <col min="9722" max="9726" width="10.5703125" style="50" customWidth="1"/>
    <col min="9727" max="9972" width="11.42578125" style="50"/>
    <col min="9973" max="9973" width="0.140625" style="50" customWidth="1"/>
    <col min="9974" max="9974" width="2.5703125" style="50" customWidth="1"/>
    <col min="9975" max="9975" width="18.5703125" style="50" customWidth="1"/>
    <col min="9976" max="9976" width="1.42578125" style="50" customWidth="1"/>
    <col min="9977" max="9977" width="30.5703125" style="50" customWidth="1"/>
    <col min="9978" max="9982" width="10.5703125" style="50" customWidth="1"/>
    <col min="9983" max="10228" width="11.42578125" style="50"/>
    <col min="10229" max="10229" width="0.140625" style="50" customWidth="1"/>
    <col min="10230" max="10230" width="2.5703125" style="50" customWidth="1"/>
    <col min="10231" max="10231" width="18.5703125" style="50" customWidth="1"/>
    <col min="10232" max="10232" width="1.42578125" style="50" customWidth="1"/>
    <col min="10233" max="10233" width="30.5703125" style="50" customWidth="1"/>
    <col min="10234" max="10238" width="10.5703125" style="50" customWidth="1"/>
    <col min="10239" max="10484" width="11.42578125" style="50"/>
    <col min="10485" max="10485" width="0.140625" style="50" customWidth="1"/>
    <col min="10486" max="10486" width="2.5703125" style="50" customWidth="1"/>
    <col min="10487" max="10487" width="18.5703125" style="50" customWidth="1"/>
    <col min="10488" max="10488" width="1.42578125" style="50" customWidth="1"/>
    <col min="10489" max="10489" width="30.5703125" style="50" customWidth="1"/>
    <col min="10490" max="10494" width="10.5703125" style="50" customWidth="1"/>
    <col min="10495" max="10740" width="11.42578125" style="50"/>
    <col min="10741" max="10741" width="0.140625" style="50" customWidth="1"/>
    <col min="10742" max="10742" width="2.5703125" style="50" customWidth="1"/>
    <col min="10743" max="10743" width="18.5703125" style="50" customWidth="1"/>
    <col min="10744" max="10744" width="1.42578125" style="50" customWidth="1"/>
    <col min="10745" max="10745" width="30.5703125" style="50" customWidth="1"/>
    <col min="10746" max="10750" width="10.5703125" style="50" customWidth="1"/>
    <col min="10751" max="10996" width="11.42578125" style="50"/>
    <col min="10997" max="10997" width="0.140625" style="50" customWidth="1"/>
    <col min="10998" max="10998" width="2.5703125" style="50" customWidth="1"/>
    <col min="10999" max="10999" width="18.5703125" style="50" customWidth="1"/>
    <col min="11000" max="11000" width="1.42578125" style="50" customWidth="1"/>
    <col min="11001" max="11001" width="30.5703125" style="50" customWidth="1"/>
    <col min="11002" max="11006" width="10.5703125" style="50" customWidth="1"/>
    <col min="11007" max="11252" width="11.42578125" style="50"/>
    <col min="11253" max="11253" width="0.140625" style="50" customWidth="1"/>
    <col min="11254" max="11254" width="2.5703125" style="50" customWidth="1"/>
    <col min="11255" max="11255" width="18.5703125" style="50" customWidth="1"/>
    <col min="11256" max="11256" width="1.42578125" style="50" customWidth="1"/>
    <col min="11257" max="11257" width="30.5703125" style="50" customWidth="1"/>
    <col min="11258" max="11262" width="10.5703125" style="50" customWidth="1"/>
    <col min="11263" max="11508" width="11.42578125" style="50"/>
    <col min="11509" max="11509" width="0.140625" style="50" customWidth="1"/>
    <col min="11510" max="11510" width="2.5703125" style="50" customWidth="1"/>
    <col min="11511" max="11511" width="18.5703125" style="50" customWidth="1"/>
    <col min="11512" max="11512" width="1.42578125" style="50" customWidth="1"/>
    <col min="11513" max="11513" width="30.5703125" style="50" customWidth="1"/>
    <col min="11514" max="11518" width="10.5703125" style="50" customWidth="1"/>
    <col min="11519" max="11764" width="11.42578125" style="50"/>
    <col min="11765" max="11765" width="0.140625" style="50" customWidth="1"/>
    <col min="11766" max="11766" width="2.5703125" style="50" customWidth="1"/>
    <col min="11767" max="11767" width="18.5703125" style="50" customWidth="1"/>
    <col min="11768" max="11768" width="1.42578125" style="50" customWidth="1"/>
    <col min="11769" max="11769" width="30.5703125" style="50" customWidth="1"/>
    <col min="11770" max="11774" width="10.5703125" style="50" customWidth="1"/>
    <col min="11775" max="12020" width="11.42578125" style="50"/>
    <col min="12021" max="12021" width="0.140625" style="50" customWidth="1"/>
    <col min="12022" max="12022" width="2.5703125" style="50" customWidth="1"/>
    <col min="12023" max="12023" width="18.5703125" style="50" customWidth="1"/>
    <col min="12024" max="12024" width="1.42578125" style="50" customWidth="1"/>
    <col min="12025" max="12025" width="30.5703125" style="50" customWidth="1"/>
    <col min="12026" max="12030" width="10.5703125" style="50" customWidth="1"/>
    <col min="12031" max="12276" width="11.42578125" style="50"/>
    <col min="12277" max="12277" width="0.140625" style="50" customWidth="1"/>
    <col min="12278" max="12278" width="2.5703125" style="50" customWidth="1"/>
    <col min="12279" max="12279" width="18.5703125" style="50" customWidth="1"/>
    <col min="12280" max="12280" width="1.42578125" style="50" customWidth="1"/>
    <col min="12281" max="12281" width="30.5703125" style="50" customWidth="1"/>
    <col min="12282" max="12286" width="10.5703125" style="50" customWidth="1"/>
    <col min="12287" max="12532" width="11.42578125" style="50"/>
    <col min="12533" max="12533" width="0.140625" style="50" customWidth="1"/>
    <col min="12534" max="12534" width="2.5703125" style="50" customWidth="1"/>
    <col min="12535" max="12535" width="18.5703125" style="50" customWidth="1"/>
    <col min="12536" max="12536" width="1.42578125" style="50" customWidth="1"/>
    <col min="12537" max="12537" width="30.5703125" style="50" customWidth="1"/>
    <col min="12538" max="12542" width="10.5703125" style="50" customWidth="1"/>
    <col min="12543" max="12788" width="11.42578125" style="50"/>
    <col min="12789" max="12789" width="0.140625" style="50" customWidth="1"/>
    <col min="12790" max="12790" width="2.5703125" style="50" customWidth="1"/>
    <col min="12791" max="12791" width="18.5703125" style="50" customWidth="1"/>
    <col min="12792" max="12792" width="1.42578125" style="50" customWidth="1"/>
    <col min="12793" max="12793" width="30.5703125" style="50" customWidth="1"/>
    <col min="12794" max="12798" width="10.5703125" style="50" customWidth="1"/>
    <col min="12799" max="13044" width="11.42578125" style="50"/>
    <col min="13045" max="13045" width="0.140625" style="50" customWidth="1"/>
    <col min="13046" max="13046" width="2.5703125" style="50" customWidth="1"/>
    <col min="13047" max="13047" width="18.5703125" style="50" customWidth="1"/>
    <col min="13048" max="13048" width="1.42578125" style="50" customWidth="1"/>
    <col min="13049" max="13049" width="30.5703125" style="50" customWidth="1"/>
    <col min="13050" max="13054" width="10.5703125" style="50" customWidth="1"/>
    <col min="13055" max="13300" width="11.42578125" style="50"/>
    <col min="13301" max="13301" width="0.140625" style="50" customWidth="1"/>
    <col min="13302" max="13302" width="2.5703125" style="50" customWidth="1"/>
    <col min="13303" max="13303" width="18.5703125" style="50" customWidth="1"/>
    <col min="13304" max="13304" width="1.42578125" style="50" customWidth="1"/>
    <col min="13305" max="13305" width="30.5703125" style="50" customWidth="1"/>
    <col min="13306" max="13310" width="10.5703125" style="50" customWidth="1"/>
    <col min="13311" max="13556" width="11.42578125" style="50"/>
    <col min="13557" max="13557" width="0.140625" style="50" customWidth="1"/>
    <col min="13558" max="13558" width="2.5703125" style="50" customWidth="1"/>
    <col min="13559" max="13559" width="18.5703125" style="50" customWidth="1"/>
    <col min="13560" max="13560" width="1.42578125" style="50" customWidth="1"/>
    <col min="13561" max="13561" width="30.5703125" style="50" customWidth="1"/>
    <col min="13562" max="13566" width="10.5703125" style="50" customWidth="1"/>
    <col min="13567" max="13812" width="11.42578125" style="50"/>
    <col min="13813" max="13813" width="0.140625" style="50" customWidth="1"/>
    <col min="13814" max="13814" width="2.5703125" style="50" customWidth="1"/>
    <col min="13815" max="13815" width="18.5703125" style="50" customWidth="1"/>
    <col min="13816" max="13816" width="1.42578125" style="50" customWidth="1"/>
    <col min="13817" max="13817" width="30.5703125" style="50" customWidth="1"/>
    <col min="13818" max="13822" width="10.5703125" style="50" customWidth="1"/>
    <col min="13823" max="14068" width="11.42578125" style="50"/>
    <col min="14069" max="14069" width="0.140625" style="50" customWidth="1"/>
    <col min="14070" max="14070" width="2.5703125" style="50" customWidth="1"/>
    <col min="14071" max="14071" width="18.5703125" style="50" customWidth="1"/>
    <col min="14072" max="14072" width="1.42578125" style="50" customWidth="1"/>
    <col min="14073" max="14073" width="30.5703125" style="50" customWidth="1"/>
    <col min="14074" max="14078" width="10.5703125" style="50" customWidth="1"/>
    <col min="14079" max="14324" width="11.42578125" style="50"/>
    <col min="14325" max="14325" width="0.140625" style="50" customWidth="1"/>
    <col min="14326" max="14326" width="2.5703125" style="50" customWidth="1"/>
    <col min="14327" max="14327" width="18.5703125" style="50" customWidth="1"/>
    <col min="14328" max="14328" width="1.42578125" style="50" customWidth="1"/>
    <col min="14329" max="14329" width="30.5703125" style="50" customWidth="1"/>
    <col min="14330" max="14334" width="10.5703125" style="50" customWidth="1"/>
    <col min="14335" max="14580" width="11.42578125" style="50"/>
    <col min="14581" max="14581" width="0.140625" style="50" customWidth="1"/>
    <col min="14582" max="14582" width="2.5703125" style="50" customWidth="1"/>
    <col min="14583" max="14583" width="18.5703125" style="50" customWidth="1"/>
    <col min="14584" max="14584" width="1.42578125" style="50" customWidth="1"/>
    <col min="14585" max="14585" width="30.5703125" style="50" customWidth="1"/>
    <col min="14586" max="14590" width="10.5703125" style="50" customWidth="1"/>
    <col min="14591" max="14836" width="11.42578125" style="50"/>
    <col min="14837" max="14837" width="0.140625" style="50" customWidth="1"/>
    <col min="14838" max="14838" width="2.5703125" style="50" customWidth="1"/>
    <col min="14839" max="14839" width="18.5703125" style="50" customWidth="1"/>
    <col min="14840" max="14840" width="1.42578125" style="50" customWidth="1"/>
    <col min="14841" max="14841" width="30.5703125" style="50" customWidth="1"/>
    <col min="14842" max="14846" width="10.5703125" style="50" customWidth="1"/>
    <col min="14847" max="15092" width="11.42578125" style="50"/>
    <col min="15093" max="15093" width="0.140625" style="50" customWidth="1"/>
    <col min="15094" max="15094" width="2.5703125" style="50" customWidth="1"/>
    <col min="15095" max="15095" width="18.5703125" style="50" customWidth="1"/>
    <col min="15096" max="15096" width="1.42578125" style="50" customWidth="1"/>
    <col min="15097" max="15097" width="30.5703125" style="50" customWidth="1"/>
    <col min="15098" max="15102" width="10.5703125" style="50" customWidth="1"/>
    <col min="15103" max="15348" width="11.42578125" style="50"/>
    <col min="15349" max="15349" width="0.140625" style="50" customWidth="1"/>
    <col min="15350" max="15350" width="2.5703125" style="50" customWidth="1"/>
    <col min="15351" max="15351" width="18.5703125" style="50" customWidth="1"/>
    <col min="15352" max="15352" width="1.42578125" style="50" customWidth="1"/>
    <col min="15353" max="15353" width="30.5703125" style="50" customWidth="1"/>
    <col min="15354" max="15358" width="10.5703125" style="50" customWidth="1"/>
    <col min="15359" max="15604" width="11.42578125" style="50"/>
    <col min="15605" max="15605" width="0.140625" style="50" customWidth="1"/>
    <col min="15606" max="15606" width="2.5703125" style="50" customWidth="1"/>
    <col min="15607" max="15607" width="18.5703125" style="50" customWidth="1"/>
    <col min="15608" max="15608" width="1.42578125" style="50" customWidth="1"/>
    <col min="15609" max="15609" width="30.5703125" style="50" customWidth="1"/>
    <col min="15610" max="15614" width="10.5703125" style="50" customWidth="1"/>
    <col min="15615" max="15860" width="11.42578125" style="50"/>
    <col min="15861" max="15861" width="0.140625" style="50" customWidth="1"/>
    <col min="15862" max="15862" width="2.5703125" style="50" customWidth="1"/>
    <col min="15863" max="15863" width="18.5703125" style="50" customWidth="1"/>
    <col min="15864" max="15864" width="1.42578125" style="50" customWidth="1"/>
    <col min="15865" max="15865" width="30.5703125" style="50" customWidth="1"/>
    <col min="15866" max="15870" width="10.5703125" style="50" customWidth="1"/>
    <col min="15871" max="16116" width="11.42578125" style="50"/>
    <col min="16117" max="16117" width="0.140625" style="50" customWidth="1"/>
    <col min="16118" max="16118" width="2.5703125" style="50" customWidth="1"/>
    <col min="16119" max="16119" width="18.5703125" style="50" customWidth="1"/>
    <col min="16120" max="16120" width="1.42578125" style="50" customWidth="1"/>
    <col min="16121" max="16121" width="30.5703125" style="50" customWidth="1"/>
    <col min="16122" max="16126" width="10.5703125" style="50" customWidth="1"/>
    <col min="16127" max="16384" width="11.42578125" style="50"/>
  </cols>
  <sheetData>
    <row r="1" spans="1:20" ht="0.75" customHeight="1"/>
    <row r="2" spans="1:20" ht="21" customHeight="1">
      <c r="E2" s="29" t="s">
        <v>19</v>
      </c>
      <c r="F2" s="66"/>
      <c r="G2" s="66"/>
    </row>
    <row r="3" spans="1:20" ht="15" customHeight="1">
      <c r="E3" s="46" t="str">
        <f>Indice!E3</f>
        <v>Junio 2023</v>
      </c>
      <c r="F3" s="65"/>
      <c r="G3" s="65"/>
    </row>
    <row r="4" spans="1:20" s="61" customFormat="1" ht="20.25" customHeight="1">
      <c r="B4" s="60"/>
      <c r="C4" s="27" t="s">
        <v>46</v>
      </c>
    </row>
    <row r="5" spans="1:20" s="61" customFormat="1" ht="12.75" customHeight="1">
      <c r="B5" s="60"/>
      <c r="C5" s="64"/>
    </row>
    <row r="6" spans="1:20" s="61" customFormat="1" ht="13.5" customHeight="1">
      <c r="B6" s="60"/>
      <c r="C6" s="59"/>
      <c r="D6" s="58"/>
      <c r="E6" s="58"/>
      <c r="G6" s="48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spans="1:20" s="61" customFormat="1" ht="12.75" customHeight="1">
      <c r="B7" s="60"/>
      <c r="C7" s="198" t="s">
        <v>32</v>
      </c>
      <c r="D7" s="58"/>
      <c r="E7" s="62"/>
    </row>
    <row r="8" spans="1:20" ht="12.75" customHeight="1">
      <c r="A8" s="61"/>
      <c r="B8" s="60"/>
      <c r="C8" s="198"/>
      <c r="D8" s="58"/>
      <c r="E8" s="62"/>
      <c r="F8" s="57"/>
    </row>
    <row r="9" spans="1:20" ht="12.75" customHeight="1">
      <c r="A9" s="61"/>
      <c r="B9" s="60"/>
      <c r="C9" s="198"/>
      <c r="D9" s="58"/>
      <c r="E9" s="62"/>
      <c r="F9" s="57"/>
    </row>
    <row r="10" spans="1:20" ht="12.75" customHeight="1">
      <c r="A10" s="61"/>
      <c r="B10" s="60"/>
      <c r="C10" s="34"/>
      <c r="D10" s="58"/>
      <c r="E10" s="62"/>
      <c r="F10" s="57"/>
    </row>
    <row r="11" spans="1:20" ht="12.75" customHeight="1">
      <c r="A11" s="61"/>
      <c r="B11" s="60"/>
      <c r="D11" s="58"/>
      <c r="E11" s="58"/>
      <c r="F11" s="57"/>
    </row>
    <row r="12" spans="1:20" ht="12.75" customHeight="1">
      <c r="A12" s="61"/>
      <c r="B12" s="60"/>
      <c r="D12" s="58"/>
      <c r="E12" s="58"/>
      <c r="F12" s="57"/>
    </row>
    <row r="13" spans="1:20" ht="12.75" customHeight="1">
      <c r="A13" s="61"/>
      <c r="B13" s="60"/>
      <c r="C13" s="59"/>
      <c r="D13" s="58"/>
      <c r="E13" s="58"/>
      <c r="F13" s="57"/>
    </row>
    <row r="14" spans="1:20" ht="12.75" customHeight="1">
      <c r="A14" s="61"/>
      <c r="B14" s="60"/>
      <c r="C14" s="59"/>
      <c r="D14" s="58"/>
      <c r="E14" s="58"/>
      <c r="F14" s="57"/>
    </row>
    <row r="15" spans="1:20" ht="12.75" customHeight="1">
      <c r="A15" s="61"/>
      <c r="B15" s="60"/>
      <c r="C15" s="59"/>
      <c r="D15" s="58"/>
      <c r="E15" s="58"/>
      <c r="F15" s="57"/>
    </row>
    <row r="16" spans="1:20" ht="12.75" customHeight="1">
      <c r="A16" s="61"/>
      <c r="B16" s="60"/>
      <c r="C16" s="59"/>
      <c r="D16" s="58"/>
      <c r="E16" s="58"/>
      <c r="F16" s="57"/>
    </row>
    <row r="17" spans="1:7" ht="12.75" customHeight="1">
      <c r="A17" s="61"/>
      <c r="B17" s="60"/>
      <c r="C17" s="59"/>
      <c r="D17" s="58"/>
      <c r="E17" s="58"/>
      <c r="F17" s="57"/>
    </row>
    <row r="18" spans="1:7" ht="12.75" customHeight="1">
      <c r="A18" s="61"/>
      <c r="B18" s="60"/>
      <c r="C18" s="59"/>
      <c r="D18" s="58"/>
      <c r="E18" s="58"/>
      <c r="F18" s="149"/>
    </row>
    <row r="19" spans="1:7" ht="12.75" customHeight="1">
      <c r="A19" s="61"/>
      <c r="B19" s="60"/>
      <c r="C19" s="59"/>
      <c r="D19" s="58"/>
      <c r="E19" s="58"/>
      <c r="F19" s="57"/>
    </row>
    <row r="20" spans="1:7" ht="12.75" customHeight="1">
      <c r="A20" s="61"/>
      <c r="B20" s="60"/>
      <c r="C20" s="59"/>
      <c r="D20" s="58"/>
      <c r="E20" s="58"/>
      <c r="F20" s="57"/>
    </row>
    <row r="21" spans="1:7" ht="12.75" customHeight="1">
      <c r="A21" s="61"/>
      <c r="B21" s="60"/>
      <c r="C21" s="59"/>
      <c r="D21" s="58"/>
      <c r="E21" s="58"/>
      <c r="F21" s="57"/>
    </row>
    <row r="22" spans="1:7" ht="12.75" customHeight="1"/>
    <row r="23" spans="1:7" ht="12.75" customHeight="1"/>
    <row r="24" spans="1:7" ht="12.75" customHeight="1">
      <c r="E24" s="54"/>
      <c r="F24" s="54"/>
      <c r="G24" s="54"/>
    </row>
    <row r="25" spans="1:7" ht="12.75" customHeight="1">
      <c r="E25" s="51" t="s">
        <v>88</v>
      </c>
      <c r="F25" s="56"/>
      <c r="G25" s="56"/>
    </row>
    <row r="26" spans="1:7" ht="12.75" customHeight="1">
      <c r="E26" s="51" t="s">
        <v>52</v>
      </c>
      <c r="F26" s="56"/>
      <c r="G26" s="56"/>
    </row>
    <row r="27" spans="1:7" ht="23.25">
      <c r="E27" s="51" t="s">
        <v>105</v>
      </c>
      <c r="F27" s="54"/>
      <c r="G27" s="54"/>
    </row>
    <row r="28" spans="1:7" ht="12.75" customHeight="1">
      <c r="E28" s="55"/>
      <c r="F28" s="54"/>
      <c r="G28" s="54"/>
    </row>
    <row r="29" spans="1:7" ht="12.75" customHeight="1">
      <c r="F29" s="54"/>
      <c r="G29" s="54"/>
    </row>
    <row r="30" spans="1:7" ht="12.75" customHeight="1">
      <c r="F30" s="54"/>
      <c r="G30" s="54"/>
    </row>
    <row r="31" spans="1:7" ht="12.75" customHeight="1">
      <c r="E31" s="53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51"/>
    </row>
    <row r="48" spans="5:5">
      <c r="E48" s="52"/>
    </row>
    <row r="49" spans="5:5">
      <c r="E49" s="51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pageSetUpPr fitToPage="1"/>
  </sheetPr>
  <dimension ref="A1:L39"/>
  <sheetViews>
    <sheetView showGridLines="0" showRowColHeaders="0" zoomScaleNormal="100" workbookViewId="0">
      <selection activeCell="J26" sqref="J26"/>
    </sheetView>
  </sheetViews>
  <sheetFormatPr baseColWidth="10" defaultRowHeight="12.75"/>
  <cols>
    <col min="1" max="1" width="0.140625" style="31" customWidth="1"/>
    <col min="2" max="2" width="2.5703125" style="31" customWidth="1"/>
    <col min="3" max="3" width="23.5703125" style="31" customWidth="1"/>
    <col min="4" max="4" width="1.42578125" style="31" customWidth="1"/>
    <col min="5" max="5" width="58.85546875" style="31" customWidth="1"/>
    <col min="6" max="6" width="11.42578125" style="30"/>
    <col min="7" max="7" width="19.85546875" style="30" customWidth="1"/>
    <col min="8" max="9" width="11.42578125" style="30"/>
    <col min="10" max="10" width="11" style="30" bestFit="1" customWidth="1"/>
    <col min="11" max="253" width="11.42578125" style="30"/>
    <col min="254" max="254" width="0.140625" style="30" customWidth="1"/>
    <col min="255" max="255" width="2.5703125" style="30" customWidth="1"/>
    <col min="256" max="256" width="18.5703125" style="30" customWidth="1"/>
    <col min="257" max="257" width="1.42578125" style="30" customWidth="1"/>
    <col min="258" max="258" width="58.85546875" style="30" customWidth="1"/>
    <col min="259" max="260" width="11.42578125" style="30"/>
    <col min="261" max="261" width="2.140625" style="30" customWidth="1"/>
    <col min="262" max="262" width="11.42578125" style="30"/>
    <col min="263" max="263" width="9.5703125" style="30" customWidth="1"/>
    <col min="264" max="509" width="11.42578125" style="30"/>
    <col min="510" max="510" width="0.140625" style="30" customWidth="1"/>
    <col min="511" max="511" width="2.5703125" style="30" customWidth="1"/>
    <col min="512" max="512" width="18.5703125" style="30" customWidth="1"/>
    <col min="513" max="513" width="1.42578125" style="30" customWidth="1"/>
    <col min="514" max="514" width="58.85546875" style="30" customWidth="1"/>
    <col min="515" max="516" width="11.42578125" style="30"/>
    <col min="517" max="517" width="2.140625" style="30" customWidth="1"/>
    <col min="518" max="518" width="11.42578125" style="30"/>
    <col min="519" max="519" width="9.5703125" style="30" customWidth="1"/>
    <col min="520" max="765" width="11.42578125" style="30"/>
    <col min="766" max="766" width="0.140625" style="30" customWidth="1"/>
    <col min="767" max="767" width="2.5703125" style="30" customWidth="1"/>
    <col min="768" max="768" width="18.5703125" style="30" customWidth="1"/>
    <col min="769" max="769" width="1.42578125" style="30" customWidth="1"/>
    <col min="770" max="770" width="58.85546875" style="30" customWidth="1"/>
    <col min="771" max="772" width="11.42578125" style="30"/>
    <col min="773" max="773" width="2.140625" style="30" customWidth="1"/>
    <col min="774" max="774" width="11.42578125" style="30"/>
    <col min="775" max="775" width="9.5703125" style="30" customWidth="1"/>
    <col min="776" max="1021" width="11.42578125" style="30"/>
    <col min="1022" max="1022" width="0.140625" style="30" customWidth="1"/>
    <col min="1023" max="1023" width="2.5703125" style="30" customWidth="1"/>
    <col min="1024" max="1024" width="18.5703125" style="30" customWidth="1"/>
    <col min="1025" max="1025" width="1.42578125" style="30" customWidth="1"/>
    <col min="1026" max="1026" width="58.85546875" style="30" customWidth="1"/>
    <col min="1027" max="1028" width="11.42578125" style="30"/>
    <col min="1029" max="1029" width="2.140625" style="30" customWidth="1"/>
    <col min="1030" max="1030" width="11.42578125" style="30"/>
    <col min="1031" max="1031" width="9.5703125" style="30" customWidth="1"/>
    <col min="1032" max="1277" width="11.42578125" style="30"/>
    <col min="1278" max="1278" width="0.140625" style="30" customWidth="1"/>
    <col min="1279" max="1279" width="2.5703125" style="30" customWidth="1"/>
    <col min="1280" max="1280" width="18.5703125" style="30" customWidth="1"/>
    <col min="1281" max="1281" width="1.42578125" style="30" customWidth="1"/>
    <col min="1282" max="1282" width="58.85546875" style="30" customWidth="1"/>
    <col min="1283" max="1284" width="11.42578125" style="30"/>
    <col min="1285" max="1285" width="2.140625" style="30" customWidth="1"/>
    <col min="1286" max="1286" width="11.42578125" style="30"/>
    <col min="1287" max="1287" width="9.5703125" style="30" customWidth="1"/>
    <col min="1288" max="1533" width="11.42578125" style="30"/>
    <col min="1534" max="1534" width="0.140625" style="30" customWidth="1"/>
    <col min="1535" max="1535" width="2.5703125" style="30" customWidth="1"/>
    <col min="1536" max="1536" width="18.5703125" style="30" customWidth="1"/>
    <col min="1537" max="1537" width="1.42578125" style="30" customWidth="1"/>
    <col min="1538" max="1538" width="58.85546875" style="30" customWidth="1"/>
    <col min="1539" max="1540" width="11.42578125" style="30"/>
    <col min="1541" max="1541" width="2.140625" style="30" customWidth="1"/>
    <col min="1542" max="1542" width="11.42578125" style="30"/>
    <col min="1543" max="1543" width="9.5703125" style="30" customWidth="1"/>
    <col min="1544" max="1789" width="11.42578125" style="30"/>
    <col min="1790" max="1790" width="0.140625" style="30" customWidth="1"/>
    <col min="1791" max="1791" width="2.5703125" style="30" customWidth="1"/>
    <col min="1792" max="1792" width="18.5703125" style="30" customWidth="1"/>
    <col min="1793" max="1793" width="1.42578125" style="30" customWidth="1"/>
    <col min="1794" max="1794" width="58.85546875" style="30" customWidth="1"/>
    <col min="1795" max="1796" width="11.42578125" style="30"/>
    <col min="1797" max="1797" width="2.140625" style="30" customWidth="1"/>
    <col min="1798" max="1798" width="11.42578125" style="30"/>
    <col min="1799" max="1799" width="9.5703125" style="30" customWidth="1"/>
    <col min="1800" max="2045" width="11.42578125" style="30"/>
    <col min="2046" max="2046" width="0.140625" style="30" customWidth="1"/>
    <col min="2047" max="2047" width="2.5703125" style="30" customWidth="1"/>
    <col min="2048" max="2048" width="18.5703125" style="30" customWidth="1"/>
    <col min="2049" max="2049" width="1.42578125" style="30" customWidth="1"/>
    <col min="2050" max="2050" width="58.85546875" style="30" customWidth="1"/>
    <col min="2051" max="2052" width="11.42578125" style="30"/>
    <col min="2053" max="2053" width="2.140625" style="30" customWidth="1"/>
    <col min="2054" max="2054" width="11.42578125" style="30"/>
    <col min="2055" max="2055" width="9.5703125" style="30" customWidth="1"/>
    <col min="2056" max="2301" width="11.42578125" style="30"/>
    <col min="2302" max="2302" width="0.140625" style="30" customWidth="1"/>
    <col min="2303" max="2303" width="2.5703125" style="30" customWidth="1"/>
    <col min="2304" max="2304" width="18.5703125" style="30" customWidth="1"/>
    <col min="2305" max="2305" width="1.42578125" style="30" customWidth="1"/>
    <col min="2306" max="2306" width="58.85546875" style="30" customWidth="1"/>
    <col min="2307" max="2308" width="11.42578125" style="30"/>
    <col min="2309" max="2309" width="2.140625" style="30" customWidth="1"/>
    <col min="2310" max="2310" width="11.42578125" style="30"/>
    <col min="2311" max="2311" width="9.5703125" style="30" customWidth="1"/>
    <col min="2312" max="2557" width="11.42578125" style="30"/>
    <col min="2558" max="2558" width="0.140625" style="30" customWidth="1"/>
    <col min="2559" max="2559" width="2.5703125" style="30" customWidth="1"/>
    <col min="2560" max="2560" width="18.5703125" style="30" customWidth="1"/>
    <col min="2561" max="2561" width="1.42578125" style="30" customWidth="1"/>
    <col min="2562" max="2562" width="58.85546875" style="30" customWidth="1"/>
    <col min="2563" max="2564" width="11.42578125" style="30"/>
    <col min="2565" max="2565" width="2.140625" style="30" customWidth="1"/>
    <col min="2566" max="2566" width="11.42578125" style="30"/>
    <col min="2567" max="2567" width="9.5703125" style="30" customWidth="1"/>
    <col min="2568" max="2813" width="11.42578125" style="30"/>
    <col min="2814" max="2814" width="0.140625" style="30" customWidth="1"/>
    <col min="2815" max="2815" width="2.5703125" style="30" customWidth="1"/>
    <col min="2816" max="2816" width="18.5703125" style="30" customWidth="1"/>
    <col min="2817" max="2817" width="1.42578125" style="30" customWidth="1"/>
    <col min="2818" max="2818" width="58.85546875" style="30" customWidth="1"/>
    <col min="2819" max="2820" width="11.42578125" style="30"/>
    <col min="2821" max="2821" width="2.140625" style="30" customWidth="1"/>
    <col min="2822" max="2822" width="11.42578125" style="30"/>
    <col min="2823" max="2823" width="9.5703125" style="30" customWidth="1"/>
    <col min="2824" max="3069" width="11.42578125" style="30"/>
    <col min="3070" max="3070" width="0.140625" style="30" customWidth="1"/>
    <col min="3071" max="3071" width="2.5703125" style="30" customWidth="1"/>
    <col min="3072" max="3072" width="18.5703125" style="30" customWidth="1"/>
    <col min="3073" max="3073" width="1.42578125" style="30" customWidth="1"/>
    <col min="3074" max="3074" width="58.85546875" style="30" customWidth="1"/>
    <col min="3075" max="3076" width="11.42578125" style="30"/>
    <col min="3077" max="3077" width="2.140625" style="30" customWidth="1"/>
    <col min="3078" max="3078" width="11.42578125" style="30"/>
    <col min="3079" max="3079" width="9.5703125" style="30" customWidth="1"/>
    <col min="3080" max="3325" width="11.42578125" style="30"/>
    <col min="3326" max="3326" width="0.140625" style="30" customWidth="1"/>
    <col min="3327" max="3327" width="2.5703125" style="30" customWidth="1"/>
    <col min="3328" max="3328" width="18.5703125" style="30" customWidth="1"/>
    <col min="3329" max="3329" width="1.42578125" style="30" customWidth="1"/>
    <col min="3330" max="3330" width="58.85546875" style="30" customWidth="1"/>
    <col min="3331" max="3332" width="11.42578125" style="30"/>
    <col min="3333" max="3333" width="2.140625" style="30" customWidth="1"/>
    <col min="3334" max="3334" width="11.42578125" style="30"/>
    <col min="3335" max="3335" width="9.5703125" style="30" customWidth="1"/>
    <col min="3336" max="3581" width="11.42578125" style="30"/>
    <col min="3582" max="3582" width="0.140625" style="30" customWidth="1"/>
    <col min="3583" max="3583" width="2.5703125" style="30" customWidth="1"/>
    <col min="3584" max="3584" width="18.5703125" style="30" customWidth="1"/>
    <col min="3585" max="3585" width="1.42578125" style="30" customWidth="1"/>
    <col min="3586" max="3586" width="58.85546875" style="30" customWidth="1"/>
    <col min="3587" max="3588" width="11.42578125" style="30"/>
    <col min="3589" max="3589" width="2.140625" style="30" customWidth="1"/>
    <col min="3590" max="3590" width="11.42578125" style="30"/>
    <col min="3591" max="3591" width="9.5703125" style="30" customWidth="1"/>
    <col min="3592" max="3837" width="11.42578125" style="30"/>
    <col min="3838" max="3838" width="0.140625" style="30" customWidth="1"/>
    <col min="3839" max="3839" width="2.5703125" style="30" customWidth="1"/>
    <col min="3840" max="3840" width="18.5703125" style="30" customWidth="1"/>
    <col min="3841" max="3841" width="1.42578125" style="30" customWidth="1"/>
    <col min="3842" max="3842" width="58.85546875" style="30" customWidth="1"/>
    <col min="3843" max="3844" width="11.42578125" style="30"/>
    <col min="3845" max="3845" width="2.140625" style="30" customWidth="1"/>
    <col min="3846" max="3846" width="11.42578125" style="30"/>
    <col min="3847" max="3847" width="9.5703125" style="30" customWidth="1"/>
    <col min="3848" max="4093" width="11.42578125" style="30"/>
    <col min="4094" max="4094" width="0.140625" style="30" customWidth="1"/>
    <col min="4095" max="4095" width="2.5703125" style="30" customWidth="1"/>
    <col min="4096" max="4096" width="18.5703125" style="30" customWidth="1"/>
    <col min="4097" max="4097" width="1.42578125" style="30" customWidth="1"/>
    <col min="4098" max="4098" width="58.85546875" style="30" customWidth="1"/>
    <col min="4099" max="4100" width="11.42578125" style="30"/>
    <col min="4101" max="4101" width="2.140625" style="30" customWidth="1"/>
    <col min="4102" max="4102" width="11.42578125" style="30"/>
    <col min="4103" max="4103" width="9.5703125" style="30" customWidth="1"/>
    <col min="4104" max="4349" width="11.42578125" style="30"/>
    <col min="4350" max="4350" width="0.140625" style="30" customWidth="1"/>
    <col min="4351" max="4351" width="2.5703125" style="30" customWidth="1"/>
    <col min="4352" max="4352" width="18.5703125" style="30" customWidth="1"/>
    <col min="4353" max="4353" width="1.42578125" style="30" customWidth="1"/>
    <col min="4354" max="4354" width="58.85546875" style="30" customWidth="1"/>
    <col min="4355" max="4356" width="11.42578125" style="30"/>
    <col min="4357" max="4357" width="2.140625" style="30" customWidth="1"/>
    <col min="4358" max="4358" width="11.42578125" style="30"/>
    <col min="4359" max="4359" width="9.5703125" style="30" customWidth="1"/>
    <col min="4360" max="4605" width="11.42578125" style="30"/>
    <col min="4606" max="4606" width="0.140625" style="30" customWidth="1"/>
    <col min="4607" max="4607" width="2.5703125" style="30" customWidth="1"/>
    <col min="4608" max="4608" width="18.5703125" style="30" customWidth="1"/>
    <col min="4609" max="4609" width="1.42578125" style="30" customWidth="1"/>
    <col min="4610" max="4610" width="58.85546875" style="30" customWidth="1"/>
    <col min="4611" max="4612" width="11.42578125" style="30"/>
    <col min="4613" max="4613" width="2.140625" style="30" customWidth="1"/>
    <col min="4614" max="4614" width="11.42578125" style="30"/>
    <col min="4615" max="4615" width="9.5703125" style="30" customWidth="1"/>
    <col min="4616" max="4861" width="11.42578125" style="30"/>
    <col min="4862" max="4862" width="0.140625" style="30" customWidth="1"/>
    <col min="4863" max="4863" width="2.5703125" style="30" customWidth="1"/>
    <col min="4864" max="4864" width="18.5703125" style="30" customWidth="1"/>
    <col min="4865" max="4865" width="1.42578125" style="30" customWidth="1"/>
    <col min="4866" max="4866" width="58.85546875" style="30" customWidth="1"/>
    <col min="4867" max="4868" width="11.42578125" style="30"/>
    <col min="4869" max="4869" width="2.140625" style="30" customWidth="1"/>
    <col min="4870" max="4870" width="11.42578125" style="30"/>
    <col min="4871" max="4871" width="9.5703125" style="30" customWidth="1"/>
    <col min="4872" max="5117" width="11.42578125" style="30"/>
    <col min="5118" max="5118" width="0.140625" style="30" customWidth="1"/>
    <col min="5119" max="5119" width="2.5703125" style="30" customWidth="1"/>
    <col min="5120" max="5120" width="18.5703125" style="30" customWidth="1"/>
    <col min="5121" max="5121" width="1.42578125" style="30" customWidth="1"/>
    <col min="5122" max="5122" width="58.85546875" style="30" customWidth="1"/>
    <col min="5123" max="5124" width="11.42578125" style="30"/>
    <col min="5125" max="5125" width="2.140625" style="30" customWidth="1"/>
    <col min="5126" max="5126" width="11.42578125" style="30"/>
    <col min="5127" max="5127" width="9.5703125" style="30" customWidth="1"/>
    <col min="5128" max="5373" width="11.42578125" style="30"/>
    <col min="5374" max="5374" width="0.140625" style="30" customWidth="1"/>
    <col min="5375" max="5375" width="2.5703125" style="30" customWidth="1"/>
    <col min="5376" max="5376" width="18.5703125" style="30" customWidth="1"/>
    <col min="5377" max="5377" width="1.42578125" style="30" customWidth="1"/>
    <col min="5378" max="5378" width="58.85546875" style="30" customWidth="1"/>
    <col min="5379" max="5380" width="11.42578125" style="30"/>
    <col min="5381" max="5381" width="2.140625" style="30" customWidth="1"/>
    <col min="5382" max="5382" width="11.42578125" style="30"/>
    <col min="5383" max="5383" width="9.5703125" style="30" customWidth="1"/>
    <col min="5384" max="5629" width="11.42578125" style="30"/>
    <col min="5630" max="5630" width="0.140625" style="30" customWidth="1"/>
    <col min="5631" max="5631" width="2.5703125" style="30" customWidth="1"/>
    <col min="5632" max="5632" width="18.5703125" style="30" customWidth="1"/>
    <col min="5633" max="5633" width="1.42578125" style="30" customWidth="1"/>
    <col min="5634" max="5634" width="58.85546875" style="30" customWidth="1"/>
    <col min="5635" max="5636" width="11.42578125" style="30"/>
    <col min="5637" max="5637" width="2.140625" style="30" customWidth="1"/>
    <col min="5638" max="5638" width="11.42578125" style="30"/>
    <col min="5639" max="5639" width="9.5703125" style="30" customWidth="1"/>
    <col min="5640" max="5885" width="11.42578125" style="30"/>
    <col min="5886" max="5886" width="0.140625" style="30" customWidth="1"/>
    <col min="5887" max="5887" width="2.5703125" style="30" customWidth="1"/>
    <col min="5888" max="5888" width="18.5703125" style="30" customWidth="1"/>
    <col min="5889" max="5889" width="1.42578125" style="30" customWidth="1"/>
    <col min="5890" max="5890" width="58.85546875" style="30" customWidth="1"/>
    <col min="5891" max="5892" width="11.42578125" style="30"/>
    <col min="5893" max="5893" width="2.140625" style="30" customWidth="1"/>
    <col min="5894" max="5894" width="11.42578125" style="30"/>
    <col min="5895" max="5895" width="9.5703125" style="30" customWidth="1"/>
    <col min="5896" max="6141" width="11.42578125" style="30"/>
    <col min="6142" max="6142" width="0.140625" style="30" customWidth="1"/>
    <col min="6143" max="6143" width="2.5703125" style="30" customWidth="1"/>
    <col min="6144" max="6144" width="18.5703125" style="30" customWidth="1"/>
    <col min="6145" max="6145" width="1.42578125" style="30" customWidth="1"/>
    <col min="6146" max="6146" width="58.85546875" style="30" customWidth="1"/>
    <col min="6147" max="6148" width="11.42578125" style="30"/>
    <col min="6149" max="6149" width="2.140625" style="30" customWidth="1"/>
    <col min="6150" max="6150" width="11.42578125" style="30"/>
    <col min="6151" max="6151" width="9.5703125" style="30" customWidth="1"/>
    <col min="6152" max="6397" width="11.42578125" style="30"/>
    <col min="6398" max="6398" width="0.140625" style="30" customWidth="1"/>
    <col min="6399" max="6399" width="2.5703125" style="30" customWidth="1"/>
    <col min="6400" max="6400" width="18.5703125" style="30" customWidth="1"/>
    <col min="6401" max="6401" width="1.42578125" style="30" customWidth="1"/>
    <col min="6402" max="6402" width="58.85546875" style="30" customWidth="1"/>
    <col min="6403" max="6404" width="11.42578125" style="30"/>
    <col min="6405" max="6405" width="2.140625" style="30" customWidth="1"/>
    <col min="6406" max="6406" width="11.42578125" style="30"/>
    <col min="6407" max="6407" width="9.5703125" style="30" customWidth="1"/>
    <col min="6408" max="6653" width="11.42578125" style="30"/>
    <col min="6654" max="6654" width="0.140625" style="30" customWidth="1"/>
    <col min="6655" max="6655" width="2.5703125" style="30" customWidth="1"/>
    <col min="6656" max="6656" width="18.5703125" style="30" customWidth="1"/>
    <col min="6657" max="6657" width="1.42578125" style="30" customWidth="1"/>
    <col min="6658" max="6658" width="58.85546875" style="30" customWidth="1"/>
    <col min="6659" max="6660" width="11.42578125" style="30"/>
    <col min="6661" max="6661" width="2.140625" style="30" customWidth="1"/>
    <col min="6662" max="6662" width="11.42578125" style="30"/>
    <col min="6663" max="6663" width="9.5703125" style="30" customWidth="1"/>
    <col min="6664" max="6909" width="11.42578125" style="30"/>
    <col min="6910" max="6910" width="0.140625" style="30" customWidth="1"/>
    <col min="6911" max="6911" width="2.5703125" style="30" customWidth="1"/>
    <col min="6912" max="6912" width="18.5703125" style="30" customWidth="1"/>
    <col min="6913" max="6913" width="1.42578125" style="30" customWidth="1"/>
    <col min="6914" max="6914" width="58.85546875" style="30" customWidth="1"/>
    <col min="6915" max="6916" width="11.42578125" style="30"/>
    <col min="6917" max="6917" width="2.140625" style="30" customWidth="1"/>
    <col min="6918" max="6918" width="11.42578125" style="30"/>
    <col min="6919" max="6919" width="9.5703125" style="30" customWidth="1"/>
    <col min="6920" max="7165" width="11.42578125" style="30"/>
    <col min="7166" max="7166" width="0.140625" style="30" customWidth="1"/>
    <col min="7167" max="7167" width="2.5703125" style="30" customWidth="1"/>
    <col min="7168" max="7168" width="18.5703125" style="30" customWidth="1"/>
    <col min="7169" max="7169" width="1.42578125" style="30" customWidth="1"/>
    <col min="7170" max="7170" width="58.85546875" style="30" customWidth="1"/>
    <col min="7171" max="7172" width="11.42578125" style="30"/>
    <col min="7173" max="7173" width="2.140625" style="30" customWidth="1"/>
    <col min="7174" max="7174" width="11.42578125" style="30"/>
    <col min="7175" max="7175" width="9.5703125" style="30" customWidth="1"/>
    <col min="7176" max="7421" width="11.42578125" style="30"/>
    <col min="7422" max="7422" width="0.140625" style="30" customWidth="1"/>
    <col min="7423" max="7423" width="2.5703125" style="30" customWidth="1"/>
    <col min="7424" max="7424" width="18.5703125" style="30" customWidth="1"/>
    <col min="7425" max="7425" width="1.42578125" style="30" customWidth="1"/>
    <col min="7426" max="7426" width="58.85546875" style="30" customWidth="1"/>
    <col min="7427" max="7428" width="11.42578125" style="30"/>
    <col min="7429" max="7429" width="2.140625" style="30" customWidth="1"/>
    <col min="7430" max="7430" width="11.42578125" style="30"/>
    <col min="7431" max="7431" width="9.5703125" style="30" customWidth="1"/>
    <col min="7432" max="7677" width="11.42578125" style="30"/>
    <col min="7678" max="7678" width="0.140625" style="30" customWidth="1"/>
    <col min="7679" max="7679" width="2.5703125" style="30" customWidth="1"/>
    <col min="7680" max="7680" width="18.5703125" style="30" customWidth="1"/>
    <col min="7681" max="7681" width="1.42578125" style="30" customWidth="1"/>
    <col min="7682" max="7682" width="58.85546875" style="30" customWidth="1"/>
    <col min="7683" max="7684" width="11.42578125" style="30"/>
    <col min="7685" max="7685" width="2.140625" style="30" customWidth="1"/>
    <col min="7686" max="7686" width="11.42578125" style="30"/>
    <col min="7687" max="7687" width="9.5703125" style="30" customWidth="1"/>
    <col min="7688" max="7933" width="11.42578125" style="30"/>
    <col min="7934" max="7934" width="0.140625" style="30" customWidth="1"/>
    <col min="7935" max="7935" width="2.5703125" style="30" customWidth="1"/>
    <col min="7936" max="7936" width="18.5703125" style="30" customWidth="1"/>
    <col min="7937" max="7937" width="1.42578125" style="30" customWidth="1"/>
    <col min="7938" max="7938" width="58.85546875" style="30" customWidth="1"/>
    <col min="7939" max="7940" width="11.42578125" style="30"/>
    <col min="7941" max="7941" width="2.140625" style="30" customWidth="1"/>
    <col min="7942" max="7942" width="11.42578125" style="30"/>
    <col min="7943" max="7943" width="9.5703125" style="30" customWidth="1"/>
    <col min="7944" max="8189" width="11.42578125" style="30"/>
    <col min="8190" max="8190" width="0.140625" style="30" customWidth="1"/>
    <col min="8191" max="8191" width="2.5703125" style="30" customWidth="1"/>
    <col min="8192" max="8192" width="18.5703125" style="30" customWidth="1"/>
    <col min="8193" max="8193" width="1.42578125" style="30" customWidth="1"/>
    <col min="8194" max="8194" width="58.85546875" style="30" customWidth="1"/>
    <col min="8195" max="8196" width="11.42578125" style="30"/>
    <col min="8197" max="8197" width="2.140625" style="30" customWidth="1"/>
    <col min="8198" max="8198" width="11.42578125" style="30"/>
    <col min="8199" max="8199" width="9.5703125" style="30" customWidth="1"/>
    <col min="8200" max="8445" width="11.42578125" style="30"/>
    <col min="8446" max="8446" width="0.140625" style="30" customWidth="1"/>
    <col min="8447" max="8447" width="2.5703125" style="30" customWidth="1"/>
    <col min="8448" max="8448" width="18.5703125" style="30" customWidth="1"/>
    <col min="8449" max="8449" width="1.42578125" style="30" customWidth="1"/>
    <col min="8450" max="8450" width="58.85546875" style="30" customWidth="1"/>
    <col min="8451" max="8452" width="11.42578125" style="30"/>
    <col min="8453" max="8453" width="2.140625" style="30" customWidth="1"/>
    <col min="8454" max="8454" width="11.42578125" style="30"/>
    <col min="8455" max="8455" width="9.5703125" style="30" customWidth="1"/>
    <col min="8456" max="8701" width="11.42578125" style="30"/>
    <col min="8702" max="8702" width="0.140625" style="30" customWidth="1"/>
    <col min="8703" max="8703" width="2.5703125" style="30" customWidth="1"/>
    <col min="8704" max="8704" width="18.5703125" style="30" customWidth="1"/>
    <col min="8705" max="8705" width="1.42578125" style="30" customWidth="1"/>
    <col min="8706" max="8706" width="58.85546875" style="30" customWidth="1"/>
    <col min="8707" max="8708" width="11.42578125" style="30"/>
    <col min="8709" max="8709" width="2.140625" style="30" customWidth="1"/>
    <col min="8710" max="8710" width="11.42578125" style="30"/>
    <col min="8711" max="8711" width="9.5703125" style="30" customWidth="1"/>
    <col min="8712" max="8957" width="11.42578125" style="30"/>
    <col min="8958" max="8958" width="0.140625" style="30" customWidth="1"/>
    <col min="8959" max="8959" width="2.5703125" style="30" customWidth="1"/>
    <col min="8960" max="8960" width="18.5703125" style="30" customWidth="1"/>
    <col min="8961" max="8961" width="1.42578125" style="30" customWidth="1"/>
    <col min="8962" max="8962" width="58.85546875" style="30" customWidth="1"/>
    <col min="8963" max="8964" width="11.42578125" style="30"/>
    <col min="8965" max="8965" width="2.140625" style="30" customWidth="1"/>
    <col min="8966" max="8966" width="11.42578125" style="30"/>
    <col min="8967" max="8967" width="9.5703125" style="30" customWidth="1"/>
    <col min="8968" max="9213" width="11.42578125" style="30"/>
    <col min="9214" max="9214" width="0.140625" style="30" customWidth="1"/>
    <col min="9215" max="9215" width="2.5703125" style="30" customWidth="1"/>
    <col min="9216" max="9216" width="18.5703125" style="30" customWidth="1"/>
    <col min="9217" max="9217" width="1.42578125" style="30" customWidth="1"/>
    <col min="9218" max="9218" width="58.85546875" style="30" customWidth="1"/>
    <col min="9219" max="9220" width="11.42578125" style="30"/>
    <col min="9221" max="9221" width="2.140625" style="30" customWidth="1"/>
    <col min="9222" max="9222" width="11.42578125" style="30"/>
    <col min="9223" max="9223" width="9.5703125" style="30" customWidth="1"/>
    <col min="9224" max="9469" width="11.42578125" style="30"/>
    <col min="9470" max="9470" width="0.140625" style="30" customWidth="1"/>
    <col min="9471" max="9471" width="2.5703125" style="30" customWidth="1"/>
    <col min="9472" max="9472" width="18.5703125" style="30" customWidth="1"/>
    <col min="9473" max="9473" width="1.42578125" style="30" customWidth="1"/>
    <col min="9474" max="9474" width="58.85546875" style="30" customWidth="1"/>
    <col min="9475" max="9476" width="11.42578125" style="30"/>
    <col min="9477" max="9477" width="2.140625" style="30" customWidth="1"/>
    <col min="9478" max="9478" width="11.42578125" style="30"/>
    <col min="9479" max="9479" width="9.5703125" style="30" customWidth="1"/>
    <col min="9480" max="9725" width="11.42578125" style="30"/>
    <col min="9726" max="9726" width="0.140625" style="30" customWidth="1"/>
    <col min="9727" max="9727" width="2.5703125" style="30" customWidth="1"/>
    <col min="9728" max="9728" width="18.5703125" style="30" customWidth="1"/>
    <col min="9729" max="9729" width="1.42578125" style="30" customWidth="1"/>
    <col min="9730" max="9730" width="58.85546875" style="30" customWidth="1"/>
    <col min="9731" max="9732" width="11.42578125" style="30"/>
    <col min="9733" max="9733" width="2.140625" style="30" customWidth="1"/>
    <col min="9734" max="9734" width="11.42578125" style="30"/>
    <col min="9735" max="9735" width="9.5703125" style="30" customWidth="1"/>
    <col min="9736" max="9981" width="11.42578125" style="30"/>
    <col min="9982" max="9982" width="0.140625" style="30" customWidth="1"/>
    <col min="9983" max="9983" width="2.5703125" style="30" customWidth="1"/>
    <col min="9984" max="9984" width="18.5703125" style="30" customWidth="1"/>
    <col min="9985" max="9985" width="1.42578125" style="30" customWidth="1"/>
    <col min="9986" max="9986" width="58.85546875" style="30" customWidth="1"/>
    <col min="9987" max="9988" width="11.42578125" style="30"/>
    <col min="9989" max="9989" width="2.140625" style="30" customWidth="1"/>
    <col min="9990" max="9990" width="11.42578125" style="30"/>
    <col min="9991" max="9991" width="9.5703125" style="30" customWidth="1"/>
    <col min="9992" max="10237" width="11.42578125" style="30"/>
    <col min="10238" max="10238" width="0.140625" style="30" customWidth="1"/>
    <col min="10239" max="10239" width="2.5703125" style="30" customWidth="1"/>
    <col min="10240" max="10240" width="18.5703125" style="30" customWidth="1"/>
    <col min="10241" max="10241" width="1.42578125" style="30" customWidth="1"/>
    <col min="10242" max="10242" width="58.85546875" style="30" customWidth="1"/>
    <col min="10243" max="10244" width="11.42578125" style="30"/>
    <col min="10245" max="10245" width="2.140625" style="30" customWidth="1"/>
    <col min="10246" max="10246" width="11.42578125" style="30"/>
    <col min="10247" max="10247" width="9.5703125" style="30" customWidth="1"/>
    <col min="10248" max="10493" width="11.42578125" style="30"/>
    <col min="10494" max="10494" width="0.140625" style="30" customWidth="1"/>
    <col min="10495" max="10495" width="2.5703125" style="30" customWidth="1"/>
    <col min="10496" max="10496" width="18.5703125" style="30" customWidth="1"/>
    <col min="10497" max="10497" width="1.42578125" style="30" customWidth="1"/>
    <col min="10498" max="10498" width="58.85546875" style="30" customWidth="1"/>
    <col min="10499" max="10500" width="11.42578125" style="30"/>
    <col min="10501" max="10501" width="2.140625" style="30" customWidth="1"/>
    <col min="10502" max="10502" width="11.42578125" style="30"/>
    <col min="10503" max="10503" width="9.5703125" style="30" customWidth="1"/>
    <col min="10504" max="10749" width="11.42578125" style="30"/>
    <col min="10750" max="10750" width="0.140625" style="30" customWidth="1"/>
    <col min="10751" max="10751" width="2.5703125" style="30" customWidth="1"/>
    <col min="10752" max="10752" width="18.5703125" style="30" customWidth="1"/>
    <col min="10753" max="10753" width="1.42578125" style="30" customWidth="1"/>
    <col min="10754" max="10754" width="58.85546875" style="30" customWidth="1"/>
    <col min="10755" max="10756" width="11.42578125" style="30"/>
    <col min="10757" max="10757" width="2.140625" style="30" customWidth="1"/>
    <col min="10758" max="10758" width="11.42578125" style="30"/>
    <col min="10759" max="10759" width="9.5703125" style="30" customWidth="1"/>
    <col min="10760" max="11005" width="11.42578125" style="30"/>
    <col min="11006" max="11006" width="0.140625" style="30" customWidth="1"/>
    <col min="11007" max="11007" width="2.5703125" style="30" customWidth="1"/>
    <col min="11008" max="11008" width="18.5703125" style="30" customWidth="1"/>
    <col min="11009" max="11009" width="1.42578125" style="30" customWidth="1"/>
    <col min="11010" max="11010" width="58.85546875" style="30" customWidth="1"/>
    <col min="11011" max="11012" width="11.42578125" style="30"/>
    <col min="11013" max="11013" width="2.140625" style="30" customWidth="1"/>
    <col min="11014" max="11014" width="11.42578125" style="30"/>
    <col min="11015" max="11015" width="9.5703125" style="30" customWidth="1"/>
    <col min="11016" max="11261" width="11.42578125" style="30"/>
    <col min="11262" max="11262" width="0.140625" style="30" customWidth="1"/>
    <col min="11263" max="11263" width="2.5703125" style="30" customWidth="1"/>
    <col min="11264" max="11264" width="18.5703125" style="30" customWidth="1"/>
    <col min="11265" max="11265" width="1.42578125" style="30" customWidth="1"/>
    <col min="11266" max="11266" width="58.85546875" style="30" customWidth="1"/>
    <col min="11267" max="11268" width="11.42578125" style="30"/>
    <col min="11269" max="11269" width="2.140625" style="30" customWidth="1"/>
    <col min="11270" max="11270" width="11.42578125" style="30"/>
    <col min="11271" max="11271" width="9.5703125" style="30" customWidth="1"/>
    <col min="11272" max="11517" width="11.42578125" style="30"/>
    <col min="11518" max="11518" width="0.140625" style="30" customWidth="1"/>
    <col min="11519" max="11519" width="2.5703125" style="30" customWidth="1"/>
    <col min="11520" max="11520" width="18.5703125" style="30" customWidth="1"/>
    <col min="11521" max="11521" width="1.42578125" style="30" customWidth="1"/>
    <col min="11522" max="11522" width="58.85546875" style="30" customWidth="1"/>
    <col min="11523" max="11524" width="11.42578125" style="30"/>
    <col min="11525" max="11525" width="2.140625" style="30" customWidth="1"/>
    <col min="11526" max="11526" width="11.42578125" style="30"/>
    <col min="11527" max="11527" width="9.5703125" style="30" customWidth="1"/>
    <col min="11528" max="11773" width="11.42578125" style="30"/>
    <col min="11774" max="11774" width="0.140625" style="30" customWidth="1"/>
    <col min="11775" max="11775" width="2.5703125" style="30" customWidth="1"/>
    <col min="11776" max="11776" width="18.5703125" style="30" customWidth="1"/>
    <col min="11777" max="11777" width="1.42578125" style="30" customWidth="1"/>
    <col min="11778" max="11778" width="58.85546875" style="30" customWidth="1"/>
    <col min="11779" max="11780" width="11.42578125" style="30"/>
    <col min="11781" max="11781" width="2.140625" style="30" customWidth="1"/>
    <col min="11782" max="11782" width="11.42578125" style="30"/>
    <col min="11783" max="11783" width="9.5703125" style="30" customWidth="1"/>
    <col min="11784" max="12029" width="11.42578125" style="30"/>
    <col min="12030" max="12030" width="0.140625" style="30" customWidth="1"/>
    <col min="12031" max="12031" width="2.5703125" style="30" customWidth="1"/>
    <col min="12032" max="12032" width="18.5703125" style="30" customWidth="1"/>
    <col min="12033" max="12033" width="1.42578125" style="30" customWidth="1"/>
    <col min="12034" max="12034" width="58.85546875" style="30" customWidth="1"/>
    <col min="12035" max="12036" width="11.42578125" style="30"/>
    <col min="12037" max="12037" width="2.140625" style="30" customWidth="1"/>
    <col min="12038" max="12038" width="11.42578125" style="30"/>
    <col min="12039" max="12039" width="9.5703125" style="30" customWidth="1"/>
    <col min="12040" max="12285" width="11.42578125" style="30"/>
    <col min="12286" max="12286" width="0.140625" style="30" customWidth="1"/>
    <col min="12287" max="12287" width="2.5703125" style="30" customWidth="1"/>
    <col min="12288" max="12288" width="18.5703125" style="30" customWidth="1"/>
    <col min="12289" max="12289" width="1.42578125" style="30" customWidth="1"/>
    <col min="12290" max="12290" width="58.85546875" style="30" customWidth="1"/>
    <col min="12291" max="12292" width="11.42578125" style="30"/>
    <col min="12293" max="12293" width="2.140625" style="30" customWidth="1"/>
    <col min="12294" max="12294" width="11.42578125" style="30"/>
    <col min="12295" max="12295" width="9.5703125" style="30" customWidth="1"/>
    <col min="12296" max="12541" width="11.42578125" style="30"/>
    <col min="12542" max="12542" width="0.140625" style="30" customWidth="1"/>
    <col min="12543" max="12543" width="2.5703125" style="30" customWidth="1"/>
    <col min="12544" max="12544" width="18.5703125" style="30" customWidth="1"/>
    <col min="12545" max="12545" width="1.42578125" style="30" customWidth="1"/>
    <col min="12546" max="12546" width="58.85546875" style="30" customWidth="1"/>
    <col min="12547" max="12548" width="11.42578125" style="30"/>
    <col min="12549" max="12549" width="2.140625" style="30" customWidth="1"/>
    <col min="12550" max="12550" width="11.42578125" style="30"/>
    <col min="12551" max="12551" width="9.5703125" style="30" customWidth="1"/>
    <col min="12552" max="12797" width="11.42578125" style="30"/>
    <col min="12798" max="12798" width="0.140625" style="30" customWidth="1"/>
    <col min="12799" max="12799" width="2.5703125" style="30" customWidth="1"/>
    <col min="12800" max="12800" width="18.5703125" style="30" customWidth="1"/>
    <col min="12801" max="12801" width="1.42578125" style="30" customWidth="1"/>
    <col min="12802" max="12802" width="58.85546875" style="30" customWidth="1"/>
    <col min="12803" max="12804" width="11.42578125" style="30"/>
    <col min="12805" max="12805" width="2.140625" style="30" customWidth="1"/>
    <col min="12806" max="12806" width="11.42578125" style="30"/>
    <col min="12807" max="12807" width="9.5703125" style="30" customWidth="1"/>
    <col min="12808" max="13053" width="11.42578125" style="30"/>
    <col min="13054" max="13054" width="0.140625" style="30" customWidth="1"/>
    <col min="13055" max="13055" width="2.5703125" style="30" customWidth="1"/>
    <col min="13056" max="13056" width="18.5703125" style="30" customWidth="1"/>
    <col min="13057" max="13057" width="1.42578125" style="30" customWidth="1"/>
    <col min="13058" max="13058" width="58.85546875" style="30" customWidth="1"/>
    <col min="13059" max="13060" width="11.42578125" style="30"/>
    <col min="13061" max="13061" width="2.140625" style="30" customWidth="1"/>
    <col min="13062" max="13062" width="11.42578125" style="30"/>
    <col min="13063" max="13063" width="9.5703125" style="30" customWidth="1"/>
    <col min="13064" max="13309" width="11.42578125" style="30"/>
    <col min="13310" max="13310" width="0.140625" style="30" customWidth="1"/>
    <col min="13311" max="13311" width="2.5703125" style="30" customWidth="1"/>
    <col min="13312" max="13312" width="18.5703125" style="30" customWidth="1"/>
    <col min="13313" max="13313" width="1.42578125" style="30" customWidth="1"/>
    <col min="13314" max="13314" width="58.85546875" style="30" customWidth="1"/>
    <col min="13315" max="13316" width="11.42578125" style="30"/>
    <col min="13317" max="13317" width="2.140625" style="30" customWidth="1"/>
    <col min="13318" max="13318" width="11.42578125" style="30"/>
    <col min="13319" max="13319" width="9.5703125" style="30" customWidth="1"/>
    <col min="13320" max="13565" width="11.42578125" style="30"/>
    <col min="13566" max="13566" width="0.140625" style="30" customWidth="1"/>
    <col min="13567" max="13567" width="2.5703125" style="30" customWidth="1"/>
    <col min="13568" max="13568" width="18.5703125" style="30" customWidth="1"/>
    <col min="13569" max="13569" width="1.42578125" style="30" customWidth="1"/>
    <col min="13570" max="13570" width="58.85546875" style="30" customWidth="1"/>
    <col min="13571" max="13572" width="11.42578125" style="30"/>
    <col min="13573" max="13573" width="2.140625" style="30" customWidth="1"/>
    <col min="13574" max="13574" width="11.42578125" style="30"/>
    <col min="13575" max="13575" width="9.5703125" style="30" customWidth="1"/>
    <col min="13576" max="13821" width="11.42578125" style="30"/>
    <col min="13822" max="13822" width="0.140625" style="30" customWidth="1"/>
    <col min="13823" max="13823" width="2.5703125" style="30" customWidth="1"/>
    <col min="13824" max="13824" width="18.5703125" style="30" customWidth="1"/>
    <col min="13825" max="13825" width="1.42578125" style="30" customWidth="1"/>
    <col min="13826" max="13826" width="58.85546875" style="30" customWidth="1"/>
    <col min="13827" max="13828" width="11.42578125" style="30"/>
    <col min="13829" max="13829" width="2.140625" style="30" customWidth="1"/>
    <col min="13830" max="13830" width="11.42578125" style="30"/>
    <col min="13831" max="13831" width="9.5703125" style="30" customWidth="1"/>
    <col min="13832" max="14077" width="11.42578125" style="30"/>
    <col min="14078" max="14078" width="0.140625" style="30" customWidth="1"/>
    <col min="14079" max="14079" width="2.5703125" style="30" customWidth="1"/>
    <col min="14080" max="14080" width="18.5703125" style="30" customWidth="1"/>
    <col min="14081" max="14081" width="1.42578125" style="30" customWidth="1"/>
    <col min="14082" max="14082" width="58.85546875" style="30" customWidth="1"/>
    <col min="14083" max="14084" width="11.42578125" style="30"/>
    <col min="14085" max="14085" width="2.140625" style="30" customWidth="1"/>
    <col min="14086" max="14086" width="11.42578125" style="30"/>
    <col min="14087" max="14087" width="9.5703125" style="30" customWidth="1"/>
    <col min="14088" max="14333" width="11.42578125" style="30"/>
    <col min="14334" max="14334" width="0.140625" style="30" customWidth="1"/>
    <col min="14335" max="14335" width="2.5703125" style="30" customWidth="1"/>
    <col min="14336" max="14336" width="18.5703125" style="30" customWidth="1"/>
    <col min="14337" max="14337" width="1.42578125" style="30" customWidth="1"/>
    <col min="14338" max="14338" width="58.85546875" style="30" customWidth="1"/>
    <col min="14339" max="14340" width="11.42578125" style="30"/>
    <col min="14341" max="14341" width="2.140625" style="30" customWidth="1"/>
    <col min="14342" max="14342" width="11.42578125" style="30"/>
    <col min="14343" max="14343" width="9.5703125" style="30" customWidth="1"/>
    <col min="14344" max="14589" width="11.42578125" style="30"/>
    <col min="14590" max="14590" width="0.140625" style="30" customWidth="1"/>
    <col min="14591" max="14591" width="2.5703125" style="30" customWidth="1"/>
    <col min="14592" max="14592" width="18.5703125" style="30" customWidth="1"/>
    <col min="14593" max="14593" width="1.42578125" style="30" customWidth="1"/>
    <col min="14594" max="14594" width="58.85546875" style="30" customWidth="1"/>
    <col min="14595" max="14596" width="11.42578125" style="30"/>
    <col min="14597" max="14597" width="2.140625" style="30" customWidth="1"/>
    <col min="14598" max="14598" width="11.42578125" style="30"/>
    <col min="14599" max="14599" width="9.5703125" style="30" customWidth="1"/>
    <col min="14600" max="14845" width="11.42578125" style="30"/>
    <col min="14846" max="14846" width="0.140625" style="30" customWidth="1"/>
    <col min="14847" max="14847" width="2.5703125" style="30" customWidth="1"/>
    <col min="14848" max="14848" width="18.5703125" style="30" customWidth="1"/>
    <col min="14849" max="14849" width="1.42578125" style="30" customWidth="1"/>
    <col min="14850" max="14850" width="58.85546875" style="30" customWidth="1"/>
    <col min="14851" max="14852" width="11.42578125" style="30"/>
    <col min="14853" max="14853" width="2.140625" style="30" customWidth="1"/>
    <col min="14854" max="14854" width="11.42578125" style="30"/>
    <col min="14855" max="14855" width="9.5703125" style="30" customWidth="1"/>
    <col min="14856" max="15101" width="11.42578125" style="30"/>
    <col min="15102" max="15102" width="0.140625" style="30" customWidth="1"/>
    <col min="15103" max="15103" width="2.5703125" style="30" customWidth="1"/>
    <col min="15104" max="15104" width="18.5703125" style="30" customWidth="1"/>
    <col min="15105" max="15105" width="1.42578125" style="30" customWidth="1"/>
    <col min="15106" max="15106" width="58.85546875" style="30" customWidth="1"/>
    <col min="15107" max="15108" width="11.42578125" style="30"/>
    <col min="15109" max="15109" width="2.140625" style="30" customWidth="1"/>
    <col min="15110" max="15110" width="11.42578125" style="30"/>
    <col min="15111" max="15111" width="9.5703125" style="30" customWidth="1"/>
    <col min="15112" max="15357" width="11.42578125" style="30"/>
    <col min="15358" max="15358" width="0.140625" style="30" customWidth="1"/>
    <col min="15359" max="15359" width="2.5703125" style="30" customWidth="1"/>
    <col min="15360" max="15360" width="18.5703125" style="30" customWidth="1"/>
    <col min="15361" max="15361" width="1.42578125" style="30" customWidth="1"/>
    <col min="15362" max="15362" width="58.85546875" style="30" customWidth="1"/>
    <col min="15363" max="15364" width="11.42578125" style="30"/>
    <col min="15365" max="15365" width="2.140625" style="30" customWidth="1"/>
    <col min="15366" max="15366" width="11.42578125" style="30"/>
    <col min="15367" max="15367" width="9.5703125" style="30" customWidth="1"/>
    <col min="15368" max="15613" width="11.42578125" style="30"/>
    <col min="15614" max="15614" width="0.140625" style="30" customWidth="1"/>
    <col min="15615" max="15615" width="2.5703125" style="30" customWidth="1"/>
    <col min="15616" max="15616" width="18.5703125" style="30" customWidth="1"/>
    <col min="15617" max="15617" width="1.42578125" style="30" customWidth="1"/>
    <col min="15618" max="15618" width="58.85546875" style="30" customWidth="1"/>
    <col min="15619" max="15620" width="11.42578125" style="30"/>
    <col min="15621" max="15621" width="2.140625" style="30" customWidth="1"/>
    <col min="15622" max="15622" width="11.42578125" style="30"/>
    <col min="15623" max="15623" width="9.5703125" style="30" customWidth="1"/>
    <col min="15624" max="15869" width="11.42578125" style="30"/>
    <col min="15870" max="15870" width="0.140625" style="30" customWidth="1"/>
    <col min="15871" max="15871" width="2.5703125" style="30" customWidth="1"/>
    <col min="15872" max="15872" width="18.5703125" style="30" customWidth="1"/>
    <col min="15873" max="15873" width="1.42578125" style="30" customWidth="1"/>
    <col min="15874" max="15874" width="58.85546875" style="30" customWidth="1"/>
    <col min="15875" max="15876" width="11.42578125" style="30"/>
    <col min="15877" max="15877" width="2.140625" style="30" customWidth="1"/>
    <col min="15878" max="15878" width="11.42578125" style="30"/>
    <col min="15879" max="15879" width="9.5703125" style="30" customWidth="1"/>
    <col min="15880" max="16125" width="11.42578125" style="30"/>
    <col min="16126" max="16126" width="0.140625" style="30" customWidth="1"/>
    <col min="16127" max="16127" width="2.5703125" style="30" customWidth="1"/>
    <col min="16128" max="16128" width="18.5703125" style="30" customWidth="1"/>
    <col min="16129" max="16129" width="1.42578125" style="30" customWidth="1"/>
    <col min="16130" max="16130" width="58.85546875" style="30" customWidth="1"/>
    <col min="16131" max="16132" width="11.42578125" style="30"/>
    <col min="16133" max="16133" width="2.140625" style="30" customWidth="1"/>
    <col min="16134" max="16134" width="11.42578125" style="30"/>
    <col min="16135" max="16135" width="9.5703125" style="30" customWidth="1"/>
    <col min="16136" max="16384" width="11.42578125" style="30"/>
  </cols>
  <sheetData>
    <row r="1" spans="2:12" s="31" customFormat="1" ht="0.75" customHeight="1"/>
    <row r="2" spans="2:12" s="31" customFormat="1" ht="21" customHeight="1">
      <c r="E2" s="29" t="s">
        <v>19</v>
      </c>
    </row>
    <row r="3" spans="2:12" s="31" customFormat="1" ht="15" customHeight="1">
      <c r="E3" s="46" t="str">
        <f>Indice!E3</f>
        <v>Junio 2023</v>
      </c>
    </row>
    <row r="4" spans="2:12" s="33" customFormat="1" ht="20.25" customHeight="1">
      <c r="B4" s="41"/>
      <c r="C4" s="27" t="s">
        <v>46</v>
      </c>
    </row>
    <row r="5" spans="2:12" s="33" customFormat="1" ht="12.75" customHeight="1">
      <c r="B5" s="41"/>
      <c r="C5" s="45"/>
    </row>
    <row r="6" spans="2:12" s="33" customFormat="1" ht="13.5" customHeight="1">
      <c r="B6" s="41"/>
      <c r="C6" s="40"/>
      <c r="D6" s="39"/>
      <c r="E6" s="39"/>
    </row>
    <row r="7" spans="2:12" s="33" customFormat="1" ht="12.75" customHeight="1">
      <c r="B7" s="41"/>
      <c r="C7" s="197" t="s">
        <v>35</v>
      </c>
      <c r="D7" s="39"/>
      <c r="E7" s="43"/>
    </row>
    <row r="8" spans="2:12" s="33" customFormat="1" ht="12.75" customHeight="1">
      <c r="B8" s="41"/>
      <c r="C8" s="197"/>
      <c r="D8" s="39"/>
      <c r="E8" s="43"/>
      <c r="F8" s="47"/>
      <c r="J8" s="32"/>
      <c r="K8" s="32"/>
      <c r="L8" s="32"/>
    </row>
    <row r="9" spans="2:12" s="33" customFormat="1" ht="12.75" customHeight="1">
      <c r="B9" s="41"/>
      <c r="C9" s="44"/>
      <c r="D9" s="39"/>
      <c r="E9" s="43"/>
      <c r="F9" s="47"/>
      <c r="J9" s="32"/>
      <c r="K9" s="81"/>
      <c r="L9" s="82"/>
    </row>
    <row r="10" spans="2:12" s="33" customFormat="1" ht="12.75" customHeight="1">
      <c r="B10" s="41"/>
      <c r="C10" s="34"/>
      <c r="D10" s="39"/>
      <c r="E10" s="43"/>
      <c r="F10" s="47"/>
      <c r="J10" s="32"/>
      <c r="K10" s="83"/>
      <c r="L10" s="80"/>
    </row>
    <row r="11" spans="2:12" s="33" customFormat="1" ht="12.75" customHeight="1">
      <c r="B11" s="41"/>
      <c r="D11" s="39"/>
      <c r="E11" s="39"/>
      <c r="F11" s="47"/>
      <c r="J11" s="32"/>
      <c r="K11" s="83"/>
      <c r="L11" s="80"/>
    </row>
    <row r="12" spans="2:12" s="33" customFormat="1" ht="12.75" customHeight="1">
      <c r="B12" s="41"/>
      <c r="C12" s="42"/>
      <c r="D12" s="39"/>
      <c r="E12" s="39"/>
      <c r="F12" s="47"/>
      <c r="J12" s="32"/>
    </row>
    <row r="13" spans="2:12" s="33" customFormat="1" ht="12.75" customHeight="1">
      <c r="B13" s="41"/>
      <c r="C13" s="42"/>
      <c r="D13" s="39"/>
      <c r="E13" s="39"/>
      <c r="J13" s="32"/>
      <c r="K13" s="32"/>
      <c r="L13" s="32"/>
    </row>
    <row r="14" spans="2:12" s="33" customFormat="1" ht="12.75" customHeight="1">
      <c r="B14" s="41"/>
      <c r="C14" s="42"/>
      <c r="D14" s="39"/>
      <c r="E14" s="39"/>
      <c r="F14" s="148"/>
    </row>
    <row r="15" spans="2:12" s="33" customFormat="1" ht="12.75" customHeight="1">
      <c r="B15" s="41"/>
      <c r="C15" s="42"/>
      <c r="D15" s="39"/>
      <c r="E15" s="39"/>
      <c r="F15" s="47"/>
    </row>
    <row r="16" spans="2:12" s="33" customFormat="1" ht="12.75" customHeight="1">
      <c r="B16" s="41"/>
      <c r="D16" s="39"/>
      <c r="E16" s="39"/>
      <c r="F16" s="47"/>
      <c r="J16" s="32"/>
      <c r="K16" s="32"/>
      <c r="L16" s="32"/>
    </row>
    <row r="17" spans="2:12" s="33" customFormat="1" ht="12.75" customHeight="1">
      <c r="B17" s="41"/>
      <c r="D17" s="39"/>
      <c r="E17" s="39"/>
      <c r="F17" s="47"/>
      <c r="J17" s="32"/>
      <c r="K17" s="32"/>
      <c r="L17" s="32"/>
    </row>
    <row r="18" spans="2:12" s="33" customFormat="1" ht="12.75" customHeight="1">
      <c r="B18" s="41"/>
      <c r="D18" s="39"/>
      <c r="E18" s="39"/>
      <c r="F18" s="150"/>
      <c r="J18" s="32"/>
      <c r="K18" s="32"/>
      <c r="L18" s="32"/>
    </row>
    <row r="19" spans="2:12" s="33" customFormat="1" ht="12.75" customHeight="1">
      <c r="B19" s="41"/>
      <c r="C19" s="42"/>
      <c r="D19" s="39"/>
      <c r="E19" s="39"/>
      <c r="F19" s="47"/>
      <c r="J19" s="32"/>
      <c r="K19" s="32"/>
      <c r="L19" s="32"/>
    </row>
    <row r="20" spans="2:12" s="33" customFormat="1" ht="12.75" customHeight="1">
      <c r="B20" s="41"/>
      <c r="C20" s="40"/>
      <c r="D20" s="39"/>
      <c r="E20" s="39"/>
      <c r="F20" s="47"/>
      <c r="J20" s="32"/>
      <c r="K20" s="32"/>
    </row>
    <row r="21" spans="2:12" s="33" customFormat="1" ht="12.75" customHeight="1">
      <c r="B21" s="41"/>
      <c r="C21" s="40"/>
      <c r="D21" s="39"/>
      <c r="E21" s="39"/>
      <c r="F21" s="47"/>
      <c r="J21" s="32"/>
      <c r="K21" s="32"/>
    </row>
    <row r="22" spans="2:12" s="33" customFormat="1" ht="12.75" customHeight="1">
      <c r="B22" s="41"/>
      <c r="C22" s="40"/>
      <c r="D22" s="39"/>
      <c r="E22" s="39"/>
      <c r="J22" s="32"/>
      <c r="K22" s="32"/>
    </row>
    <row r="23" spans="2:12">
      <c r="E23" s="38"/>
      <c r="J23" s="33"/>
      <c r="K23" s="33"/>
    </row>
    <row r="24" spans="2:12" ht="12.75" customHeight="1">
      <c r="C24" s="197" t="s">
        <v>49</v>
      </c>
      <c r="E24" s="37"/>
      <c r="J24" s="33"/>
      <c r="K24" s="33"/>
    </row>
    <row r="25" spans="2:12">
      <c r="C25" s="197"/>
      <c r="E25" s="36"/>
      <c r="J25" s="32"/>
      <c r="K25" s="32"/>
    </row>
    <row r="26" spans="2:12" ht="12.75" customHeight="1">
      <c r="C26" s="35"/>
      <c r="J26" s="81"/>
      <c r="K26" s="82"/>
    </row>
    <row r="27" spans="2:12">
      <c r="C27" s="67"/>
      <c r="J27" s="83"/>
      <c r="K27" s="80"/>
    </row>
    <row r="28" spans="2:12">
      <c r="C28" s="67"/>
      <c r="F28" s="47"/>
      <c r="J28" s="83"/>
      <c r="K28" s="80"/>
    </row>
    <row r="29" spans="2:12">
      <c r="C29" s="34"/>
      <c r="F29" s="47"/>
      <c r="J29" s="33"/>
      <c r="K29" s="33"/>
    </row>
    <row r="30" spans="2:12">
      <c r="F30" s="47"/>
      <c r="J30" s="32"/>
      <c r="K30" s="32"/>
    </row>
    <row r="31" spans="2:12">
      <c r="F31" s="47"/>
      <c r="J31" s="33"/>
      <c r="K31" s="33"/>
    </row>
    <row r="32" spans="2:12">
      <c r="F32" s="47"/>
      <c r="J32" s="33"/>
      <c r="K32" s="33"/>
    </row>
    <row r="33" spans="6:11">
      <c r="F33" s="47"/>
      <c r="J33" s="32"/>
      <c r="K33" s="32"/>
    </row>
    <row r="34" spans="6:11">
      <c r="F34" s="47"/>
      <c r="J34" s="32"/>
      <c r="K34" s="32"/>
    </row>
    <row r="35" spans="6:11">
      <c r="F35" s="47"/>
      <c r="J35" s="32"/>
      <c r="K35" s="32"/>
    </row>
    <row r="36" spans="6:11">
      <c r="F36" s="47"/>
      <c r="J36" s="32"/>
      <c r="K36" s="32"/>
    </row>
    <row r="37" spans="6:11">
      <c r="F37" s="47"/>
    </row>
    <row r="38" spans="6:11">
      <c r="F38" s="47"/>
    </row>
    <row r="39" spans="6:11">
      <c r="F39" s="47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T46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0" customWidth="1"/>
    <col min="2" max="2" width="2.5703125" style="50" customWidth="1"/>
    <col min="3" max="3" width="23.5703125" style="50" customWidth="1"/>
    <col min="4" max="4" width="1.42578125" style="50" customWidth="1"/>
    <col min="5" max="5" width="105.5703125" style="50" customWidth="1"/>
    <col min="6" max="6" width="10.5703125" style="50" customWidth="1"/>
    <col min="7" max="7" width="21" style="50" bestFit="1" customWidth="1"/>
    <col min="8" max="244" width="11.42578125" style="50"/>
    <col min="245" max="245" width="0.140625" style="50" customWidth="1"/>
    <col min="246" max="246" width="2.5703125" style="50" customWidth="1"/>
    <col min="247" max="247" width="18.5703125" style="50" customWidth="1"/>
    <col min="248" max="248" width="1.42578125" style="50" customWidth="1"/>
    <col min="249" max="249" width="30.5703125" style="50" customWidth="1"/>
    <col min="250" max="254" width="10.5703125" style="50" customWidth="1"/>
    <col min="255" max="500" width="11.42578125" style="50"/>
    <col min="501" max="501" width="0.140625" style="50" customWidth="1"/>
    <col min="502" max="502" width="2.5703125" style="50" customWidth="1"/>
    <col min="503" max="503" width="18.5703125" style="50" customWidth="1"/>
    <col min="504" max="504" width="1.42578125" style="50" customWidth="1"/>
    <col min="505" max="505" width="30.5703125" style="50" customWidth="1"/>
    <col min="506" max="510" width="10.5703125" style="50" customWidth="1"/>
    <col min="511" max="756" width="11.42578125" style="50"/>
    <col min="757" max="757" width="0.140625" style="50" customWidth="1"/>
    <col min="758" max="758" width="2.5703125" style="50" customWidth="1"/>
    <col min="759" max="759" width="18.5703125" style="50" customWidth="1"/>
    <col min="760" max="760" width="1.42578125" style="50" customWidth="1"/>
    <col min="761" max="761" width="30.5703125" style="50" customWidth="1"/>
    <col min="762" max="766" width="10.5703125" style="50" customWidth="1"/>
    <col min="767" max="1012" width="11.42578125" style="50"/>
    <col min="1013" max="1013" width="0.140625" style="50" customWidth="1"/>
    <col min="1014" max="1014" width="2.5703125" style="50" customWidth="1"/>
    <col min="1015" max="1015" width="18.5703125" style="50" customWidth="1"/>
    <col min="1016" max="1016" width="1.42578125" style="50" customWidth="1"/>
    <col min="1017" max="1017" width="30.5703125" style="50" customWidth="1"/>
    <col min="1018" max="1022" width="10.5703125" style="50" customWidth="1"/>
    <col min="1023" max="1268" width="11.42578125" style="50"/>
    <col min="1269" max="1269" width="0.140625" style="50" customWidth="1"/>
    <col min="1270" max="1270" width="2.5703125" style="50" customWidth="1"/>
    <col min="1271" max="1271" width="18.5703125" style="50" customWidth="1"/>
    <col min="1272" max="1272" width="1.42578125" style="50" customWidth="1"/>
    <col min="1273" max="1273" width="30.5703125" style="50" customWidth="1"/>
    <col min="1274" max="1278" width="10.5703125" style="50" customWidth="1"/>
    <col min="1279" max="1524" width="11.42578125" style="50"/>
    <col min="1525" max="1525" width="0.140625" style="50" customWidth="1"/>
    <col min="1526" max="1526" width="2.5703125" style="50" customWidth="1"/>
    <col min="1527" max="1527" width="18.5703125" style="50" customWidth="1"/>
    <col min="1528" max="1528" width="1.42578125" style="50" customWidth="1"/>
    <col min="1529" max="1529" width="30.5703125" style="50" customWidth="1"/>
    <col min="1530" max="1534" width="10.5703125" style="50" customWidth="1"/>
    <col min="1535" max="1780" width="11.42578125" style="50"/>
    <col min="1781" max="1781" width="0.140625" style="50" customWidth="1"/>
    <col min="1782" max="1782" width="2.5703125" style="50" customWidth="1"/>
    <col min="1783" max="1783" width="18.5703125" style="50" customWidth="1"/>
    <col min="1784" max="1784" width="1.42578125" style="50" customWidth="1"/>
    <col min="1785" max="1785" width="30.5703125" style="50" customWidth="1"/>
    <col min="1786" max="1790" width="10.5703125" style="50" customWidth="1"/>
    <col min="1791" max="2036" width="11.42578125" style="50"/>
    <col min="2037" max="2037" width="0.140625" style="50" customWidth="1"/>
    <col min="2038" max="2038" width="2.5703125" style="50" customWidth="1"/>
    <col min="2039" max="2039" width="18.5703125" style="50" customWidth="1"/>
    <col min="2040" max="2040" width="1.42578125" style="50" customWidth="1"/>
    <col min="2041" max="2041" width="30.5703125" style="50" customWidth="1"/>
    <col min="2042" max="2046" width="10.5703125" style="50" customWidth="1"/>
    <col min="2047" max="2292" width="11.42578125" style="50"/>
    <col min="2293" max="2293" width="0.140625" style="50" customWidth="1"/>
    <col min="2294" max="2294" width="2.5703125" style="50" customWidth="1"/>
    <col min="2295" max="2295" width="18.5703125" style="50" customWidth="1"/>
    <col min="2296" max="2296" width="1.42578125" style="50" customWidth="1"/>
    <col min="2297" max="2297" width="30.5703125" style="50" customWidth="1"/>
    <col min="2298" max="2302" width="10.5703125" style="50" customWidth="1"/>
    <col min="2303" max="2548" width="11.42578125" style="50"/>
    <col min="2549" max="2549" width="0.140625" style="50" customWidth="1"/>
    <col min="2550" max="2550" width="2.5703125" style="50" customWidth="1"/>
    <col min="2551" max="2551" width="18.5703125" style="50" customWidth="1"/>
    <col min="2552" max="2552" width="1.42578125" style="50" customWidth="1"/>
    <col min="2553" max="2553" width="30.5703125" style="50" customWidth="1"/>
    <col min="2554" max="2558" width="10.5703125" style="50" customWidth="1"/>
    <col min="2559" max="2804" width="11.42578125" style="50"/>
    <col min="2805" max="2805" width="0.140625" style="50" customWidth="1"/>
    <col min="2806" max="2806" width="2.5703125" style="50" customWidth="1"/>
    <col min="2807" max="2807" width="18.5703125" style="50" customWidth="1"/>
    <col min="2808" max="2808" width="1.42578125" style="50" customWidth="1"/>
    <col min="2809" max="2809" width="30.5703125" style="50" customWidth="1"/>
    <col min="2810" max="2814" width="10.5703125" style="50" customWidth="1"/>
    <col min="2815" max="3060" width="11.42578125" style="50"/>
    <col min="3061" max="3061" width="0.140625" style="50" customWidth="1"/>
    <col min="3062" max="3062" width="2.5703125" style="50" customWidth="1"/>
    <col min="3063" max="3063" width="18.5703125" style="50" customWidth="1"/>
    <col min="3064" max="3064" width="1.42578125" style="50" customWidth="1"/>
    <col min="3065" max="3065" width="30.5703125" style="50" customWidth="1"/>
    <col min="3066" max="3070" width="10.5703125" style="50" customWidth="1"/>
    <col min="3071" max="3316" width="11.42578125" style="50"/>
    <col min="3317" max="3317" width="0.140625" style="50" customWidth="1"/>
    <col min="3318" max="3318" width="2.5703125" style="50" customWidth="1"/>
    <col min="3319" max="3319" width="18.5703125" style="50" customWidth="1"/>
    <col min="3320" max="3320" width="1.42578125" style="50" customWidth="1"/>
    <col min="3321" max="3321" width="30.5703125" style="50" customWidth="1"/>
    <col min="3322" max="3326" width="10.5703125" style="50" customWidth="1"/>
    <col min="3327" max="3572" width="11.42578125" style="50"/>
    <col min="3573" max="3573" width="0.140625" style="50" customWidth="1"/>
    <col min="3574" max="3574" width="2.5703125" style="50" customWidth="1"/>
    <col min="3575" max="3575" width="18.5703125" style="50" customWidth="1"/>
    <col min="3576" max="3576" width="1.42578125" style="50" customWidth="1"/>
    <col min="3577" max="3577" width="30.5703125" style="50" customWidth="1"/>
    <col min="3578" max="3582" width="10.5703125" style="50" customWidth="1"/>
    <col min="3583" max="3828" width="11.42578125" style="50"/>
    <col min="3829" max="3829" width="0.140625" style="50" customWidth="1"/>
    <col min="3830" max="3830" width="2.5703125" style="50" customWidth="1"/>
    <col min="3831" max="3831" width="18.5703125" style="50" customWidth="1"/>
    <col min="3832" max="3832" width="1.42578125" style="50" customWidth="1"/>
    <col min="3833" max="3833" width="30.5703125" style="50" customWidth="1"/>
    <col min="3834" max="3838" width="10.5703125" style="50" customWidth="1"/>
    <col min="3839" max="4084" width="11.42578125" style="50"/>
    <col min="4085" max="4085" width="0.140625" style="50" customWidth="1"/>
    <col min="4086" max="4086" width="2.5703125" style="50" customWidth="1"/>
    <col min="4087" max="4087" width="18.5703125" style="50" customWidth="1"/>
    <col min="4088" max="4088" width="1.42578125" style="50" customWidth="1"/>
    <col min="4089" max="4089" width="30.5703125" style="50" customWidth="1"/>
    <col min="4090" max="4094" width="10.5703125" style="50" customWidth="1"/>
    <col min="4095" max="4340" width="11.42578125" style="50"/>
    <col min="4341" max="4341" width="0.140625" style="50" customWidth="1"/>
    <col min="4342" max="4342" width="2.5703125" style="50" customWidth="1"/>
    <col min="4343" max="4343" width="18.5703125" style="50" customWidth="1"/>
    <col min="4344" max="4344" width="1.42578125" style="50" customWidth="1"/>
    <col min="4345" max="4345" width="30.5703125" style="50" customWidth="1"/>
    <col min="4346" max="4350" width="10.5703125" style="50" customWidth="1"/>
    <col min="4351" max="4596" width="11.42578125" style="50"/>
    <col min="4597" max="4597" width="0.140625" style="50" customWidth="1"/>
    <col min="4598" max="4598" width="2.5703125" style="50" customWidth="1"/>
    <col min="4599" max="4599" width="18.5703125" style="50" customWidth="1"/>
    <col min="4600" max="4600" width="1.42578125" style="50" customWidth="1"/>
    <col min="4601" max="4601" width="30.5703125" style="50" customWidth="1"/>
    <col min="4602" max="4606" width="10.5703125" style="50" customWidth="1"/>
    <col min="4607" max="4852" width="11.42578125" style="50"/>
    <col min="4853" max="4853" width="0.140625" style="50" customWidth="1"/>
    <col min="4854" max="4854" width="2.5703125" style="50" customWidth="1"/>
    <col min="4855" max="4855" width="18.5703125" style="50" customWidth="1"/>
    <col min="4856" max="4856" width="1.42578125" style="50" customWidth="1"/>
    <col min="4857" max="4857" width="30.5703125" style="50" customWidth="1"/>
    <col min="4858" max="4862" width="10.5703125" style="50" customWidth="1"/>
    <col min="4863" max="5108" width="11.42578125" style="50"/>
    <col min="5109" max="5109" width="0.140625" style="50" customWidth="1"/>
    <col min="5110" max="5110" width="2.5703125" style="50" customWidth="1"/>
    <col min="5111" max="5111" width="18.5703125" style="50" customWidth="1"/>
    <col min="5112" max="5112" width="1.42578125" style="50" customWidth="1"/>
    <col min="5113" max="5113" width="30.5703125" style="50" customWidth="1"/>
    <col min="5114" max="5118" width="10.5703125" style="50" customWidth="1"/>
    <col min="5119" max="5364" width="11.42578125" style="50"/>
    <col min="5365" max="5365" width="0.140625" style="50" customWidth="1"/>
    <col min="5366" max="5366" width="2.5703125" style="50" customWidth="1"/>
    <col min="5367" max="5367" width="18.5703125" style="50" customWidth="1"/>
    <col min="5368" max="5368" width="1.42578125" style="50" customWidth="1"/>
    <col min="5369" max="5369" width="30.5703125" style="50" customWidth="1"/>
    <col min="5370" max="5374" width="10.5703125" style="50" customWidth="1"/>
    <col min="5375" max="5620" width="11.42578125" style="50"/>
    <col min="5621" max="5621" width="0.140625" style="50" customWidth="1"/>
    <col min="5622" max="5622" width="2.5703125" style="50" customWidth="1"/>
    <col min="5623" max="5623" width="18.5703125" style="50" customWidth="1"/>
    <col min="5624" max="5624" width="1.42578125" style="50" customWidth="1"/>
    <col min="5625" max="5625" width="30.5703125" style="50" customWidth="1"/>
    <col min="5626" max="5630" width="10.5703125" style="50" customWidth="1"/>
    <col min="5631" max="5876" width="11.42578125" style="50"/>
    <col min="5877" max="5877" width="0.140625" style="50" customWidth="1"/>
    <col min="5878" max="5878" width="2.5703125" style="50" customWidth="1"/>
    <col min="5879" max="5879" width="18.5703125" style="50" customWidth="1"/>
    <col min="5880" max="5880" width="1.42578125" style="50" customWidth="1"/>
    <col min="5881" max="5881" width="30.5703125" style="50" customWidth="1"/>
    <col min="5882" max="5886" width="10.5703125" style="50" customWidth="1"/>
    <col min="5887" max="6132" width="11.42578125" style="50"/>
    <col min="6133" max="6133" width="0.140625" style="50" customWidth="1"/>
    <col min="6134" max="6134" width="2.5703125" style="50" customWidth="1"/>
    <col min="6135" max="6135" width="18.5703125" style="50" customWidth="1"/>
    <col min="6136" max="6136" width="1.42578125" style="50" customWidth="1"/>
    <col min="6137" max="6137" width="30.5703125" style="50" customWidth="1"/>
    <col min="6138" max="6142" width="10.5703125" style="50" customWidth="1"/>
    <col min="6143" max="6388" width="11.42578125" style="50"/>
    <col min="6389" max="6389" width="0.140625" style="50" customWidth="1"/>
    <col min="6390" max="6390" width="2.5703125" style="50" customWidth="1"/>
    <col min="6391" max="6391" width="18.5703125" style="50" customWidth="1"/>
    <col min="6392" max="6392" width="1.42578125" style="50" customWidth="1"/>
    <col min="6393" max="6393" width="30.5703125" style="50" customWidth="1"/>
    <col min="6394" max="6398" width="10.5703125" style="50" customWidth="1"/>
    <col min="6399" max="6644" width="11.42578125" style="50"/>
    <col min="6645" max="6645" width="0.140625" style="50" customWidth="1"/>
    <col min="6646" max="6646" width="2.5703125" style="50" customWidth="1"/>
    <col min="6647" max="6647" width="18.5703125" style="50" customWidth="1"/>
    <col min="6648" max="6648" width="1.42578125" style="50" customWidth="1"/>
    <col min="6649" max="6649" width="30.5703125" style="50" customWidth="1"/>
    <col min="6650" max="6654" width="10.5703125" style="50" customWidth="1"/>
    <col min="6655" max="6900" width="11.42578125" style="50"/>
    <col min="6901" max="6901" width="0.140625" style="50" customWidth="1"/>
    <col min="6902" max="6902" width="2.5703125" style="50" customWidth="1"/>
    <col min="6903" max="6903" width="18.5703125" style="50" customWidth="1"/>
    <col min="6904" max="6904" width="1.42578125" style="50" customWidth="1"/>
    <col min="6905" max="6905" width="30.5703125" style="50" customWidth="1"/>
    <col min="6906" max="6910" width="10.5703125" style="50" customWidth="1"/>
    <col min="6911" max="7156" width="11.42578125" style="50"/>
    <col min="7157" max="7157" width="0.140625" style="50" customWidth="1"/>
    <col min="7158" max="7158" width="2.5703125" style="50" customWidth="1"/>
    <col min="7159" max="7159" width="18.5703125" style="50" customWidth="1"/>
    <col min="7160" max="7160" width="1.42578125" style="50" customWidth="1"/>
    <col min="7161" max="7161" width="30.5703125" style="50" customWidth="1"/>
    <col min="7162" max="7166" width="10.5703125" style="50" customWidth="1"/>
    <col min="7167" max="7412" width="11.42578125" style="50"/>
    <col min="7413" max="7413" width="0.140625" style="50" customWidth="1"/>
    <col min="7414" max="7414" width="2.5703125" style="50" customWidth="1"/>
    <col min="7415" max="7415" width="18.5703125" style="50" customWidth="1"/>
    <col min="7416" max="7416" width="1.42578125" style="50" customWidth="1"/>
    <col min="7417" max="7417" width="30.5703125" style="50" customWidth="1"/>
    <col min="7418" max="7422" width="10.5703125" style="50" customWidth="1"/>
    <col min="7423" max="7668" width="11.42578125" style="50"/>
    <col min="7669" max="7669" width="0.140625" style="50" customWidth="1"/>
    <col min="7670" max="7670" width="2.5703125" style="50" customWidth="1"/>
    <col min="7671" max="7671" width="18.5703125" style="50" customWidth="1"/>
    <col min="7672" max="7672" width="1.42578125" style="50" customWidth="1"/>
    <col min="7673" max="7673" width="30.5703125" style="50" customWidth="1"/>
    <col min="7674" max="7678" width="10.5703125" style="50" customWidth="1"/>
    <col min="7679" max="7924" width="11.42578125" style="50"/>
    <col min="7925" max="7925" width="0.140625" style="50" customWidth="1"/>
    <col min="7926" max="7926" width="2.5703125" style="50" customWidth="1"/>
    <col min="7927" max="7927" width="18.5703125" style="50" customWidth="1"/>
    <col min="7928" max="7928" width="1.42578125" style="50" customWidth="1"/>
    <col min="7929" max="7929" width="30.5703125" style="50" customWidth="1"/>
    <col min="7930" max="7934" width="10.5703125" style="50" customWidth="1"/>
    <col min="7935" max="8180" width="11.42578125" style="50"/>
    <col min="8181" max="8181" width="0.140625" style="50" customWidth="1"/>
    <col min="8182" max="8182" width="2.5703125" style="50" customWidth="1"/>
    <col min="8183" max="8183" width="18.5703125" style="50" customWidth="1"/>
    <col min="8184" max="8184" width="1.42578125" style="50" customWidth="1"/>
    <col min="8185" max="8185" width="30.5703125" style="50" customWidth="1"/>
    <col min="8186" max="8190" width="10.5703125" style="50" customWidth="1"/>
    <col min="8191" max="8436" width="11.42578125" style="50"/>
    <col min="8437" max="8437" width="0.140625" style="50" customWidth="1"/>
    <col min="8438" max="8438" width="2.5703125" style="50" customWidth="1"/>
    <col min="8439" max="8439" width="18.5703125" style="50" customWidth="1"/>
    <col min="8440" max="8440" width="1.42578125" style="50" customWidth="1"/>
    <col min="8441" max="8441" width="30.5703125" style="50" customWidth="1"/>
    <col min="8442" max="8446" width="10.5703125" style="50" customWidth="1"/>
    <col min="8447" max="8692" width="11.42578125" style="50"/>
    <col min="8693" max="8693" width="0.140625" style="50" customWidth="1"/>
    <col min="8694" max="8694" width="2.5703125" style="50" customWidth="1"/>
    <col min="8695" max="8695" width="18.5703125" style="50" customWidth="1"/>
    <col min="8696" max="8696" width="1.42578125" style="50" customWidth="1"/>
    <col min="8697" max="8697" width="30.5703125" style="50" customWidth="1"/>
    <col min="8698" max="8702" width="10.5703125" style="50" customWidth="1"/>
    <col min="8703" max="8948" width="11.42578125" style="50"/>
    <col min="8949" max="8949" width="0.140625" style="50" customWidth="1"/>
    <col min="8950" max="8950" width="2.5703125" style="50" customWidth="1"/>
    <col min="8951" max="8951" width="18.5703125" style="50" customWidth="1"/>
    <col min="8952" max="8952" width="1.42578125" style="50" customWidth="1"/>
    <col min="8953" max="8953" width="30.5703125" style="50" customWidth="1"/>
    <col min="8954" max="8958" width="10.5703125" style="50" customWidth="1"/>
    <col min="8959" max="9204" width="11.42578125" style="50"/>
    <col min="9205" max="9205" width="0.140625" style="50" customWidth="1"/>
    <col min="9206" max="9206" width="2.5703125" style="50" customWidth="1"/>
    <col min="9207" max="9207" width="18.5703125" style="50" customWidth="1"/>
    <col min="9208" max="9208" width="1.42578125" style="50" customWidth="1"/>
    <col min="9209" max="9209" width="30.5703125" style="50" customWidth="1"/>
    <col min="9210" max="9214" width="10.5703125" style="50" customWidth="1"/>
    <col min="9215" max="9460" width="11.42578125" style="50"/>
    <col min="9461" max="9461" width="0.140625" style="50" customWidth="1"/>
    <col min="9462" max="9462" width="2.5703125" style="50" customWidth="1"/>
    <col min="9463" max="9463" width="18.5703125" style="50" customWidth="1"/>
    <col min="9464" max="9464" width="1.42578125" style="50" customWidth="1"/>
    <col min="9465" max="9465" width="30.5703125" style="50" customWidth="1"/>
    <col min="9466" max="9470" width="10.5703125" style="50" customWidth="1"/>
    <col min="9471" max="9716" width="11.42578125" style="50"/>
    <col min="9717" max="9717" width="0.140625" style="50" customWidth="1"/>
    <col min="9718" max="9718" width="2.5703125" style="50" customWidth="1"/>
    <col min="9719" max="9719" width="18.5703125" style="50" customWidth="1"/>
    <col min="9720" max="9720" width="1.42578125" style="50" customWidth="1"/>
    <col min="9721" max="9721" width="30.5703125" style="50" customWidth="1"/>
    <col min="9722" max="9726" width="10.5703125" style="50" customWidth="1"/>
    <col min="9727" max="9972" width="11.42578125" style="50"/>
    <col min="9973" max="9973" width="0.140625" style="50" customWidth="1"/>
    <col min="9974" max="9974" width="2.5703125" style="50" customWidth="1"/>
    <col min="9975" max="9975" width="18.5703125" style="50" customWidth="1"/>
    <col min="9976" max="9976" width="1.42578125" style="50" customWidth="1"/>
    <col min="9977" max="9977" width="30.5703125" style="50" customWidth="1"/>
    <col min="9978" max="9982" width="10.5703125" style="50" customWidth="1"/>
    <col min="9983" max="10228" width="11.42578125" style="50"/>
    <col min="10229" max="10229" width="0.140625" style="50" customWidth="1"/>
    <col min="10230" max="10230" width="2.5703125" style="50" customWidth="1"/>
    <col min="10231" max="10231" width="18.5703125" style="50" customWidth="1"/>
    <col min="10232" max="10232" width="1.42578125" style="50" customWidth="1"/>
    <col min="10233" max="10233" width="30.5703125" style="50" customWidth="1"/>
    <col min="10234" max="10238" width="10.5703125" style="50" customWidth="1"/>
    <col min="10239" max="10484" width="11.42578125" style="50"/>
    <col min="10485" max="10485" width="0.140625" style="50" customWidth="1"/>
    <col min="10486" max="10486" width="2.5703125" style="50" customWidth="1"/>
    <col min="10487" max="10487" width="18.5703125" style="50" customWidth="1"/>
    <col min="10488" max="10488" width="1.42578125" style="50" customWidth="1"/>
    <col min="10489" max="10489" width="30.5703125" style="50" customWidth="1"/>
    <col min="10490" max="10494" width="10.5703125" style="50" customWidth="1"/>
    <col min="10495" max="10740" width="11.42578125" style="50"/>
    <col min="10741" max="10741" width="0.140625" style="50" customWidth="1"/>
    <col min="10742" max="10742" width="2.5703125" style="50" customWidth="1"/>
    <col min="10743" max="10743" width="18.5703125" style="50" customWidth="1"/>
    <col min="10744" max="10744" width="1.42578125" style="50" customWidth="1"/>
    <col min="10745" max="10745" width="30.5703125" style="50" customWidth="1"/>
    <col min="10746" max="10750" width="10.5703125" style="50" customWidth="1"/>
    <col min="10751" max="10996" width="11.42578125" style="50"/>
    <col min="10997" max="10997" width="0.140625" style="50" customWidth="1"/>
    <col min="10998" max="10998" width="2.5703125" style="50" customWidth="1"/>
    <col min="10999" max="10999" width="18.5703125" style="50" customWidth="1"/>
    <col min="11000" max="11000" width="1.42578125" style="50" customWidth="1"/>
    <col min="11001" max="11001" width="30.5703125" style="50" customWidth="1"/>
    <col min="11002" max="11006" width="10.5703125" style="50" customWidth="1"/>
    <col min="11007" max="11252" width="11.42578125" style="50"/>
    <col min="11253" max="11253" width="0.140625" style="50" customWidth="1"/>
    <col min="11254" max="11254" width="2.5703125" style="50" customWidth="1"/>
    <col min="11255" max="11255" width="18.5703125" style="50" customWidth="1"/>
    <col min="11256" max="11256" width="1.42578125" style="50" customWidth="1"/>
    <col min="11257" max="11257" width="30.5703125" style="50" customWidth="1"/>
    <col min="11258" max="11262" width="10.5703125" style="50" customWidth="1"/>
    <col min="11263" max="11508" width="11.42578125" style="50"/>
    <col min="11509" max="11509" width="0.140625" style="50" customWidth="1"/>
    <col min="11510" max="11510" width="2.5703125" style="50" customWidth="1"/>
    <col min="11511" max="11511" width="18.5703125" style="50" customWidth="1"/>
    <col min="11512" max="11512" width="1.42578125" style="50" customWidth="1"/>
    <col min="11513" max="11513" width="30.5703125" style="50" customWidth="1"/>
    <col min="11514" max="11518" width="10.5703125" style="50" customWidth="1"/>
    <col min="11519" max="11764" width="11.42578125" style="50"/>
    <col min="11765" max="11765" width="0.140625" style="50" customWidth="1"/>
    <col min="11766" max="11766" width="2.5703125" style="50" customWidth="1"/>
    <col min="11767" max="11767" width="18.5703125" style="50" customWidth="1"/>
    <col min="11768" max="11768" width="1.42578125" style="50" customWidth="1"/>
    <col min="11769" max="11769" width="30.5703125" style="50" customWidth="1"/>
    <col min="11770" max="11774" width="10.5703125" style="50" customWidth="1"/>
    <col min="11775" max="12020" width="11.42578125" style="50"/>
    <col min="12021" max="12021" width="0.140625" style="50" customWidth="1"/>
    <col min="12022" max="12022" width="2.5703125" style="50" customWidth="1"/>
    <col min="12023" max="12023" width="18.5703125" style="50" customWidth="1"/>
    <col min="12024" max="12024" width="1.42578125" style="50" customWidth="1"/>
    <col min="12025" max="12025" width="30.5703125" style="50" customWidth="1"/>
    <col min="12026" max="12030" width="10.5703125" style="50" customWidth="1"/>
    <col min="12031" max="12276" width="11.42578125" style="50"/>
    <col min="12277" max="12277" width="0.140625" style="50" customWidth="1"/>
    <col min="12278" max="12278" width="2.5703125" style="50" customWidth="1"/>
    <col min="12279" max="12279" width="18.5703125" style="50" customWidth="1"/>
    <col min="12280" max="12280" width="1.42578125" style="50" customWidth="1"/>
    <col min="12281" max="12281" width="30.5703125" style="50" customWidth="1"/>
    <col min="12282" max="12286" width="10.5703125" style="50" customWidth="1"/>
    <col min="12287" max="12532" width="11.42578125" style="50"/>
    <col min="12533" max="12533" width="0.140625" style="50" customWidth="1"/>
    <col min="12534" max="12534" width="2.5703125" style="50" customWidth="1"/>
    <col min="12535" max="12535" width="18.5703125" style="50" customWidth="1"/>
    <col min="12536" max="12536" width="1.42578125" style="50" customWidth="1"/>
    <col min="12537" max="12537" width="30.5703125" style="50" customWidth="1"/>
    <col min="12538" max="12542" width="10.5703125" style="50" customWidth="1"/>
    <col min="12543" max="12788" width="11.42578125" style="50"/>
    <col min="12789" max="12789" width="0.140625" style="50" customWidth="1"/>
    <col min="12790" max="12790" width="2.5703125" style="50" customWidth="1"/>
    <col min="12791" max="12791" width="18.5703125" style="50" customWidth="1"/>
    <col min="12792" max="12792" width="1.42578125" style="50" customWidth="1"/>
    <col min="12793" max="12793" width="30.5703125" style="50" customWidth="1"/>
    <col min="12794" max="12798" width="10.5703125" style="50" customWidth="1"/>
    <col min="12799" max="13044" width="11.42578125" style="50"/>
    <col min="13045" max="13045" width="0.140625" style="50" customWidth="1"/>
    <col min="13046" max="13046" width="2.5703125" style="50" customWidth="1"/>
    <col min="13047" max="13047" width="18.5703125" style="50" customWidth="1"/>
    <col min="13048" max="13048" width="1.42578125" style="50" customWidth="1"/>
    <col min="13049" max="13049" width="30.5703125" style="50" customWidth="1"/>
    <col min="13050" max="13054" width="10.5703125" style="50" customWidth="1"/>
    <col min="13055" max="13300" width="11.42578125" style="50"/>
    <col min="13301" max="13301" width="0.140625" style="50" customWidth="1"/>
    <col min="13302" max="13302" width="2.5703125" style="50" customWidth="1"/>
    <col min="13303" max="13303" width="18.5703125" style="50" customWidth="1"/>
    <col min="13304" max="13304" width="1.42578125" style="50" customWidth="1"/>
    <col min="13305" max="13305" width="30.5703125" style="50" customWidth="1"/>
    <col min="13306" max="13310" width="10.5703125" style="50" customWidth="1"/>
    <col min="13311" max="13556" width="11.42578125" style="50"/>
    <col min="13557" max="13557" width="0.140625" style="50" customWidth="1"/>
    <col min="13558" max="13558" width="2.5703125" style="50" customWidth="1"/>
    <col min="13559" max="13559" width="18.5703125" style="50" customWidth="1"/>
    <col min="13560" max="13560" width="1.42578125" style="50" customWidth="1"/>
    <col min="13561" max="13561" width="30.5703125" style="50" customWidth="1"/>
    <col min="13562" max="13566" width="10.5703125" style="50" customWidth="1"/>
    <col min="13567" max="13812" width="11.42578125" style="50"/>
    <col min="13813" max="13813" width="0.140625" style="50" customWidth="1"/>
    <col min="13814" max="13814" width="2.5703125" style="50" customWidth="1"/>
    <col min="13815" max="13815" width="18.5703125" style="50" customWidth="1"/>
    <col min="13816" max="13816" width="1.42578125" style="50" customWidth="1"/>
    <col min="13817" max="13817" width="30.5703125" style="50" customWidth="1"/>
    <col min="13818" max="13822" width="10.5703125" style="50" customWidth="1"/>
    <col min="13823" max="14068" width="11.42578125" style="50"/>
    <col min="14069" max="14069" width="0.140625" style="50" customWidth="1"/>
    <col min="14070" max="14070" width="2.5703125" style="50" customWidth="1"/>
    <col min="14071" max="14071" width="18.5703125" style="50" customWidth="1"/>
    <col min="14072" max="14072" width="1.42578125" style="50" customWidth="1"/>
    <col min="14073" max="14073" width="30.5703125" style="50" customWidth="1"/>
    <col min="14074" max="14078" width="10.5703125" style="50" customWidth="1"/>
    <col min="14079" max="14324" width="11.42578125" style="50"/>
    <col min="14325" max="14325" width="0.140625" style="50" customWidth="1"/>
    <col min="14326" max="14326" width="2.5703125" style="50" customWidth="1"/>
    <col min="14327" max="14327" width="18.5703125" style="50" customWidth="1"/>
    <col min="14328" max="14328" width="1.42578125" style="50" customWidth="1"/>
    <col min="14329" max="14329" width="30.5703125" style="50" customWidth="1"/>
    <col min="14330" max="14334" width="10.5703125" style="50" customWidth="1"/>
    <col min="14335" max="14580" width="11.42578125" style="50"/>
    <col min="14581" max="14581" width="0.140625" style="50" customWidth="1"/>
    <col min="14582" max="14582" width="2.5703125" style="50" customWidth="1"/>
    <col min="14583" max="14583" width="18.5703125" style="50" customWidth="1"/>
    <col min="14584" max="14584" width="1.42578125" style="50" customWidth="1"/>
    <col min="14585" max="14585" width="30.5703125" style="50" customWidth="1"/>
    <col min="14586" max="14590" width="10.5703125" style="50" customWidth="1"/>
    <col min="14591" max="14836" width="11.42578125" style="50"/>
    <col min="14837" max="14837" width="0.140625" style="50" customWidth="1"/>
    <col min="14838" max="14838" width="2.5703125" style="50" customWidth="1"/>
    <col min="14839" max="14839" width="18.5703125" style="50" customWidth="1"/>
    <col min="14840" max="14840" width="1.42578125" style="50" customWidth="1"/>
    <col min="14841" max="14841" width="30.5703125" style="50" customWidth="1"/>
    <col min="14842" max="14846" width="10.5703125" style="50" customWidth="1"/>
    <col min="14847" max="15092" width="11.42578125" style="50"/>
    <col min="15093" max="15093" width="0.140625" style="50" customWidth="1"/>
    <col min="15094" max="15094" width="2.5703125" style="50" customWidth="1"/>
    <col min="15095" max="15095" width="18.5703125" style="50" customWidth="1"/>
    <col min="15096" max="15096" width="1.42578125" style="50" customWidth="1"/>
    <col min="15097" max="15097" width="30.5703125" style="50" customWidth="1"/>
    <col min="15098" max="15102" width="10.5703125" style="50" customWidth="1"/>
    <col min="15103" max="15348" width="11.42578125" style="50"/>
    <col min="15349" max="15349" width="0.140625" style="50" customWidth="1"/>
    <col min="15350" max="15350" width="2.5703125" style="50" customWidth="1"/>
    <col min="15351" max="15351" width="18.5703125" style="50" customWidth="1"/>
    <col min="15352" max="15352" width="1.42578125" style="50" customWidth="1"/>
    <col min="15353" max="15353" width="30.5703125" style="50" customWidth="1"/>
    <col min="15354" max="15358" width="10.5703125" style="50" customWidth="1"/>
    <col min="15359" max="15604" width="11.42578125" style="50"/>
    <col min="15605" max="15605" width="0.140625" style="50" customWidth="1"/>
    <col min="15606" max="15606" width="2.5703125" style="50" customWidth="1"/>
    <col min="15607" max="15607" width="18.5703125" style="50" customWidth="1"/>
    <col min="15608" max="15608" width="1.42578125" style="50" customWidth="1"/>
    <col min="15609" max="15609" width="30.5703125" style="50" customWidth="1"/>
    <col min="15610" max="15614" width="10.5703125" style="50" customWidth="1"/>
    <col min="15615" max="15860" width="11.42578125" style="50"/>
    <col min="15861" max="15861" width="0.140625" style="50" customWidth="1"/>
    <col min="15862" max="15862" width="2.5703125" style="50" customWidth="1"/>
    <col min="15863" max="15863" width="18.5703125" style="50" customWidth="1"/>
    <col min="15864" max="15864" width="1.42578125" style="50" customWidth="1"/>
    <col min="15865" max="15865" width="30.5703125" style="50" customWidth="1"/>
    <col min="15866" max="15870" width="10.5703125" style="50" customWidth="1"/>
    <col min="15871" max="16116" width="11.42578125" style="50"/>
    <col min="16117" max="16117" width="0.140625" style="50" customWidth="1"/>
    <col min="16118" max="16118" width="2.5703125" style="50" customWidth="1"/>
    <col min="16119" max="16119" width="18.5703125" style="50" customWidth="1"/>
    <col min="16120" max="16120" width="1.42578125" style="50" customWidth="1"/>
    <col min="16121" max="16121" width="30.5703125" style="50" customWidth="1"/>
    <col min="16122" max="16126" width="10.5703125" style="50" customWidth="1"/>
    <col min="16127" max="16384" width="11.42578125" style="50"/>
  </cols>
  <sheetData>
    <row r="1" spans="1:20" ht="0.75" customHeight="1"/>
    <row r="2" spans="1:20" ht="21" customHeight="1">
      <c r="E2" s="29" t="s">
        <v>19</v>
      </c>
      <c r="F2" s="66"/>
      <c r="G2" s="66"/>
    </row>
    <row r="3" spans="1:20" ht="15" customHeight="1">
      <c r="E3" s="46" t="str">
        <f>Indice!E3</f>
        <v>Junio 2023</v>
      </c>
      <c r="F3" s="65"/>
      <c r="G3" s="65"/>
    </row>
    <row r="4" spans="1:20" s="61" customFormat="1" ht="20.25" customHeight="1">
      <c r="B4" s="60"/>
      <c r="C4" s="27" t="s">
        <v>46</v>
      </c>
    </row>
    <row r="5" spans="1:20" s="61" customFormat="1" ht="12.75" customHeight="1">
      <c r="B5" s="60"/>
      <c r="C5" s="64"/>
    </row>
    <row r="6" spans="1:20" s="61" customFormat="1" ht="13.5" customHeight="1">
      <c r="B6" s="60"/>
      <c r="C6" s="59"/>
      <c r="D6" s="58"/>
      <c r="E6" s="58"/>
      <c r="G6" s="48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spans="1:20" s="61" customFormat="1" ht="12.75" customHeight="1">
      <c r="B7" s="60"/>
      <c r="C7" s="198" t="s">
        <v>36</v>
      </c>
      <c r="D7" s="58"/>
      <c r="E7" s="62"/>
    </row>
    <row r="8" spans="1:20" ht="12.75" customHeight="1">
      <c r="A8" s="61"/>
      <c r="B8" s="60"/>
      <c r="C8" s="198"/>
      <c r="D8" s="58"/>
      <c r="E8" s="62"/>
      <c r="F8" s="57"/>
    </row>
    <row r="9" spans="1:20" ht="12.75" customHeight="1">
      <c r="A9" s="61"/>
      <c r="B9" s="60"/>
      <c r="C9" s="198"/>
      <c r="D9" s="58"/>
      <c r="E9" s="62"/>
      <c r="F9" s="57"/>
    </row>
    <row r="10" spans="1:20" ht="12.75" customHeight="1">
      <c r="A10" s="61"/>
      <c r="B10" s="60"/>
      <c r="C10" s="34"/>
      <c r="D10" s="58"/>
      <c r="E10" s="62"/>
      <c r="F10" s="57"/>
    </row>
    <row r="11" spans="1:20" ht="12.75" customHeight="1">
      <c r="A11" s="61"/>
      <c r="B11" s="60"/>
      <c r="D11" s="58"/>
      <c r="E11" s="58"/>
      <c r="F11" s="57"/>
    </row>
    <row r="12" spans="1:20" ht="12.75" customHeight="1">
      <c r="A12" s="61"/>
      <c r="B12" s="60"/>
      <c r="D12" s="58"/>
      <c r="E12" s="58"/>
      <c r="F12" s="57"/>
    </row>
    <row r="13" spans="1:20" ht="12.75" customHeight="1">
      <c r="A13" s="61"/>
      <c r="B13" s="60"/>
      <c r="C13" s="59"/>
      <c r="D13" s="58"/>
      <c r="E13" s="58"/>
      <c r="F13" s="57"/>
    </row>
    <row r="14" spans="1:20" ht="12.75" customHeight="1">
      <c r="A14" s="61"/>
      <c r="B14" s="60"/>
      <c r="C14" s="59"/>
      <c r="D14" s="58"/>
      <c r="E14" s="58"/>
      <c r="F14" s="57"/>
    </row>
    <row r="15" spans="1:20" ht="12.75" customHeight="1">
      <c r="A15" s="61"/>
      <c r="B15" s="60"/>
      <c r="C15" s="59"/>
      <c r="D15" s="58"/>
      <c r="E15" s="58"/>
      <c r="F15" s="57"/>
    </row>
    <row r="16" spans="1:20" ht="12.75" customHeight="1">
      <c r="A16" s="61"/>
      <c r="B16" s="60"/>
      <c r="C16" s="59"/>
      <c r="D16" s="58"/>
      <c r="E16" s="58"/>
      <c r="F16" s="57"/>
    </row>
    <row r="17" spans="1:7" ht="12.75" customHeight="1">
      <c r="A17" s="61"/>
      <c r="B17" s="60"/>
      <c r="C17" s="59"/>
      <c r="D17" s="58"/>
      <c r="E17" s="58"/>
      <c r="F17" s="57"/>
    </row>
    <row r="18" spans="1:7" ht="12.75" customHeight="1">
      <c r="A18" s="61"/>
      <c r="B18" s="60"/>
      <c r="C18" s="59"/>
      <c r="D18" s="58"/>
      <c r="E18" s="58"/>
      <c r="F18" s="149"/>
    </row>
    <row r="19" spans="1:7" ht="12.75" customHeight="1">
      <c r="A19" s="61"/>
      <c r="B19" s="60"/>
      <c r="C19" s="59"/>
      <c r="D19" s="58"/>
      <c r="E19" s="58"/>
      <c r="F19" s="57"/>
    </row>
    <row r="20" spans="1:7" ht="12.75" customHeight="1">
      <c r="A20" s="61"/>
      <c r="B20" s="60"/>
      <c r="C20" s="59"/>
      <c r="D20" s="58"/>
      <c r="E20" s="58"/>
      <c r="F20" s="57"/>
    </row>
    <row r="21" spans="1:7" ht="12.75" customHeight="1"/>
    <row r="22" spans="1:7" ht="12.75" customHeight="1"/>
    <row r="23" spans="1:7" ht="12.75" customHeight="1"/>
    <row r="24" spans="1:7" ht="12.75" customHeight="1">
      <c r="E24" s="54"/>
      <c r="F24" s="54"/>
      <c r="G24" s="54"/>
    </row>
    <row r="25" spans="1:7" ht="12.75" customHeight="1">
      <c r="E25" s="51" t="s">
        <v>89</v>
      </c>
      <c r="F25" s="56"/>
      <c r="G25" s="56"/>
    </row>
    <row r="26" spans="1:7" ht="12.75" customHeight="1">
      <c r="E26" s="51" t="s">
        <v>52</v>
      </c>
      <c r="F26" s="56"/>
      <c r="G26" s="56"/>
    </row>
    <row r="27" spans="1:7" ht="23.25">
      <c r="E27" s="51" t="s">
        <v>105</v>
      </c>
      <c r="F27" s="54"/>
      <c r="G27" s="54"/>
    </row>
    <row r="28" spans="1:7" ht="12.75" customHeight="1">
      <c r="E28" s="55"/>
      <c r="F28" s="54"/>
      <c r="G28" s="54"/>
    </row>
    <row r="29" spans="1:7" ht="12.75" customHeight="1">
      <c r="F29" s="54"/>
      <c r="G29" s="54"/>
    </row>
    <row r="30" spans="1:7" ht="12.75" customHeight="1">
      <c r="F30" s="54"/>
      <c r="G30" s="54"/>
    </row>
    <row r="31" spans="1:7" ht="12.75" customHeight="1">
      <c r="E31" s="53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51"/>
    </row>
    <row r="46" spans="5:5">
      <c r="E46" s="51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cp:lastPrinted>2021-10-14T14:51:00Z</cp:lastPrinted>
  <dcterms:created xsi:type="dcterms:W3CDTF">2016-11-17T11:02:48Z</dcterms:created>
  <dcterms:modified xsi:type="dcterms:W3CDTF">2023-07-13T14:29:21Z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