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N\INF_ELABORADA\"/>
    </mc:Choice>
  </mc:AlternateContent>
  <xr:revisionPtr revIDLastSave="0" documentId="8_{53068EDD-D055-4BB7-A982-087263BA2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Dat_01!$A$85:$U$112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2" l="1"/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<sst xmlns="http://schemas.openxmlformats.org/spreadsheetml/2006/main" count="425" uniqueCount="132">
  <si>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</si>
  <si>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</si>
  <si>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</si>
  <si>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</si>
  <si>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</si>
  <si>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</si>
  <si>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</si>
  <si>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</si>
  <si>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</si>
  <si>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</si>
  <si>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</si>
  <si>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</si>
  <si>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</si>
  <si>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</si>
  <si>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</si>
  <si>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</si>
  <si>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</si>
  <si>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</si>
  <si>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</si>
  <si>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</si>
  <si>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</si>
  <si>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</si>
  <si>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</si>
  <si>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</si>
  <si>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</si>
  <si>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</si>
  <si>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</si>
  <si>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</si>
  <si>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</si>
  <si>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</si>
  <si>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</si>
  <si>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</si>
  <si>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</si>
  <si>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</si>
  <si>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</si>
  <si>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</si>
  <si>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</si>
  <si>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</si>
  <si>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</si>
  <si>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</si>
  <si>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</si>
  <si>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</si>
  <si>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</si>
  <si>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</si>
  <si>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</si>
  <si>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</si>
  <si>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</si>
  <si>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</si>
  <si>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</si>
  <si>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</si>
  <si>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</si>
  <si>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</si>
  <si>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</si>
  <si>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</si>
  <si>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</si>
  <si>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</si>
  <si>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</si>
  <si>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</si>
  <si>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</si>
  <si>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</si>
  <si>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</si>
  <si>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</si>
  <si>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</si>
  <si>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</si>
  <si>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</si>
  <si>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</si>
  <si>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</si>
  <si>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</si>
  <si>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</si>
  <si>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</si>
  <si>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</si>
  <si>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</si>
  <si>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</si>
  <si>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</si>
  <si>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</si>
  <si>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</si>
  <si>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</si>
  <si>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</si>
  <si>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</si>
  <si>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</si>
  <si>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</si>
  <si>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</si>
  <si>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</si>
  <si>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</si>
  <si>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</si>
  <si>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</si>
  <si>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</si>
  <si>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</si>
  <si>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</si>
  <si>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</si>
  <si>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</si>
  <si>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</si>
  <si>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</si>
  <si>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</si>
  <si>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</si>
  <si>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</si>
  <si>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</si>
  <si>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</si>
  <si>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</si>
  <si>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</si>
  <si>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</si>
  <si>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</si>
  <si>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</si>
  <si>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</si>
  <si>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</si>
  <si>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</si>
  <si>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</si>
  <si>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</si>
  <si>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</si>
  <si>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</si>
  <si>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</si>
  <si>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</si>
  <si>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</si>
  <si>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</si>
  <si>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</si>
  <si>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</si>
  <si>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</si>
  <si>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</si>
  <si>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</si>
  <si>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</si>
  <si>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</si>
  <si>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</si>
  <si>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</si>
  <si>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</si>
  <si>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30/06/2022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</si>
  <si>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11:10:44" si="2.000000010fc133fadb38550ebb511d0ede5e54841bb25d6ee51d1f207289c51de75b1dc5968e38135afd3df297548597407b5d833e96e377122972afd0249823336499c6356623dab5ef0e91631d75d63d43352753ad1216396b7878f71e07fbc046e2830e78da5feeb0376dfdbc05b633a9d43c341f3a03210047e3118cee708622aebe349b8e0cf6a01a5a647aed35c1fb7265abc97c7c9bd6d81fd1357dc058c0.p.3082.0.1.Europe/Madrid.upriv*_1*_pidn2*_29*_session*-lat*_1.00000001904b0ba6825c106be17b6da9e43eec69bc6025e0ac4441c631e27f954ef3dd0501f59c218f3369204ea260f274a04e5009042658.00000001f8b7e408499b3ca41040adbd379e6159bc6025e00867201b8ca42ed47482deece6949ba584e186741a2d331c642ce972e57b0059.0.1.1.BDEbi.D066E1C611E6257C10D00080EF253B44.0-3082.1.1_-0.1.0_-3082.1.1_5.5.0.*0.00000001327a5bcd23e6701c61df886b308bea3dc911585a80b44bbd4b576eacab8f65aaebcbf56a.0.23.11*.2*.0400*.31152J.e.0000000129b491d25ce9a6e1834e2bed80553910c911585afa1243269807157dece666c704946abd.0.10*.131*.122*.122.0.0" msgID="17C93D1A11ED010AB5F20080EF750059"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</si>
  <si>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ut="07/11/2022 11:18:28" si="2.000000010fc133fadb38550ebb511d0ede5e54841bb25d6ee51d1f207289c51de75b1dc5968e38135afd3df297548597407b5d833e96e377122972afd0249823336499c6356623dab5ef0e91631d75d63d43352753ad1216396b7878f71e07fbc046e2830e78da5feeb0376dfdbc05b633a9d43c341f3a03210047e3118cee708622aebe349b8e0cf6a01a5a647aed35c1fb7265abc97c7c9bd6d81fd1357dc058c0.p.3082.0.1.Europe/Madrid.upriv*_1*_pidn2*_29*_session*-lat*_1.00000001904b0ba6825c106be17b6da9e43eec69bc6025e0ac4441c631e27f954ef3dd0501f59c218f3369204ea260f274a04e5009042658.00000001f8b7e408499b3ca41040adbd379e6159bc6025e00867201b8ca42ed47482deece6949ba584e186741a2d331c642ce972e57b0059.0.1.1.BDEbi.D066E1C611E6257C10D00080EF253B44.0-3082.1.1_-0.1.0_-3082.1.1_5.5.0.*0.00000001327a5bcd23e6701c61df886b308bea3dc911585a80b44bbd4b576eacab8f65aaebcbf56a.0.23.11*.2*.0400*.31152J.e.0000000129b491d25ce9a6e1834e2bed80553910c911585afa1243269807157dece666c704946abd.0.10*.131*.122*.122.0.0" msgID="B6CFCE5711ED010AB5F20080EFC5A15A"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nrr="1071" nrc="2016"&gt;&lt;pg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</si>
  <si>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Julio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</si>
  <si>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11:24:39" si="2.000000010fc133fadb38550ebb511d0ede5e54841bb25d6ee51d1f207289c51de75b1dc5968e38135afd3df297548597407b5d833e96e377122972afd0249823336499c6356623dab5ef0e91631d75d63d43352753ad1216396b7878f71e07fbc046e2830e78da5feeb0376dfdbc05b633a9d43c341f3a03210047e3118cee708622aebe349b8e0cf6a01a5a647aed35c1fb7265abc97c7c9bd6d81fd1357dc058c0.p.3082.0.1.Europe/Madrid.upriv*_1*_pidn2*_29*_session*-lat*_1.00000001904b0ba6825c106be17b6da9e43eec69bc6025e0ac4441c631e27f954ef3dd0501f59c218f3369204ea260f274a04e5009042658.00000001f8b7e408499b3ca41040adbd379e6159bc6025e00867201b8ca42ed47482deece6949ba584e186741a2d331c642ce972e57b0059.0.1.1.BDEbi.D066E1C611E6257C10D00080EF253B44.0-3082.1.1_-0.1.0_-3082.1.1_5.5.0.*0.00000001327a5bcd23e6701c61df886b308bea3dc911585a80b44bbd4b576eacab8f65aaebcbf56a.0.23.11*.2*.0400*.31152J.e.0000000129b491d25ce9a6e1834e2bed80553910c911585afa1243269807157dece666c704946abd.0.10*.131*.122*.122.0.0" msgID="A9EDE82A11ED010BB5F20080EFC5A058"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cols="21" /&gt;&lt;esdo ews="" ece="" ptn="" /&gt;&lt;/excel&gt;&lt;pgs&gt;&lt;pg rows="25" cols="19" nrr="1527" nrc="1188"&gt;&lt;pg /&gt;&lt;bls&gt;&lt;bl sr="1" sc="1" rfetch="25" cfetch="19" posid="1" darows="0" dacols="1"&gt;&lt;excel&gt;&lt;epo ews="Dat_01" ece="A85" enr="MSTR.Serie_Balance_B.C._Mensual_Baleares_y_Canarias" ptn="" qtn="" rows="28" cols="21" /&gt;&lt;esdo ews="" ece="" ptn="" /&gt;&lt;/excel&gt;&lt;gridRng&gt;&lt;sect id="TITLE_AREA" rngprop="1:1:3:2" /&gt;&lt;sect id="ROWHEADERS_AREA" rngprop="4:1:25:2" /&gt;&lt;sect id="COLUMNHEADERS_AREA" rngprop="1:3:3:19" /&gt;&lt;sect id="DATA_AREA" rngprop="4:3:25:19"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</si>
  <si>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ut="07/11/2022 11:26:28" si="2.00000001977d6b67240f08eafd930964e04df91ef6842b5ef6e1b53d4b0d2a33382cda1be30074b1741ba55dc396442f8156d4e14f772a61c017ea1199eeec34c2bb2de31b0c23a72ab55f6a2cffed561415b35f564a91a5afdac89af172b41258323cfa4442392ed95c7609013394b65fe9d139cfd8c0a19ed134a66d0c3c91f9183d3e4b2553477ae1186b1a0926d447335082e36b83af946ff18966ca86d672a3.p.3082.0.1.Europe/Madrid.upriv*_1*_pidn2*_47*_session*-lat*_1.00000001fac8465543178d6bd3024a3384a0b5d5bc6025e032e23957059ce6b1a5567bacfc78770be8caaddf6d1b73fa21804ac0ff9df77d.000000019a9df8ce9256e99c310b6dcc4d2a0918bc6025e0d79b740aea4f3bdcef643fa24844c59ece50e1e4e8acfb322cff11103c0fa980.0.1.1.BDEbi.D066E1C611E6257C10D00080EF253B44.0-3082.1.1_-0.1.0_-3082.1.1_5.5.0.*0.00000001c8ba86d82502830d09a140f092662406c911585a72e79ce4f133921c7fd73da9c9acf27f.0.23.11*.2*.0400*.31152J.e.00000001630a12e6a7c3383c2fc92ef15faa8882c911585a8701b2cd611b0ce7d1d81fab335a7881.0.10*.131*.122*.122.0.0" msgID="22ADC61811ED010C310D0080EFC5BBBD"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nrr="90" nrc="516"&gt;&lt;pg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</si>
  <si>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c3dfa3fe447246438429ec0c648f4d33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</si>
  <si>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ut="07/11/2022 11:27:18" si="2.00000001977d6b67240f08eafd930964e04df91ef6842b5ef6e1b53d4b0d2a33382cda1be30074b1741ba55dc396442f8156d4e14f772a61c017ea1199eeec34c2bb2de31b0c23a72ab55f6a2cffed561415b35f564a91a5afdac89af172b41258323cfa4442392ed95c7609013394b65fe9d139cfd8c0a19ed134a66d0c3c91f9183d3e4b2553477ae1186b1a0926d447335082e36b83af946ff18966ca86d672a3.p.3082.0.1.Europe/Madrid.upriv*_1*_pidn2*_47*_session*-lat*_1.00000001fac8465543178d6bd3024a3384a0b5d5bc6025e032e23957059ce6b1a5567bacfc78770be8caaddf6d1b73fa21804ac0ff9df77d.000000019a9df8ce9256e99c310b6dcc4d2a0918bc6025e0d79b740aea4f3bdcef643fa24844c59ece50e1e4e8acfb322cff11103c0fa980.0.1.1.BDEbi.D066E1C611E6257C10D00080EF253B44.0-3082.1.1_-0.1.0_-3082.1.1_5.5.0.*0.00000001c8ba86d82502830d09a140f092662406c911585a72e79ce4f133921c7fd73da9c9acf27f.0.23.11*.2*.0400*.31152J.e.00000001630a12e6a7c3383c2fc92ef15faa8882c911585a8701b2cd611b0ce7d1d81fab335a7881.0.10*.131*.122*.122.0.0" msgID="66B4EB5C11ED010C310D0080EF55DABC"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nrr="44" nrc="540"&gt;&lt;pg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</si>
</sst>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-5.4123050795121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6.536591014358499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2.9949822448664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6.1788617886178801E-2"/>
                  <c:y val="-0.150495599814729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5934959349593483"/>
                  <c:y val="-0.11764242704955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5.074759000920805</c:v>
                </c:pt>
                <c:pt idx="1">
                  <c:v>9.2266606605595562</c:v>
                </c:pt>
                <c:pt idx="2">
                  <c:v>5.7316513096581128</c:v>
                </c:pt>
                <c:pt idx="3">
                  <c:v>64.011703431739292</c:v>
                </c:pt>
                <c:pt idx="4">
                  <c:v>0</c:v>
                </c:pt>
                <c:pt idx="5">
                  <c:v>0.26753838621171849</c:v>
                </c:pt>
                <c:pt idx="6">
                  <c:v>2.2962644876508396</c:v>
                </c:pt>
                <c:pt idx="7">
                  <c:v>2.2962644876508396</c:v>
                </c:pt>
                <c:pt idx="8">
                  <c:v>4.9201477041087814E-3</c:v>
                </c:pt>
                <c:pt idx="9">
                  <c:v>4.9367895543066602</c:v>
                </c:pt>
                <c:pt idx="10">
                  <c:v>1.9360695887134925E-2</c:v>
                </c:pt>
                <c:pt idx="11">
                  <c:v>6.1340878377109398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4634146341463414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2520325203252028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11.581138927373781</c:v>
                </c:pt>
                <c:pt idx="1">
                  <c:v>6.6932453004805357</c:v>
                </c:pt>
                <c:pt idx="2">
                  <c:v>28.957648785651447</c:v>
                </c:pt>
                <c:pt idx="3">
                  <c:v>39.511273728589906</c:v>
                </c:pt>
                <c:pt idx="4">
                  <c:v>0</c:v>
                </c:pt>
                <c:pt idx="5">
                  <c:v>0.55327306741346638</c:v>
                </c:pt>
                <c:pt idx="6">
                  <c:v>1.7957487391533145</c:v>
                </c:pt>
                <c:pt idx="7">
                  <c:v>1.7957487391533145</c:v>
                </c:pt>
                <c:pt idx="8">
                  <c:v>0.17321292985282302</c:v>
                </c:pt>
                <c:pt idx="9">
                  <c:v>8.8364385306095805</c:v>
                </c:pt>
                <c:pt idx="10">
                  <c:v>0.10227125172183314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41.953423999999998</c:v>
                </c:pt>
                <c:pt idx="1">
                  <c:v>9.292719</c:v>
                </c:pt>
                <c:pt idx="2">
                  <c:v>-0.72875599999999996</c:v>
                </c:pt>
                <c:pt idx="3">
                  <c:v>-0.54997399999999996</c:v>
                </c:pt>
                <c:pt idx="4">
                  <c:v>-0.58327700000000005</c:v>
                </c:pt>
                <c:pt idx="5">
                  <c:v>-0.582067</c:v>
                </c:pt>
                <c:pt idx="6">
                  <c:v>-0.61424800000000002</c:v>
                </c:pt>
                <c:pt idx="7">
                  <c:v>-0.627467</c:v>
                </c:pt>
                <c:pt idx="8">
                  <c:v>-0.58012699999999995</c:v>
                </c:pt>
                <c:pt idx="9">
                  <c:v>-0.66887300000000005</c:v>
                </c:pt>
                <c:pt idx="10">
                  <c:v>-0.60498099999999999</c:v>
                </c:pt>
                <c:pt idx="11">
                  <c:v>-1.0302370000000001</c:v>
                </c:pt>
                <c:pt idx="12">
                  <c:v>29.141857000000002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60.343260999999998</c:v>
                </c:pt>
                <c:pt idx="1">
                  <c:v>87.100239000000002</c:v>
                </c:pt>
                <c:pt idx="2">
                  <c:v>103.041223</c:v>
                </c:pt>
                <c:pt idx="3">
                  <c:v>93.585977999999997</c:v>
                </c:pt>
                <c:pt idx="4">
                  <c:v>60.567518999999997</c:v>
                </c:pt>
                <c:pt idx="5">
                  <c:v>37.046178999999995</c:v>
                </c:pt>
                <c:pt idx="6">
                  <c:v>38.331002999999995</c:v>
                </c:pt>
                <c:pt idx="7">
                  <c:v>46.216700000000003</c:v>
                </c:pt>
                <c:pt idx="8">
                  <c:v>39.301479</c:v>
                </c:pt>
                <c:pt idx="9">
                  <c:v>43.217820000000003</c:v>
                </c:pt>
                <c:pt idx="10">
                  <c:v>55.506872999999999</c:v>
                </c:pt>
                <c:pt idx="11">
                  <c:v>70.042845</c:v>
                </c:pt>
                <c:pt idx="12">
                  <c:v>85.898263999999998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240.58060900000001</c:v>
                </c:pt>
                <c:pt idx="1">
                  <c:v>408.79444899999999</c:v>
                </c:pt>
                <c:pt idx="2">
                  <c:v>437.91378300000002</c:v>
                </c:pt>
                <c:pt idx="3">
                  <c:v>367.24080800000002</c:v>
                </c:pt>
                <c:pt idx="4">
                  <c:v>312.10340600000001</c:v>
                </c:pt>
                <c:pt idx="5">
                  <c:v>305.43751500000002</c:v>
                </c:pt>
                <c:pt idx="6">
                  <c:v>332.59120100000001</c:v>
                </c:pt>
                <c:pt idx="7">
                  <c:v>350.08292499999999</c:v>
                </c:pt>
                <c:pt idx="8">
                  <c:v>298.62258500000002</c:v>
                </c:pt>
                <c:pt idx="9">
                  <c:v>331.00133499999998</c:v>
                </c:pt>
                <c:pt idx="10">
                  <c:v>307.42903200000001</c:v>
                </c:pt>
                <c:pt idx="11">
                  <c:v>317.55595499999998</c:v>
                </c:pt>
                <c:pt idx="12">
                  <c:v>367.58788099999998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9.4216999999999995E-2</c:v>
                </c:pt>
                <c:pt idx="1">
                  <c:v>0.106017</c:v>
                </c:pt>
                <c:pt idx="2">
                  <c:v>0.20128099999999999</c:v>
                </c:pt>
                <c:pt idx="3">
                  <c:v>0.27444800000000003</c:v>
                </c:pt>
                <c:pt idx="4">
                  <c:v>0.26974799999999999</c:v>
                </c:pt>
                <c:pt idx="5">
                  <c:v>6.1364000000000002E-2</c:v>
                </c:pt>
                <c:pt idx="6">
                  <c:v>0.10125000000000001</c:v>
                </c:pt>
                <c:pt idx="7">
                  <c:v>0.215638</c:v>
                </c:pt>
                <c:pt idx="8">
                  <c:v>0.22824</c:v>
                </c:pt>
                <c:pt idx="9">
                  <c:v>0.33845999999999998</c:v>
                </c:pt>
                <c:pt idx="10">
                  <c:v>0.239788</c:v>
                </c:pt>
                <c:pt idx="11">
                  <c:v>0.16079099999999999</c:v>
                </c:pt>
                <c:pt idx="12">
                  <c:v>2.8254000000000001E-2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21.169694</c:v>
                </c:pt>
                <c:pt idx="1">
                  <c:v>22.966384000000001</c:v>
                </c:pt>
                <c:pt idx="2">
                  <c:v>21.414781000000001</c:v>
                </c:pt>
                <c:pt idx="3">
                  <c:v>17.622215000000001</c:v>
                </c:pt>
                <c:pt idx="4">
                  <c:v>16.792960999999998</c:v>
                </c:pt>
                <c:pt idx="5">
                  <c:v>8.8102359999999997</c:v>
                </c:pt>
                <c:pt idx="6">
                  <c:v>11.149039999999999</c:v>
                </c:pt>
                <c:pt idx="7">
                  <c:v>14.422969999999999</c:v>
                </c:pt>
                <c:pt idx="8">
                  <c:v>17.843508</c:v>
                </c:pt>
                <c:pt idx="9">
                  <c:v>13.692501999999999</c:v>
                </c:pt>
                <c:pt idx="10">
                  <c:v>21.880269999999999</c:v>
                </c:pt>
                <c:pt idx="11">
                  <c:v>26.907304</c:v>
                </c:pt>
                <c:pt idx="12">
                  <c:v>28.349565999999999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0.10044400000000001</c:v>
                </c:pt>
                <c:pt idx="1">
                  <c:v>9.6151E-2</c:v>
                </c:pt>
                <c:pt idx="2">
                  <c:v>8.4413000000000002E-2</c:v>
                </c:pt>
                <c:pt idx="3">
                  <c:v>8.1381999999999996E-2</c:v>
                </c:pt>
                <c:pt idx="4">
                  <c:v>0.243059</c:v>
                </c:pt>
                <c:pt idx="5">
                  <c:v>0.24007600000000001</c:v>
                </c:pt>
                <c:pt idx="6">
                  <c:v>0.230462</c:v>
                </c:pt>
                <c:pt idx="7">
                  <c:v>0.285244</c:v>
                </c:pt>
                <c:pt idx="8">
                  <c:v>0.28095199999999998</c:v>
                </c:pt>
                <c:pt idx="9">
                  <c:v>0.29118100000000002</c:v>
                </c:pt>
                <c:pt idx="10">
                  <c:v>0.16531499999999999</c:v>
                </c:pt>
                <c:pt idx="11">
                  <c:v>0.166327</c:v>
                </c:pt>
                <c:pt idx="12">
                  <c:v>0.111179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3.062163</c:v>
                </c:pt>
                <c:pt idx="1">
                  <c:v>4.0856940000000002</c:v>
                </c:pt>
                <c:pt idx="2">
                  <c:v>3.9309270000000001</c:v>
                </c:pt>
                <c:pt idx="3">
                  <c:v>3.8190279999999999</c:v>
                </c:pt>
                <c:pt idx="4">
                  <c:v>4.0205719999999996</c:v>
                </c:pt>
                <c:pt idx="5">
                  <c:v>1.4121680000000001</c:v>
                </c:pt>
                <c:pt idx="6">
                  <c:v>3.5189080000000001</c:v>
                </c:pt>
                <c:pt idx="7">
                  <c:v>3.4010050000000001</c:v>
                </c:pt>
                <c:pt idx="8">
                  <c:v>3.0684070000000001</c:v>
                </c:pt>
                <c:pt idx="9">
                  <c:v>3.993204</c:v>
                </c:pt>
                <c:pt idx="10">
                  <c:v>1.8386769999999999</c:v>
                </c:pt>
                <c:pt idx="11">
                  <c:v>1.9461250000000001</c:v>
                </c:pt>
                <c:pt idx="12">
                  <c:v>1.5363420000000001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13.481942</c:v>
                </c:pt>
                <c:pt idx="1">
                  <c:v>11.473026000000001</c:v>
                </c:pt>
                <c:pt idx="2">
                  <c:v>13.3199895</c:v>
                </c:pt>
                <c:pt idx="3">
                  <c:v>11.972504499999999</c:v>
                </c:pt>
                <c:pt idx="4">
                  <c:v>6.4146000000000001</c:v>
                </c:pt>
                <c:pt idx="5">
                  <c:v>13.8683715</c:v>
                </c:pt>
                <c:pt idx="6">
                  <c:v>8.8660929999999993</c:v>
                </c:pt>
                <c:pt idx="7">
                  <c:v>9.8711500000000001</c:v>
                </c:pt>
                <c:pt idx="8">
                  <c:v>5.4414375000000001</c:v>
                </c:pt>
                <c:pt idx="9">
                  <c:v>9.6633200000000006</c:v>
                </c:pt>
                <c:pt idx="10">
                  <c:v>7.8050050000000004</c:v>
                </c:pt>
                <c:pt idx="11">
                  <c:v>11.846121999999999</c:v>
                </c:pt>
                <c:pt idx="12">
                  <c:v>13.186323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13.481942</c:v>
                </c:pt>
                <c:pt idx="1">
                  <c:v>11.473026000000001</c:v>
                </c:pt>
                <c:pt idx="2">
                  <c:v>13.3199895</c:v>
                </c:pt>
                <c:pt idx="3">
                  <c:v>11.972504499999999</c:v>
                </c:pt>
                <c:pt idx="4">
                  <c:v>6.4146000000000001</c:v>
                </c:pt>
                <c:pt idx="5">
                  <c:v>13.8683715</c:v>
                </c:pt>
                <c:pt idx="6">
                  <c:v>8.8660929999999993</c:v>
                </c:pt>
                <c:pt idx="7">
                  <c:v>9.8711500000000001</c:v>
                </c:pt>
                <c:pt idx="8">
                  <c:v>5.4414375000000001</c:v>
                </c:pt>
                <c:pt idx="9">
                  <c:v>9.6633200000000006</c:v>
                </c:pt>
                <c:pt idx="10">
                  <c:v>7.8050050000000004</c:v>
                </c:pt>
                <c:pt idx="11">
                  <c:v>11.846121999999999</c:v>
                </c:pt>
                <c:pt idx="12">
                  <c:v>13.186323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65.429468</c:v>
                </c:pt>
                <c:pt idx="1">
                  <c:v>45.879221000000001</c:v>
                </c:pt>
                <c:pt idx="2">
                  <c:v>40.107311000000003</c:v>
                </c:pt>
                <c:pt idx="3">
                  <c:v>37.549396999999999</c:v>
                </c:pt>
                <c:pt idx="4">
                  <c:v>38.285525</c:v>
                </c:pt>
                <c:pt idx="5">
                  <c:v>28.435708999999999</c:v>
                </c:pt>
                <c:pt idx="6">
                  <c:v>32.270831999999999</c:v>
                </c:pt>
                <c:pt idx="7">
                  <c:v>31.159338999999999</c:v>
                </c:pt>
                <c:pt idx="8">
                  <c:v>27.502502</c:v>
                </c:pt>
                <c:pt idx="9">
                  <c:v>30.689281000000001</c:v>
                </c:pt>
                <c:pt idx="10">
                  <c:v>33.641058999999998</c:v>
                </c:pt>
                <c:pt idx="11">
                  <c:v>32.047055999999998</c:v>
                </c:pt>
                <c:pt idx="12">
                  <c:v>35.225064000000003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15.357439273541601</c:v>
                </c:pt>
                <c:pt idx="1">
                  <c:v>16.400185591208245</c:v>
                </c:pt>
                <c:pt idx="2">
                  <c:v>15.199972297149777</c:v>
                </c:pt>
                <c:pt idx="3">
                  <c:v>27.25438427389652</c:v>
                </c:pt>
                <c:pt idx="4">
                  <c:v>1.2030476996335189</c:v>
                </c:pt>
                <c:pt idx="5">
                  <c:v>4.7869960823113837E-2</c:v>
                </c:pt>
                <c:pt idx="6">
                  <c:v>0.35650523455108463</c:v>
                </c:pt>
                <c:pt idx="7">
                  <c:v>17.715507245009132</c:v>
                </c:pt>
                <c:pt idx="8">
                  <c:v>6.3486888352381756</c:v>
                </c:pt>
                <c:pt idx="9">
                  <c:v>0.1163995889488347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910569105691056"/>
                  <c:y val="-2.45098039215686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463E-2"/>
                  <c:y val="-0.134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20.245147722445054</c:v>
                </c:pt>
                <c:pt idx="1">
                  <c:v>2.1295968016081539</c:v>
                </c:pt>
                <c:pt idx="2">
                  <c:v>8.7559899702750084</c:v>
                </c:pt>
                <c:pt idx="3">
                  <c:v>40.957048264209419</c:v>
                </c:pt>
                <c:pt idx="4">
                  <c:v>0</c:v>
                </c:pt>
                <c:pt idx="5">
                  <c:v>4.0639176400309764E-2</c:v>
                </c:pt>
                <c:pt idx="6">
                  <c:v>0.35378150401105535</c:v>
                </c:pt>
                <c:pt idx="7">
                  <c:v>23.009533447919146</c:v>
                </c:pt>
                <c:pt idx="8">
                  <c:v>4.4077269239259902</c:v>
                </c:pt>
                <c:pt idx="9">
                  <c:v>0.10053618920586541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0.28217700000000001</c:v>
                </c:pt>
                <c:pt idx="1">
                  <c:v>0.28972599999999998</c:v>
                </c:pt>
                <c:pt idx="2">
                  <c:v>0.28065899999999999</c:v>
                </c:pt>
                <c:pt idx="3">
                  <c:v>0.27753299999999997</c:v>
                </c:pt>
                <c:pt idx="4">
                  <c:v>0.28213100000000002</c:v>
                </c:pt>
                <c:pt idx="5">
                  <c:v>0.23125799999999999</c:v>
                </c:pt>
                <c:pt idx="6">
                  <c:v>0.15536</c:v>
                </c:pt>
                <c:pt idx="7">
                  <c:v>0.294213</c:v>
                </c:pt>
                <c:pt idx="8">
                  <c:v>0.25058200000000003</c:v>
                </c:pt>
                <c:pt idx="9">
                  <c:v>0.29644599999999999</c:v>
                </c:pt>
                <c:pt idx="10">
                  <c:v>0.27407199999999998</c:v>
                </c:pt>
                <c:pt idx="11">
                  <c:v>0.29880499999999999</c:v>
                </c:pt>
                <c:pt idx="12">
                  <c:v>0.28138299999999999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182.213075</c:v>
                </c:pt>
                <c:pt idx="1">
                  <c:v>222.63896800000001</c:v>
                </c:pt>
                <c:pt idx="2">
                  <c:v>266.148821</c:v>
                </c:pt>
                <c:pt idx="3">
                  <c:v>313.81515200000001</c:v>
                </c:pt>
                <c:pt idx="4">
                  <c:v>299.91658699999999</c:v>
                </c:pt>
                <c:pt idx="5">
                  <c:v>280.34116800000004</c:v>
                </c:pt>
                <c:pt idx="6">
                  <c:v>286.85584700000004</c:v>
                </c:pt>
                <c:pt idx="7">
                  <c:v>282.52258499999999</c:v>
                </c:pt>
                <c:pt idx="8">
                  <c:v>254.215059</c:v>
                </c:pt>
                <c:pt idx="9">
                  <c:v>285.48886599999997</c:v>
                </c:pt>
                <c:pt idx="10">
                  <c:v>258.29193100000003</c:v>
                </c:pt>
                <c:pt idx="11">
                  <c:v>244.42552999999998</c:v>
                </c:pt>
                <c:pt idx="12">
                  <c:v>215.54716999999999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276.61590899999999</c:v>
                </c:pt>
                <c:pt idx="1">
                  <c:v>284.60979800000001</c:v>
                </c:pt>
                <c:pt idx="2">
                  <c:v>284.30052499999999</c:v>
                </c:pt>
                <c:pt idx="3">
                  <c:v>278.88830000000002</c:v>
                </c:pt>
                <c:pt idx="4">
                  <c:v>288.42916700000001</c:v>
                </c:pt>
                <c:pt idx="5">
                  <c:v>314.272829</c:v>
                </c:pt>
                <c:pt idx="6">
                  <c:v>321.01253800000001</c:v>
                </c:pt>
                <c:pt idx="7">
                  <c:v>350.31383599999998</c:v>
                </c:pt>
                <c:pt idx="8">
                  <c:v>285.33313399999997</c:v>
                </c:pt>
                <c:pt idx="9">
                  <c:v>288.5179</c:v>
                </c:pt>
                <c:pt idx="10">
                  <c:v>265.37271800000002</c:v>
                </c:pt>
                <c:pt idx="11">
                  <c:v>303.45663500000001</c:v>
                </c:pt>
                <c:pt idx="12">
                  <c:v>283.58392400000002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3.0020419999999999</c:v>
                </c:pt>
                <c:pt idx="1">
                  <c:v>3.5782180000000001</c:v>
                </c:pt>
                <c:pt idx="2">
                  <c:v>2.663478</c:v>
                </c:pt>
                <c:pt idx="3">
                  <c:v>1.4201079999999999</c:v>
                </c:pt>
                <c:pt idx="4">
                  <c:v>1.852679</c:v>
                </c:pt>
                <c:pt idx="5">
                  <c:v>1.1397900000000001</c:v>
                </c:pt>
                <c:pt idx="6">
                  <c:v>1.2278610000000001</c:v>
                </c:pt>
                <c:pt idx="7">
                  <c:v>1.110916</c:v>
                </c:pt>
                <c:pt idx="8">
                  <c:v>1.4820450000000001</c:v>
                </c:pt>
                <c:pt idx="9">
                  <c:v>2.1263230000000002</c:v>
                </c:pt>
                <c:pt idx="10">
                  <c:v>1.7525280000000001</c:v>
                </c:pt>
                <c:pt idx="11">
                  <c:v>1.9171739999999999</c:v>
                </c:pt>
                <c:pt idx="12">
                  <c:v>2.44956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148.01756800000001</c:v>
                </c:pt>
                <c:pt idx="1">
                  <c:v>158.51629800000001</c:v>
                </c:pt>
                <c:pt idx="2">
                  <c:v>145.95032699999999</c:v>
                </c:pt>
                <c:pt idx="3">
                  <c:v>107.853368</c:v>
                </c:pt>
                <c:pt idx="4">
                  <c:v>121.987015</c:v>
                </c:pt>
                <c:pt idx="5">
                  <c:v>91.770038</c:v>
                </c:pt>
                <c:pt idx="6">
                  <c:v>92.867580000000004</c:v>
                </c:pt>
                <c:pt idx="7">
                  <c:v>60.148176999999997</c:v>
                </c:pt>
                <c:pt idx="8">
                  <c:v>88.981584999999995</c:v>
                </c:pt>
                <c:pt idx="9">
                  <c:v>109.43612899999999</c:v>
                </c:pt>
                <c:pt idx="10">
                  <c:v>120.763114</c:v>
                </c:pt>
                <c:pt idx="11">
                  <c:v>116.79283100000001</c:v>
                </c:pt>
                <c:pt idx="12">
                  <c:v>159.31650500000001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24.741710999999999</c:v>
                </c:pt>
                <c:pt idx="1">
                  <c:v>27.937771999999999</c:v>
                </c:pt>
                <c:pt idx="2">
                  <c:v>26.120768999999999</c:v>
                </c:pt>
                <c:pt idx="3">
                  <c:v>21.565273000000001</c:v>
                </c:pt>
                <c:pt idx="4">
                  <c:v>20.979474</c:v>
                </c:pt>
                <c:pt idx="5">
                  <c:v>14.946410999999999</c:v>
                </c:pt>
                <c:pt idx="6">
                  <c:v>16.937016</c:v>
                </c:pt>
                <c:pt idx="7">
                  <c:v>17.956958</c:v>
                </c:pt>
                <c:pt idx="8">
                  <c:v>18.798999999999999</c:v>
                </c:pt>
                <c:pt idx="9">
                  <c:v>24.968492999999999</c:v>
                </c:pt>
                <c:pt idx="10">
                  <c:v>24.757097000000002</c:v>
                </c:pt>
                <c:pt idx="11">
                  <c:v>32.832608</c:v>
                </c:pt>
                <c:pt idx="12">
                  <c:v>30.518813000000002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jun.-21</c:v>
                </c:pt>
                <c:pt idx="1">
                  <c:v>jul.-21</c:v>
                </c:pt>
                <c:pt idx="2">
                  <c:v>ago.-21</c:v>
                </c:pt>
                <c:pt idx="3">
                  <c:v>sep.-21</c:v>
                </c:pt>
                <c:pt idx="4">
                  <c:v>oct.-21</c:v>
                </c:pt>
                <c:pt idx="5">
                  <c:v>nov.-21</c:v>
                </c:pt>
                <c:pt idx="6">
                  <c:v>dic.-21</c:v>
                </c:pt>
                <c:pt idx="7">
                  <c:v>ene.-22</c:v>
                </c:pt>
                <c:pt idx="8">
                  <c:v>feb.-22</c:v>
                </c:pt>
                <c:pt idx="9">
                  <c:v>mar.-22</c:v>
                </c:pt>
                <c:pt idx="10">
                  <c:v>abr.-22</c:v>
                </c:pt>
                <c:pt idx="11">
                  <c:v>may.-22</c:v>
                </c:pt>
                <c:pt idx="12">
                  <c:v>jun.-22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0.72395900000000002</c:v>
                </c:pt>
                <c:pt idx="1">
                  <c:v>0.73402900000000004</c:v>
                </c:pt>
                <c:pt idx="2">
                  <c:v>0.56980699999999995</c:v>
                </c:pt>
                <c:pt idx="3">
                  <c:v>0.40013300000000002</c:v>
                </c:pt>
                <c:pt idx="4">
                  <c:v>0.75599700000000003</c:v>
                </c:pt>
                <c:pt idx="5">
                  <c:v>0.75323799999999996</c:v>
                </c:pt>
                <c:pt idx="6">
                  <c:v>0.822349</c:v>
                </c:pt>
                <c:pt idx="7">
                  <c:v>0.86053100000000005</c:v>
                </c:pt>
                <c:pt idx="8">
                  <c:v>0.72069799999999995</c:v>
                </c:pt>
                <c:pt idx="9">
                  <c:v>0.90984399999999999</c:v>
                </c:pt>
                <c:pt idx="10">
                  <c:v>0.61352399999999996</c:v>
                </c:pt>
                <c:pt idx="11">
                  <c:v>0.72146399999999999</c:v>
                </c:pt>
                <c:pt idx="12">
                  <c:v>0.696106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C22" sqref="C22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Junio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32" zoomScale="80" zoomScaleNormal="80" workbookViewId="0">
      <selection activeCell="D68" sqref="D68:D78"/>
    </sheetView>
  </sheetViews>
  <sheetFormatPr baseColWidth="10" defaultColWidth="11.42578125" defaultRowHeight="12"/>
  <cols>
    <col min="1" max="1" width="9.28515625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123</v>
      </c>
      <c r="B2" s="144" t="s">
        <v>124</v>
      </c>
    </row>
    <row r="4" spans="1:33" ht="15">
      <c r="A4" s="145" t="s">
        <v>67</v>
      </c>
      <c r="B4" s="206" t="s">
        <v>123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281.38299999999998</v>
      </c>
      <c r="AA8" s="158">
        <v>282.17700000000002</v>
      </c>
      <c r="AB8" s="151">
        <v>-2.8138366999999999E-3</v>
      </c>
      <c r="AC8" s="158">
        <v>1695.501</v>
      </c>
      <c r="AD8" s="158">
        <v>1526.2349999999999</v>
      </c>
      <c r="AE8" s="151">
        <v>0.1109042841</v>
      </c>
      <c r="AF8" s="158">
        <v>3212.1680000000001</v>
      </c>
      <c r="AG8" s="151">
        <v>-2.2747912299999999E-2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29141.857</v>
      </c>
      <c r="S9" s="158">
        <v>41953.423999999999</v>
      </c>
      <c r="T9" s="151">
        <v>-0.30537595690000002</v>
      </c>
      <c r="U9" s="158">
        <v>25630.171999999999</v>
      </c>
      <c r="V9" s="158">
        <v>38368.237000000001</v>
      </c>
      <c r="W9" s="151">
        <v>-0.33199505620000003</v>
      </c>
      <c r="X9" s="158">
        <v>31864.569</v>
      </c>
      <c r="Y9" s="151">
        <v>-0.88243313509999999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16550.761999999999</v>
      </c>
      <c r="C10" s="158">
        <v>15647.583000000001</v>
      </c>
      <c r="D10" s="151">
        <v>5.7720032499999997E-2</v>
      </c>
      <c r="E10" s="158">
        <v>97765.733999999997</v>
      </c>
      <c r="F10" s="158">
        <v>95352.111999999994</v>
      </c>
      <c r="G10" s="151">
        <v>2.5312727199999999E-2</v>
      </c>
      <c r="H10" s="158">
        <v>199092.573</v>
      </c>
      <c r="I10" s="151">
        <v>1.06709821E-2</v>
      </c>
      <c r="J10" s="158">
        <v>15136.259</v>
      </c>
      <c r="K10" s="158">
        <v>15615.423000000001</v>
      </c>
      <c r="L10" s="151">
        <v>-3.0685303899999999E-2</v>
      </c>
      <c r="M10" s="158">
        <v>88102.532000000007</v>
      </c>
      <c r="N10" s="158">
        <v>91223.591</v>
      </c>
      <c r="O10" s="151">
        <v>-3.4213288100000003E-2</v>
      </c>
      <c r="P10" s="158">
        <v>189808.75899999999</v>
      </c>
      <c r="Q10" s="151">
        <v>-3.5469819299999997E-2</v>
      </c>
      <c r="R10" s="158">
        <v>52984.196000000004</v>
      </c>
      <c r="S10" s="158">
        <v>40523.57</v>
      </c>
      <c r="T10" s="151">
        <v>0.30749082570000003</v>
      </c>
      <c r="U10" s="158">
        <v>220542.77900000001</v>
      </c>
      <c r="V10" s="158">
        <v>139141.79999999999</v>
      </c>
      <c r="W10" s="151">
        <v>0.58502174760000003</v>
      </c>
      <c r="X10" s="158">
        <v>480281.26400000002</v>
      </c>
      <c r="Y10" s="151">
        <v>0.58239029720000002</v>
      </c>
      <c r="Z10" s="158">
        <v>140176.079</v>
      </c>
      <c r="AA10" s="158">
        <v>133476.36300000001</v>
      </c>
      <c r="AB10" s="151">
        <v>5.0194025699999999E-2</v>
      </c>
      <c r="AC10" s="158">
        <v>842530.32499999995</v>
      </c>
      <c r="AD10" s="158">
        <v>781740.39</v>
      </c>
      <c r="AE10" s="151">
        <v>7.7762305500000004E-2</v>
      </c>
      <c r="AF10" s="158">
        <v>1777697.4820000001</v>
      </c>
      <c r="AG10" s="151">
        <v>7.0755278300000002E-2</v>
      </c>
    </row>
    <row r="11" spans="1:33">
      <c r="A11" s="144" t="s">
        <v>9</v>
      </c>
      <c r="B11" s="158">
        <v>63.921999999999997</v>
      </c>
      <c r="C11" s="158">
        <v>6.3250000000000002</v>
      </c>
      <c r="D11" s="151">
        <v>9.1062450593000008</v>
      </c>
      <c r="E11" s="158">
        <v>111.68600000000001</v>
      </c>
      <c r="F11" s="158">
        <v>39.506</v>
      </c>
      <c r="G11" s="151">
        <v>1.8270642434</v>
      </c>
      <c r="H11" s="158">
        <v>279.07299999999998</v>
      </c>
      <c r="I11" s="151">
        <v>0.48518134159999998</v>
      </c>
      <c r="J11" s="158">
        <v>10.843</v>
      </c>
      <c r="K11" s="158">
        <v>1.0840000000000001</v>
      </c>
      <c r="L11" s="151">
        <v>9.0027675276999997</v>
      </c>
      <c r="M11" s="158">
        <v>88.103999999999999</v>
      </c>
      <c r="N11" s="158">
        <v>72.343000000000004</v>
      </c>
      <c r="O11" s="151">
        <v>0.2178648936</v>
      </c>
      <c r="P11" s="158">
        <v>106.85299999999999</v>
      </c>
      <c r="Q11" s="151">
        <v>-0.33425336909999998</v>
      </c>
      <c r="R11" s="158">
        <v>32914.067999999999</v>
      </c>
      <c r="S11" s="158">
        <v>18862.038</v>
      </c>
      <c r="T11" s="151">
        <v>0.74499001649999996</v>
      </c>
      <c r="U11" s="158">
        <v>119641.202</v>
      </c>
      <c r="V11" s="158">
        <v>74217.872000000003</v>
      </c>
      <c r="W11" s="151">
        <v>0.61202684439999999</v>
      </c>
      <c r="X11" s="158">
        <v>269683.61800000002</v>
      </c>
      <c r="Y11" s="151">
        <v>0.41014025320000003</v>
      </c>
      <c r="Z11" s="158">
        <v>14745.189</v>
      </c>
      <c r="AA11" s="158">
        <v>15249.77</v>
      </c>
      <c r="AB11" s="151">
        <v>-3.3087777700000001E-2</v>
      </c>
      <c r="AC11" s="158">
        <v>112410.61599999999</v>
      </c>
      <c r="AD11" s="158">
        <v>83955.967999999993</v>
      </c>
      <c r="AE11" s="151">
        <v>0.33892347</v>
      </c>
      <c r="AF11" s="158">
        <v>227480.34599999999</v>
      </c>
      <c r="AG11" s="151">
        <v>0.1117741626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60625.902000000002</v>
      </c>
      <c r="AA12" s="158">
        <v>33486.942000000003</v>
      </c>
      <c r="AB12" s="151">
        <v>0.81043410890000001</v>
      </c>
      <c r="AC12" s="158">
        <v>585550.19999999995</v>
      </c>
      <c r="AD12" s="158">
        <v>488557.84700000001</v>
      </c>
      <c r="AE12" s="151">
        <v>0.19852787869999999</v>
      </c>
      <c r="AF12" s="158">
        <v>1205029.8559999999</v>
      </c>
      <c r="AG12" s="151">
        <v>1.38560765E-2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367587.88099999999</v>
      </c>
      <c r="S13" s="158">
        <v>240580.609</v>
      </c>
      <c r="T13" s="151">
        <v>0.52791982079999999</v>
      </c>
      <c r="U13" s="158">
        <v>1972279.713</v>
      </c>
      <c r="V13" s="158">
        <v>1318139.8740000001</v>
      </c>
      <c r="W13" s="151">
        <v>0.49625980660000002</v>
      </c>
      <c r="X13" s="158">
        <v>4136360.875</v>
      </c>
      <c r="Y13" s="151">
        <v>0.68256398029999998</v>
      </c>
      <c r="Z13" s="158">
        <v>283583.924</v>
      </c>
      <c r="AA13" s="158">
        <v>276615.90899999999</v>
      </c>
      <c r="AB13" s="151">
        <v>2.5190217800000001E-2</v>
      </c>
      <c r="AC13" s="158">
        <v>1776578.1470000001</v>
      </c>
      <c r="AD13" s="158">
        <v>1658726.442</v>
      </c>
      <c r="AE13" s="151">
        <v>7.1049512499999995E-2</v>
      </c>
      <c r="AF13" s="158">
        <v>3548091.304</v>
      </c>
      <c r="AG13" s="151">
        <v>8.7763888299999995E-2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957.65300000000002</v>
      </c>
      <c r="T14" s="151">
        <v>-1</v>
      </c>
      <c r="U14" s="158">
        <v>0</v>
      </c>
      <c r="V14" s="158">
        <v>2134.8220000000001</v>
      </c>
      <c r="W14" s="151">
        <v>-1</v>
      </c>
      <c r="X14" s="158">
        <v>9891.24</v>
      </c>
      <c r="Y14" s="151">
        <v>0.63799323460000001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2449.56</v>
      </c>
      <c r="AA15" s="158">
        <v>3002.0419999999999</v>
      </c>
      <c r="AB15" s="151">
        <v>-0.18403539990000001</v>
      </c>
      <c r="AC15" s="158">
        <v>10838.546</v>
      </c>
      <c r="AD15" s="158">
        <v>11206.123</v>
      </c>
      <c r="AE15" s="151">
        <v>-3.2801442600000001E-2</v>
      </c>
      <c r="AF15" s="158">
        <v>22720.68</v>
      </c>
      <c r="AG15" s="151">
        <v>-3.6573901499999999E-2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28.254000000000001</v>
      </c>
      <c r="S16" s="158">
        <v>94.216999999999999</v>
      </c>
      <c r="T16" s="151">
        <v>-0.70011781309999999</v>
      </c>
      <c r="U16" s="158">
        <v>1211.171</v>
      </c>
      <c r="V16" s="158">
        <v>1322.001</v>
      </c>
      <c r="W16" s="151">
        <v>-8.3835034899999994E-2</v>
      </c>
      <c r="X16" s="158">
        <v>2225.279</v>
      </c>
      <c r="Y16" s="151">
        <v>-0.2339757492</v>
      </c>
      <c r="Z16" s="158">
        <v>159316.505</v>
      </c>
      <c r="AA16" s="158">
        <v>148017.568</v>
      </c>
      <c r="AB16" s="151">
        <v>7.6335107700000002E-2</v>
      </c>
      <c r="AC16" s="158">
        <v>655438.34100000001</v>
      </c>
      <c r="AD16" s="158">
        <v>591080.73800000001</v>
      </c>
      <c r="AE16" s="151">
        <v>0.1088812388</v>
      </c>
      <c r="AF16" s="158">
        <v>1374382.9669999999</v>
      </c>
      <c r="AG16" s="151">
        <v>0.13278434889999999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7.907</v>
      </c>
      <c r="K17" s="158">
        <v>7.16</v>
      </c>
      <c r="L17" s="151">
        <v>0.1043296089</v>
      </c>
      <c r="M17" s="158">
        <v>37.735999999999997</v>
      </c>
      <c r="N17" s="158">
        <v>36.076000000000001</v>
      </c>
      <c r="O17" s="151">
        <v>4.6013970500000001E-2</v>
      </c>
      <c r="P17" s="158">
        <v>62.255000000000003</v>
      </c>
      <c r="Q17" s="151">
        <v>-0.15715581549999999</v>
      </c>
      <c r="R17" s="158">
        <v>28349.565999999999</v>
      </c>
      <c r="S17" s="158">
        <v>21169.694</v>
      </c>
      <c r="T17" s="151">
        <v>0.33915804360000001</v>
      </c>
      <c r="U17" s="158">
        <v>123096.12</v>
      </c>
      <c r="V17" s="158">
        <v>89491.307000000001</v>
      </c>
      <c r="W17" s="151">
        <v>0.37550924359999999</v>
      </c>
      <c r="X17" s="158">
        <v>221851.73699999999</v>
      </c>
      <c r="Y17" s="151">
        <v>0.49804665970000001</v>
      </c>
      <c r="Z17" s="158">
        <v>30518.812999999998</v>
      </c>
      <c r="AA17" s="158">
        <v>24741.710999999999</v>
      </c>
      <c r="AB17" s="151">
        <v>0.23349646269999999</v>
      </c>
      <c r="AC17" s="158">
        <v>149832.96900000001</v>
      </c>
      <c r="AD17" s="158">
        <v>133778.48000000001</v>
      </c>
      <c r="AE17" s="151">
        <v>0.1200080088</v>
      </c>
      <c r="AF17" s="158">
        <v>278319.68400000001</v>
      </c>
      <c r="AG17" s="151">
        <v>6.9423730700000005E-2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111.179</v>
      </c>
      <c r="S18" s="158">
        <v>100.444</v>
      </c>
      <c r="T18" s="151">
        <v>0.1068754729</v>
      </c>
      <c r="U18" s="158">
        <v>1300.1980000000001</v>
      </c>
      <c r="V18" s="158">
        <v>597.16200000000003</v>
      </c>
      <c r="W18" s="151">
        <v>1.1772952732999999</v>
      </c>
      <c r="X18" s="158">
        <v>2275.741</v>
      </c>
      <c r="Y18" s="151">
        <v>1.7120275905</v>
      </c>
      <c r="Z18" s="158">
        <v>696.10599999999999</v>
      </c>
      <c r="AA18" s="158">
        <v>723.95899999999995</v>
      </c>
      <c r="AB18" s="151">
        <v>-3.8473173200000002E-2</v>
      </c>
      <c r="AC18" s="158">
        <v>4522.1670000000004</v>
      </c>
      <c r="AD18" s="158">
        <v>4018.8380000000002</v>
      </c>
      <c r="AE18" s="151">
        <v>0.1252424208</v>
      </c>
      <c r="AF18" s="158">
        <v>8557.7199999999993</v>
      </c>
      <c r="AG18" s="151">
        <v>2.71654419E-2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1536.3420000000001</v>
      </c>
      <c r="S19" s="158">
        <v>3062.163</v>
      </c>
      <c r="T19" s="151">
        <v>-0.49828209670000001</v>
      </c>
      <c r="U19" s="158">
        <v>15783.76</v>
      </c>
      <c r="V19" s="158">
        <v>20557.766</v>
      </c>
      <c r="W19" s="151">
        <v>-0.2322239683</v>
      </c>
      <c r="X19" s="158">
        <v>36571.057000000001</v>
      </c>
      <c r="Y19" s="151">
        <v>4.23884697E-2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543.20550000000003</v>
      </c>
      <c r="K20" s="158">
        <v>488.81900000000002</v>
      </c>
      <c r="L20" s="151">
        <v>0.11126101889999999</v>
      </c>
      <c r="M20" s="158">
        <v>2981.1754999999998</v>
      </c>
      <c r="N20" s="158">
        <v>3301.123</v>
      </c>
      <c r="O20" s="151">
        <v>-9.6920805400000004E-2</v>
      </c>
      <c r="P20" s="158">
        <v>5828.4264999999996</v>
      </c>
      <c r="Q20" s="151">
        <v>-7.0112577100000004E-2</v>
      </c>
      <c r="R20" s="158">
        <v>13186.323</v>
      </c>
      <c r="S20" s="158">
        <v>13481.941999999999</v>
      </c>
      <c r="T20" s="151">
        <v>-2.1927034000000001E-2</v>
      </c>
      <c r="U20" s="158">
        <v>57813.357499999998</v>
      </c>
      <c r="V20" s="158">
        <v>55013.231500000002</v>
      </c>
      <c r="W20" s="151">
        <v>5.0899136900000003E-2</v>
      </c>
      <c r="X20" s="158">
        <v>123727.942</v>
      </c>
      <c r="Y20" s="151">
        <v>4.29826029E-2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543.20550000000003</v>
      </c>
      <c r="K21" s="158">
        <v>488.81900000000002</v>
      </c>
      <c r="L21" s="151">
        <v>0.11126101889999999</v>
      </c>
      <c r="M21" s="158">
        <v>2981.1754999999998</v>
      </c>
      <c r="N21" s="158">
        <v>3301.123</v>
      </c>
      <c r="O21" s="151">
        <v>-9.6920805400000004E-2</v>
      </c>
      <c r="P21" s="158">
        <v>5828.4264999999996</v>
      </c>
      <c r="Q21" s="151">
        <v>-7.0112577100000004E-2</v>
      </c>
      <c r="R21" s="158">
        <v>13186.323</v>
      </c>
      <c r="S21" s="158">
        <v>13481.941999999999</v>
      </c>
      <c r="T21" s="151">
        <v>-2.1927034000000001E-2</v>
      </c>
      <c r="U21" s="158">
        <v>57813.357499999998</v>
      </c>
      <c r="V21" s="158">
        <v>55013.231500000002</v>
      </c>
      <c r="W21" s="151">
        <v>5.0899136900000003E-2</v>
      </c>
      <c r="X21" s="158">
        <v>123727.942</v>
      </c>
      <c r="Y21" s="151">
        <v>4.29826029E-2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16614.684000000001</v>
      </c>
      <c r="C22" s="159">
        <v>15653.907999999999</v>
      </c>
      <c r="D22" s="152">
        <v>6.1376111300000001E-2</v>
      </c>
      <c r="E22" s="159">
        <v>97877.42</v>
      </c>
      <c r="F22" s="159">
        <v>95391.618000000002</v>
      </c>
      <c r="G22" s="152">
        <v>2.60589143E-2</v>
      </c>
      <c r="H22" s="159">
        <v>199371.64600000001</v>
      </c>
      <c r="I22" s="152">
        <v>1.1123176E-2</v>
      </c>
      <c r="J22" s="159">
        <v>16241.42</v>
      </c>
      <c r="K22" s="159">
        <v>16601.305</v>
      </c>
      <c r="L22" s="152">
        <v>-2.1678115099999999E-2</v>
      </c>
      <c r="M22" s="159">
        <v>94190.722999999998</v>
      </c>
      <c r="N22" s="159">
        <v>97934.255999999994</v>
      </c>
      <c r="O22" s="152">
        <v>-3.82249598E-2</v>
      </c>
      <c r="P22" s="159">
        <v>201634.72</v>
      </c>
      <c r="Q22" s="152">
        <v>-3.7813869600000001E-2</v>
      </c>
      <c r="R22" s="159">
        <v>539025.98899999994</v>
      </c>
      <c r="S22" s="159">
        <v>394267.696</v>
      </c>
      <c r="T22" s="152">
        <v>0.36715737669999998</v>
      </c>
      <c r="U22" s="159">
        <v>2595111.83</v>
      </c>
      <c r="V22" s="159">
        <v>1793997.304</v>
      </c>
      <c r="W22" s="152">
        <v>0.4465528037</v>
      </c>
      <c r="X22" s="159">
        <v>5438461.2640000004</v>
      </c>
      <c r="Y22" s="152">
        <v>0.48820269649999998</v>
      </c>
      <c r="Z22" s="159">
        <v>692393.46100000001</v>
      </c>
      <c r="AA22" s="159">
        <v>635596.44099999999</v>
      </c>
      <c r="AB22" s="152">
        <v>8.9360192000000005E-2</v>
      </c>
      <c r="AC22" s="159">
        <v>4139396.8119999999</v>
      </c>
      <c r="AD22" s="159">
        <v>3754591.0610000002</v>
      </c>
      <c r="AE22" s="152">
        <v>0.1024893909</v>
      </c>
      <c r="AF22" s="159">
        <v>8445492.2070000004</v>
      </c>
      <c r="AG22" s="152">
        <v>7.9440669500000005E-2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35225.063999999998</v>
      </c>
      <c r="S23" s="158">
        <v>65429.468000000001</v>
      </c>
      <c r="T23" s="151">
        <v>-0.4616330367</v>
      </c>
      <c r="U23" s="158">
        <v>190264.30100000001</v>
      </c>
      <c r="V23" s="158">
        <v>667700.97199999995</v>
      </c>
      <c r="W23" s="151">
        <v>-0.71504564319999997</v>
      </c>
      <c r="X23" s="158">
        <v>412792.29599999997</v>
      </c>
      <c r="Y23" s="151">
        <v>-0.72024632759999996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16614.684000000001</v>
      </c>
      <c r="C24" s="159">
        <v>15653.907999999999</v>
      </c>
      <c r="D24" s="152">
        <v>6.1376111300000001E-2</v>
      </c>
      <c r="E24" s="159">
        <v>97877.42</v>
      </c>
      <c r="F24" s="159">
        <v>95391.618000000002</v>
      </c>
      <c r="G24" s="152">
        <v>2.60589143E-2</v>
      </c>
      <c r="H24" s="159">
        <v>199371.64600000001</v>
      </c>
      <c r="I24" s="152">
        <v>1.1123176E-2</v>
      </c>
      <c r="J24" s="159">
        <v>16241.42</v>
      </c>
      <c r="K24" s="159">
        <v>16601.305</v>
      </c>
      <c r="L24" s="152">
        <v>-2.1678115099999999E-2</v>
      </c>
      <c r="M24" s="159">
        <v>94190.722999999998</v>
      </c>
      <c r="N24" s="159">
        <v>97934.255999999994</v>
      </c>
      <c r="O24" s="152">
        <v>-3.82249598E-2</v>
      </c>
      <c r="P24" s="159">
        <v>201634.72</v>
      </c>
      <c r="Q24" s="152">
        <v>-3.7813869600000001E-2</v>
      </c>
      <c r="R24" s="159">
        <v>574251.05299999996</v>
      </c>
      <c r="S24" s="159">
        <v>459697.16399999999</v>
      </c>
      <c r="T24" s="152">
        <v>0.24919424779999999</v>
      </c>
      <c r="U24" s="159">
        <v>2785376.1310000001</v>
      </c>
      <c r="V24" s="159">
        <v>2461698.2760000001</v>
      </c>
      <c r="W24" s="152">
        <v>0.1314855919</v>
      </c>
      <c r="X24" s="159">
        <v>5851253.5599999996</v>
      </c>
      <c r="Y24" s="152">
        <v>0.14060893499999999</v>
      </c>
      <c r="Z24" s="159">
        <v>692393.46100000001</v>
      </c>
      <c r="AA24" s="159">
        <v>635596.44099999999</v>
      </c>
      <c r="AB24" s="152">
        <v>8.9360192000000005E-2</v>
      </c>
      <c r="AC24" s="159">
        <v>4139396.8119999999</v>
      </c>
      <c r="AD24" s="159">
        <v>3754591.0610000002</v>
      </c>
      <c r="AE24" s="152">
        <v>0.1024893909</v>
      </c>
      <c r="AF24" s="159">
        <v>8445492.2070000004</v>
      </c>
      <c r="AG24" s="152">
        <v>7.9440669500000005E-2</v>
      </c>
    </row>
    <row r="26" spans="1:33">
      <c r="A26" s="111" t="s">
        <v>103</v>
      </c>
      <c r="B26" s="179">
        <f>SUM(B24,J24,R24,Z24)</f>
        <v>1299500.618</v>
      </c>
      <c r="C26" s="179">
        <f>SUM(C24,K24,S24,AA24)</f>
        <v>1127548.818</v>
      </c>
      <c r="D26" s="180">
        <f>((B26/C26)-1)*100</f>
        <v>15.250053678828834</v>
      </c>
      <c r="R26" s="180"/>
    </row>
    <row r="29" spans="1:33" ht="15">
      <c r="A29" s="145" t="s">
        <v>67</v>
      </c>
      <c r="B29" s="206" t="str">
        <f>A2</f>
        <v>Junio 2022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562.51499999999999</v>
      </c>
      <c r="D41" s="185"/>
    </row>
    <row r="42" spans="1:4">
      <c r="A42" s="144" t="s">
        <v>4</v>
      </c>
      <c r="B42" s="147">
        <v>184.036215</v>
      </c>
      <c r="C42" s="147">
        <v>201.58794499999999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8">
        <f>SUM(B33:B46)</f>
        <v>2082.696715</v>
      </c>
      <c r="C47" s="188">
        <f>SUM(C33:C46)</f>
        <v>3175.2689449999998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11.581138927373781</v>
      </c>
      <c r="D52" s="182"/>
      <c r="F52" s="114" t="s">
        <v>10</v>
      </c>
      <c r="G52" s="115">
        <f>C35</f>
        <v>487.64</v>
      </c>
      <c r="H52" s="116">
        <f>G52/$G$62*100</f>
        <v>15.357439273541601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6.6932453004805357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16.400185591208245</v>
      </c>
    </row>
    <row r="54" spans="1:8">
      <c r="A54" s="114" t="s">
        <v>9</v>
      </c>
      <c r="B54" s="115">
        <f t="shared" si="1"/>
        <v>603.1</v>
      </c>
      <c r="C54" s="116">
        <f t="shared" si="0"/>
        <v>28.957648785651447</v>
      </c>
      <c r="D54" s="182"/>
      <c r="F54" s="114" t="s">
        <v>8</v>
      </c>
      <c r="G54" s="115">
        <f>C37</f>
        <v>482.64</v>
      </c>
      <c r="H54" s="116">
        <f t="shared" si="2"/>
        <v>15.199972297149777</v>
      </c>
    </row>
    <row r="55" spans="1:8">
      <c r="A55" s="114" t="s">
        <v>25</v>
      </c>
      <c r="B55" s="115">
        <f>B38</f>
        <v>822.9</v>
      </c>
      <c r="C55" s="116">
        <f t="shared" si="0"/>
        <v>39.511273728589906</v>
      </c>
      <c r="D55" s="182"/>
      <c r="F55" s="114" t="s">
        <v>25</v>
      </c>
      <c r="G55" s="115">
        <f>C38</f>
        <v>865.4</v>
      </c>
      <c r="H55" s="116">
        <f t="shared" si="2"/>
        <v>27.25438427389652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1.2030476996335189</v>
      </c>
    </row>
    <row r="57" spans="1:8">
      <c r="A57" s="114" t="s">
        <v>23</v>
      </c>
      <c r="B57" s="115">
        <f>B44</f>
        <v>11.523</v>
      </c>
      <c r="C57" s="116">
        <f t="shared" si="0"/>
        <v>0.55327306741346638</v>
      </c>
      <c r="D57" s="182"/>
      <c r="F57" s="114" t="s">
        <v>12</v>
      </c>
      <c r="G57" s="116">
        <f>C33</f>
        <v>1.52</v>
      </c>
      <c r="H57" s="116">
        <f t="shared" si="2"/>
        <v>4.7869960823113837E-2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1.7957487391533145</v>
      </c>
      <c r="D58" s="182"/>
      <c r="F58" s="114" t="s">
        <v>6</v>
      </c>
      <c r="G58" s="115">
        <f>C40</f>
        <v>11.32</v>
      </c>
      <c r="H58" s="116">
        <f t="shared" si="2"/>
        <v>0.35650523455108463</v>
      </c>
    </row>
    <row r="59" spans="1:8">
      <c r="A59" s="114" t="s">
        <v>54</v>
      </c>
      <c r="B59" s="115">
        <f>B45</f>
        <v>37.4</v>
      </c>
      <c r="C59" s="116">
        <f t="shared" si="3"/>
        <v>1.7957487391533145</v>
      </c>
      <c r="D59" s="182"/>
      <c r="F59" s="114" t="s">
        <v>5</v>
      </c>
      <c r="G59" s="115">
        <f>C41</f>
        <v>562.51499999999999</v>
      </c>
      <c r="H59" s="116">
        <f t="shared" si="2"/>
        <v>17.715507245009132</v>
      </c>
    </row>
    <row r="60" spans="1:8">
      <c r="A60" s="114" t="s">
        <v>5</v>
      </c>
      <c r="B60" s="115">
        <f>B41</f>
        <v>3.6074999999999999</v>
      </c>
      <c r="C60" s="116">
        <f t="shared" si="3"/>
        <v>0.17321292985282302</v>
      </c>
      <c r="D60" s="182"/>
      <c r="F60" s="114" t="s">
        <v>4</v>
      </c>
      <c r="G60" s="115">
        <f>C42</f>
        <v>201.58794499999999</v>
      </c>
      <c r="H60" s="116">
        <f t="shared" si="2"/>
        <v>6.3486888352381756</v>
      </c>
    </row>
    <row r="61" spans="1:8">
      <c r="A61" s="114" t="s">
        <v>4</v>
      </c>
      <c r="B61" s="115">
        <f>B42</f>
        <v>184.036215</v>
      </c>
      <c r="C61" s="116">
        <f t="shared" si="3"/>
        <v>8.8364385306095805</v>
      </c>
      <c r="D61" s="182"/>
      <c r="F61" s="114" t="s">
        <v>22</v>
      </c>
      <c r="G61" s="115">
        <f>C43</f>
        <v>3.6960000000000002</v>
      </c>
      <c r="H61" s="116">
        <f t="shared" si="2"/>
        <v>0.1163995889488347</v>
      </c>
    </row>
    <row r="62" spans="1:8">
      <c r="A62" s="114" t="s">
        <v>22</v>
      </c>
      <c r="B62" s="115">
        <f>B43</f>
        <v>2.13</v>
      </c>
      <c r="C62" s="116">
        <f t="shared" si="3"/>
        <v>0.10227125172183314</v>
      </c>
      <c r="D62" s="182"/>
      <c r="F62" s="117" t="s">
        <v>20</v>
      </c>
      <c r="G62" s="118">
        <f>SUM(G52:G61)</f>
        <v>3175.2689449999998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2082.696715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2"/>
      <c r="F67" s="112"/>
      <c r="G67" s="113" t="s">
        <v>26</v>
      </c>
    </row>
    <row r="68" spans="1:7">
      <c r="A68" s="114" t="s">
        <v>11</v>
      </c>
      <c r="B68" s="116">
        <f>C68/$C$80*100</f>
        <v>5.074759000920805</v>
      </c>
      <c r="C68" s="115">
        <f>IF(R9&lt;0,0,R9)</f>
        <v>29141.857</v>
      </c>
      <c r="D68" s="186">
        <f>(C68/SUM($C$68:$C$78))*100</f>
        <v>5.4063918242725029</v>
      </c>
      <c r="F68" s="114" t="s">
        <v>10</v>
      </c>
      <c r="G68" s="116">
        <f>Z10/Z$24*100</f>
        <v>20.245147722445054</v>
      </c>
    </row>
    <row r="69" spans="1:7">
      <c r="A69" s="114" t="s">
        <v>10</v>
      </c>
      <c r="B69" s="116">
        <f t="shared" ref="B69:B78" si="4">C69/$C$80*100</f>
        <v>9.2266606605595562</v>
      </c>
      <c r="C69" s="115">
        <f>R10</f>
        <v>52984.196000000004</v>
      </c>
      <c r="D69" s="186">
        <f t="shared" ref="D69:D78" si="5">(C69/SUM($C$68:$C$78))*100</f>
        <v>9.8296180668943602</v>
      </c>
      <c r="F69" s="114" t="s">
        <v>9</v>
      </c>
      <c r="G69" s="116">
        <f>Z11/Z$24*100</f>
        <v>2.1295968016081539</v>
      </c>
    </row>
    <row r="70" spans="1:7">
      <c r="A70" s="114" t="s">
        <v>9</v>
      </c>
      <c r="B70" s="116">
        <f t="shared" si="4"/>
        <v>5.7316513096581128</v>
      </c>
      <c r="C70" s="115">
        <f>R11</f>
        <v>32914.067999999999</v>
      </c>
      <c r="D70" s="186">
        <f t="shared" si="5"/>
        <v>6.1062116988203332</v>
      </c>
      <c r="F70" s="114" t="s">
        <v>8</v>
      </c>
      <c r="G70" s="116">
        <f>Z12/Z$24*100</f>
        <v>8.7559899702750084</v>
      </c>
    </row>
    <row r="71" spans="1:7">
      <c r="A71" s="114" t="s">
        <v>25</v>
      </c>
      <c r="B71" s="116">
        <f t="shared" si="4"/>
        <v>64.011703431739292</v>
      </c>
      <c r="C71" s="115">
        <f>R13</f>
        <v>367587.88099999999</v>
      </c>
      <c r="D71" s="186">
        <f>(C71/SUM($C$68:$C$78))*100</f>
        <v>68.194834479492982</v>
      </c>
      <c r="F71" s="114" t="s">
        <v>25</v>
      </c>
      <c r="G71" s="116">
        <f>Z13/Z$24*100</f>
        <v>40.957048264209419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0.26753838621171849</v>
      </c>
      <c r="C73" s="115">
        <f>R19</f>
        <v>1536.3420000000001</v>
      </c>
      <c r="D73" s="186">
        <f t="shared" si="5"/>
        <v>0.2850218786018498</v>
      </c>
      <c r="F73" s="114" t="s">
        <v>12</v>
      </c>
      <c r="G73" s="116">
        <f>Z8/Z$24*100</f>
        <v>4.0639176400309764E-2</v>
      </c>
    </row>
    <row r="74" spans="1:7">
      <c r="A74" s="114" t="s">
        <v>55</v>
      </c>
      <c r="B74" s="116">
        <f t="shared" si="4"/>
        <v>2.2962644876508396</v>
      </c>
      <c r="C74" s="115">
        <f>R21</f>
        <v>13186.323</v>
      </c>
      <c r="D74" s="186">
        <f t="shared" si="5"/>
        <v>2.4463241604478556</v>
      </c>
      <c r="F74" s="114" t="s">
        <v>6</v>
      </c>
      <c r="G74" s="116">
        <f>Z15/Z$24*100</f>
        <v>0.35378150401105535</v>
      </c>
    </row>
    <row r="75" spans="1:7">
      <c r="A75" s="114" t="s">
        <v>54</v>
      </c>
      <c r="B75" s="116">
        <f t="shared" si="4"/>
        <v>2.2962644876508396</v>
      </c>
      <c r="C75" s="115">
        <f>R20</f>
        <v>13186.323</v>
      </c>
      <c r="D75" s="186">
        <f t="shared" si="5"/>
        <v>2.4463241604478556</v>
      </c>
      <c r="F75" s="114" t="s">
        <v>5</v>
      </c>
      <c r="G75" s="116">
        <f>Z16/Z$24*100</f>
        <v>23.009533447919146</v>
      </c>
    </row>
    <row r="76" spans="1:7">
      <c r="A76" s="114" t="s">
        <v>5</v>
      </c>
      <c r="B76" s="116">
        <f t="shared" si="4"/>
        <v>4.9201477041087814E-3</v>
      </c>
      <c r="C76" s="115">
        <f>R16</f>
        <v>28.254000000000001</v>
      </c>
      <c r="D76" s="186">
        <f t="shared" si="5"/>
        <v>5.2416767607841646E-3</v>
      </c>
      <c r="F76" s="114" t="s">
        <v>4</v>
      </c>
      <c r="G76" s="116">
        <f>Z17/Z$24*100</f>
        <v>4.4077269239259902</v>
      </c>
    </row>
    <row r="77" spans="1:7">
      <c r="A77" s="114" t="s">
        <v>4</v>
      </c>
      <c r="B77" s="116">
        <f t="shared" si="4"/>
        <v>4.9367895543066602</v>
      </c>
      <c r="C77" s="115">
        <f>R17</f>
        <v>28349.565999999999</v>
      </c>
      <c r="D77" s="186">
        <f t="shared" si="5"/>
        <v>5.25940614711251</v>
      </c>
      <c r="F77" s="114" t="s">
        <v>22</v>
      </c>
      <c r="G77" s="116">
        <f>Z18/Z$24*100</f>
        <v>0.10053618920586541</v>
      </c>
    </row>
    <row r="78" spans="1:7">
      <c r="A78" s="114" t="s">
        <v>22</v>
      </c>
      <c r="B78" s="116">
        <f t="shared" si="4"/>
        <v>1.9360695887134925E-2</v>
      </c>
      <c r="C78" s="115">
        <f>R18</f>
        <v>111.179</v>
      </c>
      <c r="D78" s="186">
        <f t="shared" si="5"/>
        <v>2.0625907148977937E-2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C79/$C$80*100</f>
        <v>6.1340878377109398</v>
      </c>
      <c r="C79" s="115">
        <f>R23</f>
        <v>35225.063999999998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574251.05299999996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106</v>
      </c>
      <c r="D86" s="189" t="s">
        <v>107</v>
      </c>
      <c r="E86" s="189" t="s">
        <v>108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121</v>
      </c>
      <c r="S86" s="189" t="s">
        <v>122</v>
      </c>
      <c r="T86" s="189" t="s">
        <v>123</v>
      </c>
      <c r="U86" s="189" t="s">
        <v>127</v>
      </c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/>
      <c r="W87"/>
      <c r="X87"/>
      <c r="Y87"/>
      <c r="Z87"/>
    </row>
    <row r="88" spans="1:26" ht="15">
      <c r="A88" s="217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-0.58012699999999995</v>
      </c>
      <c r="Q88" s="147">
        <v>-0.66887300000000005</v>
      </c>
      <c r="R88" s="147">
        <v>-0.60498099999999999</v>
      </c>
      <c r="S88" s="147">
        <v>-1.0302370000000001</v>
      </c>
      <c r="T88" s="147">
        <v>29.141857000000002</v>
      </c>
      <c r="U88" s="147">
        <v>10.916370000000001</v>
      </c>
      <c r="V88"/>
      <c r="W88"/>
      <c r="X88"/>
      <c r="Y88"/>
      <c r="Z88"/>
    </row>
    <row r="89" spans="1:26" ht="15">
      <c r="A89" s="215"/>
      <c r="B89" s="144" t="s">
        <v>78</v>
      </c>
      <c r="C89" s="147">
        <v>27.196950000000001</v>
      </c>
      <c r="D89" s="147">
        <v>18.940327</v>
      </c>
      <c r="E89" s="147">
        <v>14.238515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27.285081000000002</v>
      </c>
      <c r="Q89" s="147">
        <v>26.627289999999999</v>
      </c>
      <c r="R89" s="147">
        <v>38.583128000000002</v>
      </c>
      <c r="S89" s="147">
        <v>43.134320000000002</v>
      </c>
      <c r="T89" s="147">
        <v>52.984195999999997</v>
      </c>
      <c r="U89" s="147">
        <v>25.370550000000001</v>
      </c>
      <c r="V89"/>
      <c r="W89"/>
      <c r="X89"/>
      <c r="Y89"/>
      <c r="Z89"/>
    </row>
    <row r="90" spans="1:26" ht="15">
      <c r="A90" s="215"/>
      <c r="B90" s="144" t="s">
        <v>9</v>
      </c>
      <c r="C90" s="147">
        <v>18.542487000000001</v>
      </c>
      <c r="D90" s="147">
        <v>7.6657599999999997</v>
      </c>
      <c r="E90" s="147">
        <v>13.135553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12.016398000000001</v>
      </c>
      <c r="Q90" s="147">
        <v>16.590530000000001</v>
      </c>
      <c r="R90" s="147">
        <v>16.923745</v>
      </c>
      <c r="S90" s="147">
        <v>26.908525000000001</v>
      </c>
      <c r="T90" s="147">
        <v>32.914068</v>
      </c>
      <c r="U90" s="147">
        <v>9.4541109999999993</v>
      </c>
      <c r="V90"/>
      <c r="W90"/>
      <c r="X90"/>
      <c r="Y90"/>
      <c r="Z90"/>
    </row>
    <row r="91" spans="1:26" ht="15">
      <c r="A91" s="215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240.58060900000001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298.62258500000002</v>
      </c>
      <c r="Q91" s="147">
        <v>331.00133499999998</v>
      </c>
      <c r="R91" s="147">
        <v>307.42903200000001</v>
      </c>
      <c r="S91" s="147">
        <v>317.55595499999998</v>
      </c>
      <c r="T91" s="147">
        <v>367.58788099999998</v>
      </c>
      <c r="U91" s="147">
        <v>141.35969700000001</v>
      </c>
      <c r="V91"/>
      <c r="W91"/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/>
      <c r="W92"/>
      <c r="X92"/>
      <c r="Y92"/>
      <c r="Z92"/>
    </row>
    <row r="93" spans="1:26" ht="15">
      <c r="A93" s="215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0.22824</v>
      </c>
      <c r="Q93" s="147">
        <v>0.33845999999999998</v>
      </c>
      <c r="R93" s="147">
        <v>0.239788</v>
      </c>
      <c r="S93" s="147">
        <v>0.16079099999999999</v>
      </c>
      <c r="T93" s="147">
        <v>2.8254000000000001E-2</v>
      </c>
      <c r="U93" s="147">
        <v>7.4800000000000005E-2</v>
      </c>
      <c r="V93"/>
      <c r="W93"/>
      <c r="X93"/>
      <c r="Y93"/>
      <c r="Z93"/>
    </row>
    <row r="94" spans="1:26" ht="15">
      <c r="A94" s="215"/>
      <c r="B94" s="144" t="s">
        <v>4</v>
      </c>
      <c r="C94" s="147">
        <v>8.5897050000000004</v>
      </c>
      <c r="D94" s="147">
        <v>9.5130970000000001</v>
      </c>
      <c r="E94" s="147">
        <v>13.295218999999999</v>
      </c>
      <c r="F94" s="147">
        <v>14.71546</v>
      </c>
      <c r="G94" s="147">
        <v>22.208131999999999</v>
      </c>
      <c r="H94" s="147">
        <v>21.169694</v>
      </c>
      <c r="I94" s="147">
        <v>22.966384000000001</v>
      </c>
      <c r="J94" s="147">
        <v>21.414781000000001</v>
      </c>
      <c r="K94" s="147">
        <v>17.622215000000001</v>
      </c>
      <c r="L94" s="147">
        <v>16.792960999999998</v>
      </c>
      <c r="M94" s="147">
        <v>8.8102359999999997</v>
      </c>
      <c r="N94" s="147">
        <v>11.149039999999999</v>
      </c>
      <c r="O94" s="147">
        <v>14.422969999999999</v>
      </c>
      <c r="P94" s="147">
        <v>17.843508</v>
      </c>
      <c r="Q94" s="147">
        <v>13.692501999999999</v>
      </c>
      <c r="R94" s="147">
        <v>21.880269999999999</v>
      </c>
      <c r="S94" s="147">
        <v>26.907304</v>
      </c>
      <c r="T94" s="147">
        <v>28.349565999999999</v>
      </c>
      <c r="U94" s="147">
        <v>11.5342</v>
      </c>
      <c r="V94"/>
      <c r="W94"/>
      <c r="X94"/>
      <c r="Y94"/>
      <c r="Z94"/>
    </row>
    <row r="95" spans="1:26" ht="15">
      <c r="A95" s="215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0.10044400000000001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0.28095199999999998</v>
      </c>
      <c r="Q95" s="147">
        <v>0.29118100000000002</v>
      </c>
      <c r="R95" s="147">
        <v>0.16531499999999999</v>
      </c>
      <c r="S95" s="147">
        <v>0.166327</v>
      </c>
      <c r="T95" s="147">
        <v>0.111179</v>
      </c>
      <c r="U95" s="147">
        <v>5.3679999999999999E-2</v>
      </c>
      <c r="V95"/>
      <c r="W95"/>
      <c r="X95"/>
      <c r="Y95"/>
      <c r="Z95"/>
    </row>
    <row r="96" spans="1:26" ht="15">
      <c r="A96" s="215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4.0856940000000002</v>
      </c>
      <c r="J96" s="147">
        <v>3.9309270000000001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3.0684070000000001</v>
      </c>
      <c r="Q96" s="147">
        <v>3.993204</v>
      </c>
      <c r="R96" s="147">
        <v>1.8386769999999999</v>
      </c>
      <c r="S96" s="147">
        <v>1.9461250000000001</v>
      </c>
      <c r="T96" s="147">
        <v>1.5363420000000001</v>
      </c>
      <c r="U96" s="147">
        <v>0.32033</v>
      </c>
      <c r="V96"/>
      <c r="W96"/>
      <c r="X96"/>
      <c r="Y96"/>
      <c r="Z96"/>
    </row>
    <row r="97" spans="1:26" ht="15">
      <c r="A97" s="215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5.4414375000000001</v>
      </c>
      <c r="Q97" s="147">
        <v>9.6633200000000006</v>
      </c>
      <c r="R97" s="147">
        <v>7.8050050000000004</v>
      </c>
      <c r="S97" s="147">
        <v>11.846121999999999</v>
      </c>
      <c r="T97" s="147">
        <v>13.186323</v>
      </c>
      <c r="U97" s="147">
        <v>6.2850000000000001</v>
      </c>
      <c r="V97"/>
      <c r="W97"/>
      <c r="X97"/>
      <c r="Y97"/>
      <c r="Z97"/>
    </row>
    <row r="98" spans="1:26" ht="15">
      <c r="A98" s="215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5.4414375000000001</v>
      </c>
      <c r="Q98" s="147">
        <v>9.6633200000000006</v>
      </c>
      <c r="R98" s="147">
        <v>7.8050050000000004</v>
      </c>
      <c r="S98" s="147">
        <v>11.846121999999999</v>
      </c>
      <c r="T98" s="147">
        <v>13.186323</v>
      </c>
      <c r="U98" s="147">
        <v>6.2850000000000001</v>
      </c>
      <c r="V98"/>
      <c r="W98"/>
      <c r="X98"/>
      <c r="Y98"/>
      <c r="Z98"/>
    </row>
    <row r="99" spans="1:26" ht="15">
      <c r="A99" s="215"/>
      <c r="B99" s="149" t="s">
        <v>2</v>
      </c>
      <c r="C99" s="150">
        <v>332.67321299999998</v>
      </c>
      <c r="D99" s="150">
        <v>248.303968</v>
      </c>
      <c r="E99" s="150">
        <v>282.12195200000002</v>
      </c>
      <c r="F99" s="150">
        <v>267.78934099999998</v>
      </c>
      <c r="G99" s="150">
        <v>268.84113400000001</v>
      </c>
      <c r="H99" s="150">
        <v>394.267696</v>
      </c>
      <c r="I99" s="150">
        <v>555.38770499999998</v>
      </c>
      <c r="J99" s="150">
        <v>592.49763099999996</v>
      </c>
      <c r="K99" s="150">
        <v>506.01889399999999</v>
      </c>
      <c r="L99" s="150">
        <v>406.24318799999998</v>
      </c>
      <c r="M99" s="150">
        <v>380.16221400000001</v>
      </c>
      <c r="N99" s="150">
        <v>403.03980200000001</v>
      </c>
      <c r="O99" s="150">
        <v>433.73931499999998</v>
      </c>
      <c r="P99" s="150">
        <v>369.647919</v>
      </c>
      <c r="Q99" s="150">
        <v>411.19226900000001</v>
      </c>
      <c r="R99" s="150">
        <v>402.06498399999998</v>
      </c>
      <c r="S99" s="150">
        <v>439.44135399999999</v>
      </c>
      <c r="T99" s="150">
        <v>539.02598899999998</v>
      </c>
      <c r="U99" s="150">
        <v>211.653738</v>
      </c>
      <c r="V99"/>
      <c r="W99"/>
      <c r="X99"/>
      <c r="Y99"/>
      <c r="Z99"/>
    </row>
    <row r="100" spans="1:26" ht="15">
      <c r="A100" s="215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27.502502</v>
      </c>
      <c r="Q100" s="147">
        <v>30.689281000000001</v>
      </c>
      <c r="R100" s="147">
        <v>33.641058999999998</v>
      </c>
      <c r="S100" s="147">
        <v>32.047055999999998</v>
      </c>
      <c r="T100" s="147">
        <v>35.225064000000003</v>
      </c>
      <c r="U100" s="147">
        <v>20.8124</v>
      </c>
      <c r="V100"/>
      <c r="W100"/>
      <c r="X100"/>
      <c r="Y100"/>
      <c r="Z100"/>
    </row>
    <row r="101" spans="1:26" ht="15">
      <c r="A101" s="216"/>
      <c r="B101" s="149" t="s">
        <v>79</v>
      </c>
      <c r="C101" s="150">
        <v>470.92362500000002</v>
      </c>
      <c r="D101" s="150">
        <v>361.71597700000001</v>
      </c>
      <c r="E101" s="150">
        <v>410.10752500000001</v>
      </c>
      <c r="F101" s="150">
        <v>378.81113800000003</v>
      </c>
      <c r="G101" s="150">
        <v>380.44284699999997</v>
      </c>
      <c r="H101" s="150">
        <v>459.69716399999999</v>
      </c>
      <c r="I101" s="150">
        <v>601.26692600000001</v>
      </c>
      <c r="J101" s="150">
        <v>632.60494200000005</v>
      </c>
      <c r="K101" s="150">
        <v>543.56829100000004</v>
      </c>
      <c r="L101" s="150">
        <v>444.52871299999998</v>
      </c>
      <c r="M101" s="150">
        <v>408.59792299999998</v>
      </c>
      <c r="N101" s="150">
        <v>435.31063399999999</v>
      </c>
      <c r="O101" s="150">
        <v>464.89865400000002</v>
      </c>
      <c r="P101" s="150">
        <v>397.15042099999999</v>
      </c>
      <c r="Q101" s="150">
        <v>441.88155</v>
      </c>
      <c r="R101" s="150">
        <v>435.70604300000002</v>
      </c>
      <c r="S101" s="150">
        <v>471.48840999999999</v>
      </c>
      <c r="T101" s="150">
        <v>574.25105299999996</v>
      </c>
      <c r="U101" s="150">
        <v>232.466138</v>
      </c>
      <c r="V101"/>
      <c r="W101"/>
      <c r="X101"/>
      <c r="Y101"/>
      <c r="Z101"/>
    </row>
    <row r="102" spans="1:26" ht="15">
      <c r="A102" s="214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0.25058200000000003</v>
      </c>
      <c r="Q102" s="147">
        <v>0.29644599999999999</v>
      </c>
      <c r="R102" s="147">
        <v>0.27407199999999998</v>
      </c>
      <c r="S102" s="147">
        <v>0.29880499999999999</v>
      </c>
      <c r="T102" s="147">
        <v>0.28138299999999999</v>
      </c>
      <c r="U102" s="147">
        <v>0</v>
      </c>
      <c r="V102"/>
      <c r="W102"/>
      <c r="X102"/>
      <c r="Y102"/>
      <c r="Z102"/>
    </row>
    <row r="103" spans="1:26" ht="15">
      <c r="A103" s="215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133.47636299999999</v>
      </c>
      <c r="I103" s="147">
        <v>143.30591200000001</v>
      </c>
      <c r="J103" s="147">
        <v>156.76768200000001</v>
      </c>
      <c r="K103" s="147">
        <v>167.979367</v>
      </c>
      <c r="L103" s="147">
        <v>160.016738</v>
      </c>
      <c r="M103" s="147">
        <v>150.664601</v>
      </c>
      <c r="N103" s="147">
        <v>156.43285700000001</v>
      </c>
      <c r="O103" s="147">
        <v>144.976482</v>
      </c>
      <c r="P103" s="147">
        <v>129.27893900000001</v>
      </c>
      <c r="Q103" s="147">
        <v>148.836814</v>
      </c>
      <c r="R103" s="147">
        <v>137.06189800000001</v>
      </c>
      <c r="S103" s="147">
        <v>142.20011299999999</v>
      </c>
      <c r="T103" s="147">
        <v>140.17607899999999</v>
      </c>
      <c r="U103" s="147">
        <v>51.625295999999999</v>
      </c>
      <c r="V103"/>
      <c r="W103"/>
      <c r="X103"/>
      <c r="Y103"/>
      <c r="Z103"/>
    </row>
    <row r="104" spans="1:26" ht="15">
      <c r="A104" s="215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22.305457000000001</v>
      </c>
      <c r="Q104" s="147">
        <v>22.266936999999999</v>
      </c>
      <c r="R104" s="147">
        <v>17.593667</v>
      </c>
      <c r="S104" s="147">
        <v>15.375764</v>
      </c>
      <c r="T104" s="147">
        <v>14.745189</v>
      </c>
      <c r="U104" s="147">
        <v>6.4975800000000001</v>
      </c>
      <c r="V104"/>
      <c r="W104"/>
      <c r="X104"/>
      <c r="Y104"/>
      <c r="Z104"/>
    </row>
    <row r="105" spans="1:26" ht="15">
      <c r="A105" s="215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102.630663</v>
      </c>
      <c r="Q105" s="147">
        <v>114.385115</v>
      </c>
      <c r="R105" s="147">
        <v>103.636366</v>
      </c>
      <c r="S105" s="147">
        <v>86.849653000000004</v>
      </c>
      <c r="T105" s="147">
        <v>60.625902000000004</v>
      </c>
      <c r="U105" s="147">
        <v>23.242180999999999</v>
      </c>
      <c r="V105"/>
      <c r="W105"/>
      <c r="X105"/>
      <c r="Y105"/>
      <c r="Z105"/>
    </row>
    <row r="106" spans="1:26" ht="15">
      <c r="A106" s="215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285.33313399999997</v>
      </c>
      <c r="Q106" s="147">
        <v>288.5179</v>
      </c>
      <c r="R106" s="147">
        <v>265.37271800000002</v>
      </c>
      <c r="S106" s="147">
        <v>303.45663500000001</v>
      </c>
      <c r="T106" s="147">
        <v>283.58392400000002</v>
      </c>
      <c r="U106" s="147">
        <v>102.31283500000001</v>
      </c>
      <c r="V106"/>
      <c r="W106"/>
      <c r="X106"/>
      <c r="Y106"/>
      <c r="Z106"/>
    </row>
    <row r="107" spans="1:26" ht="15">
      <c r="A107" s="215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1.4820450000000001</v>
      </c>
      <c r="Q107" s="147">
        <v>2.1263230000000002</v>
      </c>
      <c r="R107" s="147">
        <v>1.7525280000000001</v>
      </c>
      <c r="S107" s="147">
        <v>1.9171739999999999</v>
      </c>
      <c r="T107" s="147">
        <v>2.44956</v>
      </c>
      <c r="U107" s="147">
        <v>1.4481029999999999</v>
      </c>
      <c r="V107"/>
      <c r="W107"/>
      <c r="X107"/>
      <c r="Y107"/>
      <c r="Z107"/>
    </row>
    <row r="108" spans="1:26" ht="15">
      <c r="A108" s="215"/>
      <c r="B108" s="144" t="s">
        <v>5</v>
      </c>
      <c r="C108" s="147">
        <v>81.695520000000002</v>
      </c>
      <c r="D108" s="147">
        <v>58.777921999999997</v>
      </c>
      <c r="E108" s="147">
        <v>84.883152999999993</v>
      </c>
      <c r="F108" s="147">
        <v>53.035682999999999</v>
      </c>
      <c r="G108" s="147">
        <v>164.67089200000001</v>
      </c>
      <c r="H108" s="147">
        <v>148.01756800000001</v>
      </c>
      <c r="I108" s="147">
        <v>158.51629800000001</v>
      </c>
      <c r="J108" s="147">
        <v>145.95032699999999</v>
      </c>
      <c r="K108" s="147">
        <v>107.853368</v>
      </c>
      <c r="L108" s="147">
        <v>121.987015</v>
      </c>
      <c r="M108" s="147">
        <v>91.770038</v>
      </c>
      <c r="N108" s="147">
        <v>92.867580000000004</v>
      </c>
      <c r="O108" s="147">
        <v>60.148176999999997</v>
      </c>
      <c r="P108" s="147">
        <v>88.981584999999995</v>
      </c>
      <c r="Q108" s="147">
        <v>109.43612899999999</v>
      </c>
      <c r="R108" s="147">
        <v>120.763114</v>
      </c>
      <c r="S108" s="147">
        <v>116.79283100000001</v>
      </c>
      <c r="T108" s="147">
        <v>159.31650500000001</v>
      </c>
      <c r="U108" s="147">
        <v>63.791538000000003</v>
      </c>
      <c r="V108"/>
      <c r="W108"/>
      <c r="X108"/>
      <c r="Y108"/>
      <c r="Z108"/>
    </row>
    <row r="109" spans="1:26" ht="15">
      <c r="A109" s="215"/>
      <c r="B109" s="144" t="s">
        <v>4</v>
      </c>
      <c r="C109" s="147">
        <v>16.647461</v>
      </c>
      <c r="D109" s="147">
        <v>18.033656000000001</v>
      </c>
      <c r="E109" s="147">
        <v>24.504390000000001</v>
      </c>
      <c r="F109" s="147">
        <v>22.758417999999999</v>
      </c>
      <c r="G109" s="147">
        <v>27.092843999999999</v>
      </c>
      <c r="H109" s="147">
        <v>24.741710999999999</v>
      </c>
      <c r="I109" s="147">
        <v>27.937771999999999</v>
      </c>
      <c r="J109" s="147">
        <v>26.120768999999999</v>
      </c>
      <c r="K109" s="147">
        <v>21.565273000000001</v>
      </c>
      <c r="L109" s="147">
        <v>20.979474</v>
      </c>
      <c r="M109" s="147">
        <v>14.946410999999999</v>
      </c>
      <c r="N109" s="147">
        <v>16.937016</v>
      </c>
      <c r="O109" s="147">
        <v>17.956958</v>
      </c>
      <c r="P109" s="147">
        <v>18.798999999999999</v>
      </c>
      <c r="Q109" s="147">
        <v>24.968492999999999</v>
      </c>
      <c r="R109" s="147">
        <v>24.757097000000002</v>
      </c>
      <c r="S109" s="147">
        <v>32.832608</v>
      </c>
      <c r="T109" s="147">
        <v>30.518813000000002</v>
      </c>
      <c r="U109" s="147">
        <v>12.034725</v>
      </c>
      <c r="V109"/>
      <c r="W109"/>
      <c r="X109"/>
      <c r="Y109"/>
      <c r="Z109"/>
    </row>
    <row r="110" spans="1:26" ht="15">
      <c r="A110" s="215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0.72069799999999995</v>
      </c>
      <c r="Q110" s="147">
        <v>0.90984399999999999</v>
      </c>
      <c r="R110" s="147">
        <v>0.61352399999999996</v>
      </c>
      <c r="S110" s="147">
        <v>0.72146399999999999</v>
      </c>
      <c r="T110" s="147">
        <v>0.696106</v>
      </c>
      <c r="U110" s="147">
        <v>0</v>
      </c>
      <c r="V110"/>
      <c r="W110"/>
      <c r="X110"/>
      <c r="Y110"/>
      <c r="Z110"/>
    </row>
    <row r="111" spans="1:26" ht="15">
      <c r="A111" s="215"/>
      <c r="B111" s="149" t="s">
        <v>2</v>
      </c>
      <c r="C111" s="150">
        <v>648.14358400000003</v>
      </c>
      <c r="D111" s="150">
        <v>576.433134</v>
      </c>
      <c r="E111" s="150">
        <v>640.60115699999994</v>
      </c>
      <c r="F111" s="150">
        <v>615.59476800000004</v>
      </c>
      <c r="G111" s="150">
        <v>638.22197700000004</v>
      </c>
      <c r="H111" s="150">
        <v>635.59644100000003</v>
      </c>
      <c r="I111" s="150">
        <v>698.30480899999998</v>
      </c>
      <c r="J111" s="150">
        <v>726.03438600000004</v>
      </c>
      <c r="K111" s="150">
        <v>724.21986700000002</v>
      </c>
      <c r="L111" s="150">
        <v>734.20304999999996</v>
      </c>
      <c r="M111" s="150">
        <v>703.45473200000004</v>
      </c>
      <c r="N111" s="150">
        <v>719.87855100000002</v>
      </c>
      <c r="O111" s="150">
        <v>713.20721600000002</v>
      </c>
      <c r="P111" s="150">
        <v>649.78210300000001</v>
      </c>
      <c r="Q111" s="150">
        <v>711.74400100000003</v>
      </c>
      <c r="R111" s="150">
        <v>671.82498399999997</v>
      </c>
      <c r="S111" s="150">
        <v>700.44504700000005</v>
      </c>
      <c r="T111" s="150">
        <v>692.393461</v>
      </c>
      <c r="U111" s="150">
        <v>260.95225799999997</v>
      </c>
      <c r="V111"/>
      <c r="W111"/>
      <c r="X111"/>
      <c r="Y111"/>
      <c r="Z111"/>
    </row>
    <row r="112" spans="1:26" ht="15">
      <c r="A112" s="216"/>
      <c r="B112" s="149" t="s">
        <v>79</v>
      </c>
      <c r="C112" s="150">
        <v>648.14358400000003</v>
      </c>
      <c r="D112" s="150">
        <v>576.433134</v>
      </c>
      <c r="E112" s="150">
        <v>640.60115699999994</v>
      </c>
      <c r="F112" s="150">
        <v>615.59476800000004</v>
      </c>
      <c r="G112" s="150">
        <v>638.22197700000004</v>
      </c>
      <c r="H112" s="150">
        <v>635.59644100000003</v>
      </c>
      <c r="I112" s="150">
        <v>698.30480899999998</v>
      </c>
      <c r="J112" s="150">
        <v>726.03438600000004</v>
      </c>
      <c r="K112" s="150">
        <v>724.21986700000002</v>
      </c>
      <c r="L112" s="150">
        <v>734.20304999999996</v>
      </c>
      <c r="M112" s="150">
        <v>703.45473200000004</v>
      </c>
      <c r="N112" s="150">
        <v>719.87855100000002</v>
      </c>
      <c r="O112" s="150">
        <v>713.20721600000002</v>
      </c>
      <c r="P112" s="150">
        <v>649.78210300000001</v>
      </c>
      <c r="Q112" s="150">
        <v>711.74400100000003</v>
      </c>
      <c r="R112" s="150">
        <v>671.82498399999997</v>
      </c>
      <c r="S112" s="150">
        <v>700.44504700000005</v>
      </c>
      <c r="T112" s="150">
        <v>692.393461</v>
      </c>
      <c r="U112" s="150">
        <v>260.95225799999997</v>
      </c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junio 2021</v>
      </c>
      <c r="D117" s="120" t="str">
        <f t="shared" ref="D117:M117" si="6">TEXT(EDATE(E117,-1),"mmmm aaaa")</f>
        <v>julio 2021</v>
      </c>
      <c r="E117" s="120" t="str">
        <f t="shared" si="6"/>
        <v>agosto 2021</v>
      </c>
      <c r="F117" s="120" t="str">
        <f t="shared" si="6"/>
        <v>septiembre 2021</v>
      </c>
      <c r="G117" s="120" t="str">
        <f t="shared" si="6"/>
        <v>octubre 2021</v>
      </c>
      <c r="H117" s="120" t="str">
        <f t="shared" si="6"/>
        <v>noviembre 2021</v>
      </c>
      <c r="I117" s="120" t="str">
        <f t="shared" si="6"/>
        <v>diciembre 2021</v>
      </c>
      <c r="J117" s="120" t="str">
        <f t="shared" si="6"/>
        <v>enero 2022</v>
      </c>
      <c r="K117" s="120" t="str">
        <f t="shared" si="6"/>
        <v>febrero 2022</v>
      </c>
      <c r="L117" s="120" t="str">
        <f t="shared" si="6"/>
        <v>marzo 2022</v>
      </c>
      <c r="M117" s="120" t="str">
        <f t="shared" si="6"/>
        <v>abril 2022</v>
      </c>
      <c r="N117" s="120" t="str">
        <f>TEXT(EDATE(O117,-1),"mmmm aaaa")</f>
        <v>mayo 2022</v>
      </c>
      <c r="O117" s="121" t="str">
        <f>A2</f>
        <v>Junio 2022</v>
      </c>
    </row>
    <row r="118" spans="1:19">
      <c r="B118" s="213"/>
      <c r="C118" s="131" t="str">
        <f>TEXT(EDATE($A$2,-12),"mmm")&amp;".-"&amp;TEXT(EDATE($A$2,-12),"aa")</f>
        <v>jun.-21</v>
      </c>
      <c r="D118" s="131" t="str">
        <f>TEXT(EDATE($A$2,-11),"mmm")&amp;".-"&amp;TEXT(EDATE($A$2,-11),"aa")</f>
        <v>jul.-21</v>
      </c>
      <c r="E118" s="131" t="str">
        <f>TEXT(EDATE($A$2,-10),"mmm")&amp;".-"&amp;TEXT(EDATE($A$2,-10),"aa")</f>
        <v>ago.-21</v>
      </c>
      <c r="F118" s="131" t="str">
        <f>TEXT(EDATE($A$2,-9),"mmm")&amp;".-"&amp;TEXT(EDATE($A$2,-9),"aa")</f>
        <v>sep.-21</v>
      </c>
      <c r="G118" s="131" t="str">
        <f>TEXT(EDATE($A$2,-8),"mmm")&amp;".-"&amp;TEXT(EDATE($A$2,-8),"aa")</f>
        <v>oct.-21</v>
      </c>
      <c r="H118" s="131" t="str">
        <f>TEXT(EDATE($A$2,-7),"mmm")&amp;".-"&amp;TEXT(EDATE($A$2,-7),"aa")</f>
        <v>nov.-21</v>
      </c>
      <c r="I118" s="131" t="str">
        <f>TEXT(EDATE($A$2,-6),"mmm")&amp;".-"&amp;TEXT(EDATE($A$2,-6),"aa")</f>
        <v>dic.-21</v>
      </c>
      <c r="J118" s="131" t="str">
        <f>TEXT(EDATE($A$2,-5),"mmm")&amp;".-"&amp;TEXT(EDATE($A$2,-5),"aa")</f>
        <v>ene.-22</v>
      </c>
      <c r="K118" s="131" t="str">
        <f>TEXT(EDATE($A$2,-4),"mmm")&amp;".-"&amp;TEXT(EDATE($A$2,-4),"aa")</f>
        <v>feb.-22</v>
      </c>
      <c r="L118" s="131" t="str">
        <f>TEXT(EDATE($A$2,-3),"mmm")&amp;".-"&amp;TEXT(EDATE($A$2,-3),"aa")</f>
        <v>mar.-22</v>
      </c>
      <c r="M118" s="131" t="str">
        <f>TEXT(EDATE($A$2,-2),"mmm")&amp;".-"&amp;TEXT(EDATE($A$2,-2),"aa")</f>
        <v>abr.-22</v>
      </c>
      <c r="N118" s="131" t="str">
        <f>TEXT(EDATE($A$2,-1),"mmm")&amp;".-"&amp;TEXT(EDATE($A$2,-1),"aa")</f>
        <v>may.-22</v>
      </c>
      <c r="O118" s="160" t="str">
        <f>TEXT($A$2,"mmm")&amp;".-"&amp;TEXT($A$2,"aa")</f>
        <v>jun.-22</v>
      </c>
    </row>
    <row r="119" spans="1:19">
      <c r="A119" s="209" t="s">
        <v>76</v>
      </c>
      <c r="B119" s="132" t="s">
        <v>11</v>
      </c>
      <c r="C119" s="133">
        <f>HLOOKUP(C$117,$86:$101,3,FALSE)</f>
        <v>41.953423999999998</v>
      </c>
      <c r="D119" s="133">
        <f t="shared" ref="D119:N119" si="7">HLOOKUP(D$117,$86:$101,3,FALSE)</f>
        <v>9.292719</v>
      </c>
      <c r="E119" s="133">
        <f t="shared" si="7"/>
        <v>-0.72875599999999996</v>
      </c>
      <c r="F119" s="133">
        <f t="shared" si="7"/>
        <v>-0.54997399999999996</v>
      </c>
      <c r="G119" s="133">
        <f t="shared" si="7"/>
        <v>-0.58327700000000005</v>
      </c>
      <c r="H119" s="133">
        <f t="shared" si="7"/>
        <v>-0.582067</v>
      </c>
      <c r="I119" s="133">
        <f t="shared" si="7"/>
        <v>-0.61424800000000002</v>
      </c>
      <c r="J119" s="133">
        <f t="shared" si="7"/>
        <v>-0.627467</v>
      </c>
      <c r="K119" s="133">
        <f t="shared" si="7"/>
        <v>-0.58012699999999995</v>
      </c>
      <c r="L119" s="133">
        <f t="shared" si="7"/>
        <v>-0.66887300000000005</v>
      </c>
      <c r="M119" s="133">
        <f t="shared" si="7"/>
        <v>-0.60498099999999999</v>
      </c>
      <c r="N119" s="133">
        <f t="shared" si="7"/>
        <v>-1.0302370000000001</v>
      </c>
      <c r="O119" s="134">
        <f>HLOOKUP(O$117,$86:$101,3,FALSE)</f>
        <v>29.141857000000002</v>
      </c>
    </row>
    <row r="120" spans="1:19">
      <c r="A120" s="210"/>
      <c r="B120" s="122" t="s">
        <v>10</v>
      </c>
      <c r="C120" s="116">
        <f>HLOOKUP(C$117,$86:$101,4,FALSE)</f>
        <v>40.523569999999999</v>
      </c>
      <c r="D120" s="116">
        <f t="shared" ref="D120:O120" si="8">HLOOKUP(D$117,$86:$101,4,FALSE)</f>
        <v>56.775785999999997</v>
      </c>
      <c r="E120" s="116">
        <f t="shared" si="8"/>
        <v>61.091033000000003</v>
      </c>
      <c r="F120" s="116">
        <f t="shared" si="8"/>
        <v>52.802481999999998</v>
      </c>
      <c r="G120" s="116">
        <f t="shared" si="8"/>
        <v>40.707250000000002</v>
      </c>
      <c r="H120" s="116">
        <f t="shared" si="8"/>
        <v>21.566172999999999</v>
      </c>
      <c r="I120" s="116">
        <f t="shared" si="8"/>
        <v>26.795760999999999</v>
      </c>
      <c r="J120" s="116">
        <f t="shared" si="8"/>
        <v>31.928764000000001</v>
      </c>
      <c r="K120" s="116">
        <f t="shared" si="8"/>
        <v>27.285081000000002</v>
      </c>
      <c r="L120" s="116">
        <f t="shared" si="8"/>
        <v>26.627289999999999</v>
      </c>
      <c r="M120" s="116">
        <f t="shared" si="8"/>
        <v>38.583128000000002</v>
      </c>
      <c r="N120" s="116">
        <f t="shared" si="8"/>
        <v>43.134320000000002</v>
      </c>
      <c r="O120" s="134">
        <f t="shared" si="8"/>
        <v>52.984195999999997</v>
      </c>
    </row>
    <row r="121" spans="1:19">
      <c r="A121" s="210"/>
      <c r="B121" s="122" t="s">
        <v>9</v>
      </c>
      <c r="C121" s="116">
        <f>HLOOKUP(C$117,$86:$101,5,FALSE)</f>
        <v>18.862037999999998</v>
      </c>
      <c r="D121" s="116">
        <f t="shared" ref="D121:O121" si="9">HLOOKUP(D$117,$86:$101,5,FALSE)</f>
        <v>27.349309999999999</v>
      </c>
      <c r="E121" s="116">
        <f t="shared" si="9"/>
        <v>38.115422000000002</v>
      </c>
      <c r="F121" s="116">
        <f t="shared" si="9"/>
        <v>38.690980000000003</v>
      </c>
      <c r="G121" s="116">
        <f t="shared" si="9"/>
        <v>18.871455999999998</v>
      </c>
      <c r="H121" s="116">
        <f t="shared" si="9"/>
        <v>15.480005999999999</v>
      </c>
      <c r="I121" s="116">
        <f t="shared" si="9"/>
        <v>11.535242</v>
      </c>
      <c r="J121" s="116">
        <f t="shared" si="9"/>
        <v>14.287936</v>
      </c>
      <c r="K121" s="116">
        <f t="shared" si="9"/>
        <v>12.016398000000001</v>
      </c>
      <c r="L121" s="116">
        <f t="shared" si="9"/>
        <v>16.590530000000001</v>
      </c>
      <c r="M121" s="116">
        <f t="shared" si="9"/>
        <v>16.923745</v>
      </c>
      <c r="N121" s="116">
        <f t="shared" si="9"/>
        <v>26.908525000000001</v>
      </c>
      <c r="O121" s="134">
        <f t="shared" si="9"/>
        <v>32.914068</v>
      </c>
    </row>
    <row r="122" spans="1:19" ht="14.25">
      <c r="A122" s="210"/>
      <c r="B122" s="122" t="s">
        <v>74</v>
      </c>
      <c r="C122" s="116">
        <f>HLOOKUP(C$117,$86:$101,6,FALSE)</f>
        <v>240.58060900000001</v>
      </c>
      <c r="D122" s="116">
        <f t="shared" ref="D122:O122" si="10">HLOOKUP(D$117,$86:$101,6,FALSE)</f>
        <v>408.79444899999999</v>
      </c>
      <c r="E122" s="116">
        <f t="shared" si="10"/>
        <v>437.91378300000002</v>
      </c>
      <c r="F122" s="116">
        <f t="shared" si="10"/>
        <v>367.24080800000002</v>
      </c>
      <c r="G122" s="116">
        <f t="shared" si="10"/>
        <v>312.10340600000001</v>
      </c>
      <c r="H122" s="116">
        <f t="shared" si="10"/>
        <v>305.43751500000002</v>
      </c>
      <c r="I122" s="116">
        <f t="shared" si="10"/>
        <v>332.59120100000001</v>
      </c>
      <c r="J122" s="116">
        <f t="shared" si="10"/>
        <v>350.08292499999999</v>
      </c>
      <c r="K122" s="116">
        <f t="shared" si="10"/>
        <v>298.62258500000002</v>
      </c>
      <c r="L122" s="116">
        <f t="shared" si="10"/>
        <v>331.00133499999998</v>
      </c>
      <c r="M122" s="116">
        <f t="shared" si="10"/>
        <v>307.42903200000001</v>
      </c>
      <c r="N122" s="116">
        <f t="shared" si="10"/>
        <v>317.55595499999998</v>
      </c>
      <c r="O122" s="134">
        <f t="shared" si="10"/>
        <v>367.58788099999998</v>
      </c>
    </row>
    <row r="123" spans="1:19">
      <c r="A123" s="210"/>
      <c r="B123" s="122" t="s">
        <v>24</v>
      </c>
      <c r="C123" s="116">
        <f>HLOOKUP(C$117,$86:$101,7,FALSE)</f>
        <v>0.95765299999999998</v>
      </c>
      <c r="D123" s="116">
        <f t="shared" ref="D123:O123" si="11">HLOOKUP(D$117,$86:$101,7,FALSE)</f>
        <v>2.9751430000000001</v>
      </c>
      <c r="E123" s="116">
        <f t="shared" si="11"/>
        <v>3.834768</v>
      </c>
      <c r="F123" s="116">
        <f t="shared" si="11"/>
        <v>2.0925159999999998</v>
      </c>
      <c r="G123" s="116">
        <f t="shared" si="11"/>
        <v>0.98881300000000005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9.4216999999999995E-2</v>
      </c>
      <c r="D124" s="116">
        <f t="shared" ref="D124:O124" si="12">HLOOKUP(D$117,$86:$102,8,FALSE)</f>
        <v>0.106017</v>
      </c>
      <c r="E124" s="116">
        <f t="shared" si="12"/>
        <v>0.20128099999999999</v>
      </c>
      <c r="F124" s="116">
        <f t="shared" si="12"/>
        <v>0.27444800000000003</v>
      </c>
      <c r="G124" s="116">
        <f t="shared" si="12"/>
        <v>0.26974799999999999</v>
      </c>
      <c r="H124" s="116">
        <f t="shared" si="12"/>
        <v>6.1364000000000002E-2</v>
      </c>
      <c r="I124" s="116">
        <f t="shared" si="12"/>
        <v>0.10125000000000001</v>
      </c>
      <c r="J124" s="116">
        <f t="shared" si="12"/>
        <v>0.215638</v>
      </c>
      <c r="K124" s="116">
        <f t="shared" si="12"/>
        <v>0.22824</v>
      </c>
      <c r="L124" s="116">
        <f t="shared" si="12"/>
        <v>0.33845999999999998</v>
      </c>
      <c r="M124" s="116">
        <f t="shared" si="12"/>
        <v>0.239788</v>
      </c>
      <c r="N124" s="116">
        <f t="shared" si="12"/>
        <v>0.16079099999999999</v>
      </c>
      <c r="O124" s="134">
        <f t="shared" si="12"/>
        <v>2.8254000000000001E-2</v>
      </c>
    </row>
    <row r="125" spans="1:19">
      <c r="A125" s="210"/>
      <c r="B125" s="122" t="s">
        <v>4</v>
      </c>
      <c r="C125" s="116">
        <f>HLOOKUP(C$117,$86:$102,9,FALSE)</f>
        <v>21.169694</v>
      </c>
      <c r="D125" s="116">
        <f t="shared" ref="D125:O125" si="13">HLOOKUP(D$117,$86:$102,9,FALSE)</f>
        <v>22.966384000000001</v>
      </c>
      <c r="E125" s="116">
        <f t="shared" si="13"/>
        <v>21.414781000000001</v>
      </c>
      <c r="F125" s="116">
        <f t="shared" si="13"/>
        <v>17.622215000000001</v>
      </c>
      <c r="G125" s="116">
        <f t="shared" si="13"/>
        <v>16.792960999999998</v>
      </c>
      <c r="H125" s="116">
        <f t="shared" si="13"/>
        <v>8.8102359999999997</v>
      </c>
      <c r="I125" s="116">
        <f t="shared" si="13"/>
        <v>11.149039999999999</v>
      </c>
      <c r="J125" s="116">
        <f t="shared" si="13"/>
        <v>14.422969999999999</v>
      </c>
      <c r="K125" s="116">
        <f t="shared" si="13"/>
        <v>17.843508</v>
      </c>
      <c r="L125" s="116">
        <f t="shared" si="13"/>
        <v>13.692501999999999</v>
      </c>
      <c r="M125" s="116">
        <f t="shared" si="13"/>
        <v>21.880269999999999</v>
      </c>
      <c r="N125" s="116">
        <f t="shared" si="13"/>
        <v>26.907304</v>
      </c>
      <c r="O125" s="134">
        <f t="shared" si="13"/>
        <v>28.349565999999999</v>
      </c>
    </row>
    <row r="126" spans="1:19">
      <c r="A126" s="210"/>
      <c r="B126" s="123" t="s">
        <v>22</v>
      </c>
      <c r="C126" s="116">
        <f>HLOOKUP(C$117,$86:$102,10,FALSE)</f>
        <v>0.10044400000000001</v>
      </c>
      <c r="D126" s="116">
        <f t="shared" ref="D126:O126" si="14">HLOOKUP(D$117,$86:$102,10,FALSE)</f>
        <v>9.6151E-2</v>
      </c>
      <c r="E126" s="116">
        <f t="shared" si="14"/>
        <v>8.4413000000000002E-2</v>
      </c>
      <c r="F126" s="116">
        <f t="shared" si="14"/>
        <v>8.1381999999999996E-2</v>
      </c>
      <c r="G126" s="116">
        <f t="shared" si="14"/>
        <v>0.243059</v>
      </c>
      <c r="H126" s="116">
        <f t="shared" si="14"/>
        <v>0.24007600000000001</v>
      </c>
      <c r="I126" s="116">
        <f t="shared" si="14"/>
        <v>0.230462</v>
      </c>
      <c r="J126" s="116">
        <f t="shared" si="14"/>
        <v>0.285244</v>
      </c>
      <c r="K126" s="116">
        <f t="shared" si="14"/>
        <v>0.28095199999999998</v>
      </c>
      <c r="L126" s="116">
        <f t="shared" si="14"/>
        <v>0.29118100000000002</v>
      </c>
      <c r="M126" s="116">
        <f t="shared" si="14"/>
        <v>0.16531499999999999</v>
      </c>
      <c r="N126" s="116">
        <f t="shared" si="14"/>
        <v>0.166327</v>
      </c>
      <c r="O126" s="134">
        <f t="shared" si="14"/>
        <v>0.111179</v>
      </c>
    </row>
    <row r="127" spans="1:19">
      <c r="A127" s="210"/>
      <c r="B127" s="123" t="s">
        <v>23</v>
      </c>
      <c r="C127" s="116">
        <f>HLOOKUP(C$117,$86:$102,11,FALSE)</f>
        <v>3.062163</v>
      </c>
      <c r="D127" s="116">
        <f t="shared" ref="D127:O127" si="15">HLOOKUP(D$117,$86:$102,11,FALSE)</f>
        <v>4.0856940000000002</v>
      </c>
      <c r="E127" s="116">
        <f t="shared" si="15"/>
        <v>3.9309270000000001</v>
      </c>
      <c r="F127" s="116">
        <f t="shared" si="15"/>
        <v>3.8190279999999999</v>
      </c>
      <c r="G127" s="116">
        <f t="shared" si="15"/>
        <v>4.0205719999999996</v>
      </c>
      <c r="H127" s="116">
        <f t="shared" si="15"/>
        <v>1.4121680000000001</v>
      </c>
      <c r="I127" s="116">
        <f t="shared" si="15"/>
        <v>3.5189080000000001</v>
      </c>
      <c r="J127" s="116">
        <f t="shared" si="15"/>
        <v>3.4010050000000001</v>
      </c>
      <c r="K127" s="116">
        <f t="shared" si="15"/>
        <v>3.0684070000000001</v>
      </c>
      <c r="L127" s="116">
        <f t="shared" si="15"/>
        <v>3.993204</v>
      </c>
      <c r="M127" s="116">
        <f t="shared" si="15"/>
        <v>1.8386769999999999</v>
      </c>
      <c r="N127" s="116">
        <f t="shared" si="15"/>
        <v>1.9461250000000001</v>
      </c>
      <c r="O127" s="134">
        <f t="shared" si="15"/>
        <v>1.5363420000000001</v>
      </c>
    </row>
    <row r="128" spans="1:19">
      <c r="A128" s="210"/>
      <c r="B128" s="122" t="s">
        <v>55</v>
      </c>
      <c r="C128" s="116">
        <f t="shared" ref="C128:O128" si="16">HLOOKUP(C$117,$86:$102,13,FALSE)</f>
        <v>13.481942</v>
      </c>
      <c r="D128" s="116">
        <f t="shared" si="16"/>
        <v>11.473026000000001</v>
      </c>
      <c r="E128" s="116">
        <f t="shared" si="16"/>
        <v>13.3199895</v>
      </c>
      <c r="F128" s="116">
        <f t="shared" si="16"/>
        <v>11.972504499999999</v>
      </c>
      <c r="G128" s="116">
        <f t="shared" si="16"/>
        <v>6.4146000000000001</v>
      </c>
      <c r="H128" s="116">
        <f t="shared" si="16"/>
        <v>13.8683715</v>
      </c>
      <c r="I128" s="116">
        <f t="shared" si="16"/>
        <v>8.8660929999999993</v>
      </c>
      <c r="J128" s="116">
        <f t="shared" si="16"/>
        <v>9.8711500000000001</v>
      </c>
      <c r="K128" s="116">
        <f t="shared" si="16"/>
        <v>5.4414375000000001</v>
      </c>
      <c r="L128" s="116">
        <f t="shared" si="16"/>
        <v>9.6633200000000006</v>
      </c>
      <c r="M128" s="116">
        <f t="shared" si="16"/>
        <v>7.8050050000000004</v>
      </c>
      <c r="N128" s="116">
        <f t="shared" si="16"/>
        <v>11.846121999999999</v>
      </c>
      <c r="O128" s="134">
        <f t="shared" si="16"/>
        <v>13.186323</v>
      </c>
    </row>
    <row r="129" spans="1:15">
      <c r="A129" s="210"/>
      <c r="B129" s="122" t="s">
        <v>54</v>
      </c>
      <c r="C129" s="116">
        <f>HLOOKUP(C$117,$86:$102,12,FALSE)</f>
        <v>13.481942</v>
      </c>
      <c r="D129" s="116">
        <f t="shared" ref="D129:O129" si="17">HLOOKUP(D$117,$86:$102,12,FALSE)</f>
        <v>11.473026000000001</v>
      </c>
      <c r="E129" s="116">
        <f t="shared" si="17"/>
        <v>13.3199895</v>
      </c>
      <c r="F129" s="116">
        <f t="shared" si="17"/>
        <v>11.972504499999999</v>
      </c>
      <c r="G129" s="116">
        <f t="shared" si="17"/>
        <v>6.4146000000000001</v>
      </c>
      <c r="H129" s="116">
        <f t="shared" si="17"/>
        <v>13.8683715</v>
      </c>
      <c r="I129" s="116">
        <f t="shared" si="17"/>
        <v>8.8660929999999993</v>
      </c>
      <c r="J129" s="116">
        <f t="shared" si="17"/>
        <v>9.8711500000000001</v>
      </c>
      <c r="K129" s="116">
        <f t="shared" si="17"/>
        <v>5.4414375000000001</v>
      </c>
      <c r="L129" s="116">
        <f t="shared" si="17"/>
        <v>9.6633200000000006</v>
      </c>
      <c r="M129" s="116">
        <f t="shared" si="17"/>
        <v>7.8050050000000004</v>
      </c>
      <c r="N129" s="116">
        <f t="shared" si="17"/>
        <v>11.846121999999999</v>
      </c>
      <c r="O129" s="134">
        <f t="shared" si="17"/>
        <v>13.186323</v>
      </c>
    </row>
    <row r="130" spans="1:15">
      <c r="A130" s="210"/>
      <c r="B130" s="124" t="s">
        <v>2</v>
      </c>
      <c r="C130" s="125">
        <f>HLOOKUP(C$117,$86:$102,14,FALSE)</f>
        <v>394.267696</v>
      </c>
      <c r="D130" s="125">
        <f t="shared" ref="D130:O130" si="18">HLOOKUP(D$117,$86:$102,14,FALSE)</f>
        <v>555.38770499999998</v>
      </c>
      <c r="E130" s="125">
        <f t="shared" si="18"/>
        <v>592.49763099999996</v>
      </c>
      <c r="F130" s="125">
        <f t="shared" si="18"/>
        <v>506.01889399999999</v>
      </c>
      <c r="G130" s="125">
        <f t="shared" si="18"/>
        <v>406.24318799999998</v>
      </c>
      <c r="H130" s="125">
        <f t="shared" si="18"/>
        <v>380.16221400000001</v>
      </c>
      <c r="I130" s="125">
        <f t="shared" si="18"/>
        <v>403.03980200000001</v>
      </c>
      <c r="J130" s="125">
        <f t="shared" si="18"/>
        <v>433.73931499999998</v>
      </c>
      <c r="K130" s="125">
        <f t="shared" si="18"/>
        <v>369.647919</v>
      </c>
      <c r="L130" s="125">
        <f t="shared" si="18"/>
        <v>411.19226900000001</v>
      </c>
      <c r="M130" s="125">
        <f t="shared" si="18"/>
        <v>402.06498399999998</v>
      </c>
      <c r="N130" s="125">
        <f t="shared" si="18"/>
        <v>439.44135399999999</v>
      </c>
      <c r="O130" s="135">
        <f t="shared" si="18"/>
        <v>539.02598899999998</v>
      </c>
    </row>
    <row r="131" spans="1:15">
      <c r="A131" s="210"/>
      <c r="B131" s="122" t="s">
        <v>21</v>
      </c>
      <c r="C131" s="126">
        <f>HLOOKUP(C$117,$86:$102,15,FALSE)</f>
        <v>65.429468</v>
      </c>
      <c r="D131" s="126">
        <f t="shared" ref="D131:O131" si="19">HLOOKUP(D$117,$86:$102,15,FALSE)</f>
        <v>45.879221000000001</v>
      </c>
      <c r="E131" s="126">
        <f t="shared" si="19"/>
        <v>40.107311000000003</v>
      </c>
      <c r="F131" s="126">
        <f t="shared" si="19"/>
        <v>37.549396999999999</v>
      </c>
      <c r="G131" s="126">
        <f t="shared" si="19"/>
        <v>38.285525</v>
      </c>
      <c r="H131" s="126">
        <f t="shared" si="19"/>
        <v>28.435708999999999</v>
      </c>
      <c r="I131" s="126">
        <f t="shared" si="19"/>
        <v>32.270831999999999</v>
      </c>
      <c r="J131" s="126">
        <f t="shared" si="19"/>
        <v>31.159338999999999</v>
      </c>
      <c r="K131" s="126">
        <f t="shared" si="19"/>
        <v>27.502502</v>
      </c>
      <c r="L131" s="126">
        <f t="shared" si="19"/>
        <v>30.689281000000001</v>
      </c>
      <c r="M131" s="126">
        <f t="shared" si="19"/>
        <v>33.641058999999998</v>
      </c>
      <c r="N131" s="126">
        <f t="shared" si="19"/>
        <v>32.047055999999998</v>
      </c>
      <c r="O131" s="126">
        <f t="shared" si="19"/>
        <v>35.225064000000003</v>
      </c>
    </row>
    <row r="132" spans="1:15">
      <c r="A132" s="210"/>
      <c r="B132" s="127" t="s">
        <v>1</v>
      </c>
      <c r="C132" s="128">
        <f>HLOOKUP(C$117,$86:$102,16,FALSE)</f>
        <v>459.69716399999999</v>
      </c>
      <c r="D132" s="128">
        <f t="shared" ref="D132:O132" si="20">HLOOKUP(D$117,$86:$102,16,FALSE)</f>
        <v>601.26692600000001</v>
      </c>
      <c r="E132" s="128">
        <f t="shared" si="20"/>
        <v>632.60494200000005</v>
      </c>
      <c r="F132" s="128">
        <f t="shared" si="20"/>
        <v>543.56829100000004</v>
      </c>
      <c r="G132" s="128">
        <f t="shared" si="20"/>
        <v>444.52871299999998</v>
      </c>
      <c r="H132" s="128">
        <f t="shared" si="20"/>
        <v>408.59792299999998</v>
      </c>
      <c r="I132" s="128">
        <f t="shared" si="20"/>
        <v>435.31063399999999</v>
      </c>
      <c r="J132" s="128">
        <f t="shared" si="20"/>
        <v>464.89865400000002</v>
      </c>
      <c r="K132" s="128">
        <f t="shared" si="20"/>
        <v>397.15042099999999</v>
      </c>
      <c r="L132" s="128">
        <f t="shared" si="20"/>
        <v>441.88155</v>
      </c>
      <c r="M132" s="128">
        <f t="shared" si="20"/>
        <v>435.70604300000002</v>
      </c>
      <c r="N132" s="128">
        <f t="shared" si="20"/>
        <v>471.48840999999999</v>
      </c>
      <c r="O132" s="128">
        <f t="shared" si="20"/>
        <v>574.25105299999996</v>
      </c>
    </row>
    <row r="133" spans="1:15" ht="14.25">
      <c r="A133" s="211"/>
      <c r="B133" s="137" t="s">
        <v>75</v>
      </c>
      <c r="C133" s="138">
        <f>C120+C121+C123</f>
        <v>60.343260999999998</v>
      </c>
      <c r="D133" s="138">
        <f>D120+D121+D123</f>
        <v>87.100239000000002</v>
      </c>
      <c r="E133" s="138">
        <f t="shared" ref="E133:O133" si="21">E120+E121+E123</f>
        <v>103.041223</v>
      </c>
      <c r="F133" s="138">
        <f t="shared" si="21"/>
        <v>93.585977999999997</v>
      </c>
      <c r="G133" s="138">
        <f t="shared" si="21"/>
        <v>60.567518999999997</v>
      </c>
      <c r="H133" s="138">
        <f t="shared" si="21"/>
        <v>37.046178999999995</v>
      </c>
      <c r="I133" s="138">
        <f t="shared" si="21"/>
        <v>38.331002999999995</v>
      </c>
      <c r="J133" s="138">
        <f t="shared" si="21"/>
        <v>46.216700000000003</v>
      </c>
      <c r="K133" s="138">
        <f t="shared" si="21"/>
        <v>39.301479</v>
      </c>
      <c r="L133" s="138">
        <f t="shared" si="21"/>
        <v>43.217820000000003</v>
      </c>
      <c r="M133" s="138">
        <f t="shared" si="21"/>
        <v>55.506872999999999</v>
      </c>
      <c r="N133" s="138">
        <f t="shared" si="21"/>
        <v>70.042845</v>
      </c>
      <c r="O133" s="138">
        <f t="shared" si="21"/>
        <v>85.898263999999998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jun.-21</v>
      </c>
      <c r="D134" s="120" t="str">
        <f>TEXT(EDATE($A$2,-11),"mmm")&amp;".-"&amp;TEXT(EDATE($A$2,-11),"aa")</f>
        <v>jul.-21</v>
      </c>
      <c r="E134" s="120" t="str">
        <f>TEXT(EDATE($A$2,-10),"mmm")&amp;".-"&amp;TEXT(EDATE($A$2,-10),"aa")</f>
        <v>ago.-21</v>
      </c>
      <c r="F134" s="120" t="str">
        <f>TEXT(EDATE($A$2,-9),"mmm")&amp;".-"&amp;TEXT(EDATE($A$2,-9),"aa")</f>
        <v>sep.-21</v>
      </c>
      <c r="G134" s="120" t="str">
        <f>TEXT(EDATE($A$2,-8),"mmm")&amp;".-"&amp;TEXT(EDATE($A$2,-8),"aa")</f>
        <v>oct.-21</v>
      </c>
      <c r="H134" s="120" t="str">
        <f>TEXT(EDATE($A$2,-7),"mmm")&amp;".-"&amp;TEXT(EDATE($A$2,-7),"aa")</f>
        <v>nov.-21</v>
      </c>
      <c r="I134" s="120" t="str">
        <f>TEXT(EDATE($A$2,-6),"mmm")&amp;".-"&amp;TEXT(EDATE($A$2,-6),"aa")</f>
        <v>dic.-21</v>
      </c>
      <c r="J134" s="120" t="str">
        <f>TEXT(EDATE($A$2,-5),"mmm")&amp;".-"&amp;TEXT(EDATE($A$2,-5),"aa")</f>
        <v>ene.-22</v>
      </c>
      <c r="K134" s="120" t="str">
        <f>TEXT(EDATE($A$2,-4),"mmm")&amp;".-"&amp;TEXT(EDATE($A$2,-4),"aa")</f>
        <v>feb.-22</v>
      </c>
      <c r="L134" s="120" t="str">
        <f>TEXT(EDATE($A$2,-3),"mmm")&amp;".-"&amp;TEXT(EDATE($A$2,-3),"aa")</f>
        <v>mar.-22</v>
      </c>
      <c r="M134" s="120" t="str">
        <f>TEXT(EDATE($A$2,-2),"mmm")&amp;".-"&amp;TEXT(EDATE($A$2,-2),"aa")</f>
        <v>abr.-22</v>
      </c>
      <c r="N134" s="120" t="str">
        <f>TEXT(EDATE($A$2,-1),"mmm")&amp;".-"&amp;TEXT(EDATE($A$2,-1),"aa")</f>
        <v>may.-22</v>
      </c>
      <c r="O134" s="121" t="str">
        <f>TEXT($A$2,"mmm")&amp;".-"&amp;TEXT($A$2,"aa")</f>
        <v>jun.-22</v>
      </c>
    </row>
    <row r="135" spans="1:15" ht="15" customHeight="1">
      <c r="A135" s="210"/>
      <c r="B135" s="122" t="s">
        <v>12</v>
      </c>
      <c r="C135" s="116">
        <f>HLOOKUP(C$117,$86:$115,17,FALSE)</f>
        <v>0.28217700000000001</v>
      </c>
      <c r="D135" s="116">
        <f t="shared" ref="D135:O135" si="22">HLOOKUP(D$117,$86:$115,17,FALSE)</f>
        <v>0.28972599999999998</v>
      </c>
      <c r="E135" s="116">
        <f t="shared" si="22"/>
        <v>0.28065899999999999</v>
      </c>
      <c r="F135" s="116">
        <f t="shared" si="22"/>
        <v>0.27753299999999997</v>
      </c>
      <c r="G135" s="116">
        <f t="shared" si="22"/>
        <v>0.28213100000000002</v>
      </c>
      <c r="H135" s="116">
        <f t="shared" si="22"/>
        <v>0.23125799999999999</v>
      </c>
      <c r="I135" s="116">
        <f t="shared" si="22"/>
        <v>0.15536</v>
      </c>
      <c r="J135" s="116">
        <f t="shared" si="22"/>
        <v>0.294213</v>
      </c>
      <c r="K135" s="116">
        <f t="shared" si="22"/>
        <v>0.25058200000000003</v>
      </c>
      <c r="L135" s="116">
        <f t="shared" si="22"/>
        <v>0.29644599999999999</v>
      </c>
      <c r="M135" s="116">
        <f t="shared" si="22"/>
        <v>0.27407199999999998</v>
      </c>
      <c r="N135" s="116">
        <f t="shared" si="22"/>
        <v>0.29880499999999999</v>
      </c>
      <c r="O135" s="161">
        <f t="shared" si="22"/>
        <v>0.28138299999999999</v>
      </c>
    </row>
    <row r="136" spans="1:15">
      <c r="A136" s="210"/>
      <c r="B136" s="122" t="s">
        <v>10</v>
      </c>
      <c r="C136" s="116">
        <f>HLOOKUP(C$117,$86:$115,18,FALSE)</f>
        <v>133.47636299999999</v>
      </c>
      <c r="D136" s="116">
        <f t="shared" ref="D136:O136" si="23">HLOOKUP(D$117,$86:$115,18,FALSE)</f>
        <v>143.30591200000001</v>
      </c>
      <c r="E136" s="116">
        <f t="shared" si="23"/>
        <v>156.76768200000001</v>
      </c>
      <c r="F136" s="116">
        <f t="shared" si="23"/>
        <v>167.979367</v>
      </c>
      <c r="G136" s="116">
        <f t="shared" si="23"/>
        <v>160.016738</v>
      </c>
      <c r="H136" s="116">
        <f t="shared" si="23"/>
        <v>150.664601</v>
      </c>
      <c r="I136" s="116">
        <f t="shared" si="23"/>
        <v>156.43285700000001</v>
      </c>
      <c r="J136" s="116">
        <f t="shared" si="23"/>
        <v>144.976482</v>
      </c>
      <c r="K136" s="116">
        <f t="shared" si="23"/>
        <v>129.27893900000001</v>
      </c>
      <c r="L136" s="116">
        <f t="shared" si="23"/>
        <v>148.836814</v>
      </c>
      <c r="M136" s="116">
        <f t="shared" si="23"/>
        <v>137.06189800000001</v>
      </c>
      <c r="N136" s="116">
        <f t="shared" si="23"/>
        <v>142.20011299999999</v>
      </c>
      <c r="O136" s="134">
        <f t="shared" si="23"/>
        <v>140.17607899999999</v>
      </c>
    </row>
    <row r="137" spans="1:15">
      <c r="A137" s="210"/>
      <c r="B137" s="122" t="s">
        <v>9</v>
      </c>
      <c r="C137" s="116">
        <f>HLOOKUP(C$117,$86:$115,19,FALSE)</f>
        <v>15.24977</v>
      </c>
      <c r="D137" s="116">
        <f t="shared" ref="D137:O137" si="24">HLOOKUP(D$117,$86:$115,19,FALSE)</f>
        <v>13.198846</v>
      </c>
      <c r="E137" s="116">
        <f t="shared" si="24"/>
        <v>9.7369489999999992</v>
      </c>
      <c r="F137" s="116">
        <f t="shared" si="24"/>
        <v>32.625571999999998</v>
      </c>
      <c r="G137" s="116">
        <f t="shared" si="24"/>
        <v>27.415593999999999</v>
      </c>
      <c r="H137" s="116">
        <f t="shared" si="24"/>
        <v>14.576139</v>
      </c>
      <c r="I137" s="116">
        <f t="shared" si="24"/>
        <v>17.516629999999999</v>
      </c>
      <c r="J137" s="116">
        <f t="shared" si="24"/>
        <v>20.123602000000002</v>
      </c>
      <c r="K137" s="116">
        <f t="shared" si="24"/>
        <v>22.305457000000001</v>
      </c>
      <c r="L137" s="116">
        <f t="shared" si="24"/>
        <v>22.266936999999999</v>
      </c>
      <c r="M137" s="116">
        <f t="shared" si="24"/>
        <v>17.593667</v>
      </c>
      <c r="N137" s="116">
        <f t="shared" si="24"/>
        <v>15.375764</v>
      </c>
      <c r="O137" s="134">
        <f t="shared" si="24"/>
        <v>14.745189</v>
      </c>
    </row>
    <row r="138" spans="1:15">
      <c r="A138" s="210"/>
      <c r="B138" s="122" t="s">
        <v>8</v>
      </c>
      <c r="C138" s="116">
        <f>HLOOKUP(C$117,$86:$115,20,FALSE)</f>
        <v>33.486941999999999</v>
      </c>
      <c r="D138" s="116">
        <f t="shared" ref="D138:O138" si="25">HLOOKUP(D$117,$86:$115,20,FALSE)</f>
        <v>66.134209999999996</v>
      </c>
      <c r="E138" s="116">
        <f t="shared" si="25"/>
        <v>99.644189999999995</v>
      </c>
      <c r="F138" s="116">
        <f t="shared" si="25"/>
        <v>113.210213</v>
      </c>
      <c r="G138" s="116">
        <f t="shared" si="25"/>
        <v>112.484255</v>
      </c>
      <c r="H138" s="116">
        <f t="shared" si="25"/>
        <v>115.10042799999999</v>
      </c>
      <c r="I138" s="116">
        <f t="shared" si="25"/>
        <v>112.90636000000001</v>
      </c>
      <c r="J138" s="116">
        <f t="shared" si="25"/>
        <v>117.422501</v>
      </c>
      <c r="K138" s="116">
        <f t="shared" si="25"/>
        <v>102.630663</v>
      </c>
      <c r="L138" s="116">
        <f t="shared" si="25"/>
        <v>114.385115</v>
      </c>
      <c r="M138" s="116">
        <f t="shared" si="25"/>
        <v>103.636366</v>
      </c>
      <c r="N138" s="116">
        <f t="shared" si="25"/>
        <v>86.849653000000004</v>
      </c>
      <c r="O138" s="134">
        <f t="shared" si="25"/>
        <v>60.625902000000004</v>
      </c>
    </row>
    <row r="139" spans="1:15" ht="14.25">
      <c r="A139" s="210"/>
      <c r="B139" s="122" t="s">
        <v>74</v>
      </c>
      <c r="C139" s="116">
        <f>HLOOKUP(C$117,$86:$115,21,FALSE)</f>
        <v>276.61590899999999</v>
      </c>
      <c r="D139" s="116">
        <f t="shared" ref="D139:O139" si="26">HLOOKUP(D$117,$86:$115,21,FALSE)</f>
        <v>284.60979800000001</v>
      </c>
      <c r="E139" s="116">
        <f t="shared" si="26"/>
        <v>284.30052499999999</v>
      </c>
      <c r="F139" s="116">
        <f t="shared" si="26"/>
        <v>278.88830000000002</v>
      </c>
      <c r="G139" s="116">
        <f t="shared" si="26"/>
        <v>288.42916700000001</v>
      </c>
      <c r="H139" s="116">
        <f t="shared" si="26"/>
        <v>314.272829</v>
      </c>
      <c r="I139" s="116">
        <f t="shared" si="26"/>
        <v>321.01253800000001</v>
      </c>
      <c r="J139" s="116">
        <f t="shared" si="26"/>
        <v>350.31383599999998</v>
      </c>
      <c r="K139" s="116">
        <f t="shared" si="26"/>
        <v>285.33313399999997</v>
      </c>
      <c r="L139" s="116">
        <f t="shared" si="26"/>
        <v>288.5179</v>
      </c>
      <c r="M139" s="116">
        <f t="shared" si="26"/>
        <v>265.37271800000002</v>
      </c>
      <c r="N139" s="116">
        <f t="shared" si="26"/>
        <v>303.45663500000001</v>
      </c>
      <c r="O139" s="134">
        <f t="shared" si="26"/>
        <v>283.58392400000002</v>
      </c>
    </row>
    <row r="140" spans="1:15">
      <c r="A140" s="210"/>
      <c r="B140" s="122" t="s">
        <v>6</v>
      </c>
      <c r="C140" s="116">
        <f>HLOOKUP(C$117,$86:$115,22,FALSE)</f>
        <v>3.0020419999999999</v>
      </c>
      <c r="D140" s="116">
        <f t="shared" ref="D140:O140" si="27">HLOOKUP(D$117,$86:$115,22,FALSE)</f>
        <v>3.5782180000000001</v>
      </c>
      <c r="E140" s="116">
        <f t="shared" si="27"/>
        <v>2.663478</v>
      </c>
      <c r="F140" s="116">
        <f t="shared" si="27"/>
        <v>1.4201079999999999</v>
      </c>
      <c r="G140" s="116">
        <f t="shared" si="27"/>
        <v>1.852679</v>
      </c>
      <c r="H140" s="116">
        <f t="shared" si="27"/>
        <v>1.1397900000000001</v>
      </c>
      <c r="I140" s="116">
        <f t="shared" si="27"/>
        <v>1.2278610000000001</v>
      </c>
      <c r="J140" s="116">
        <f t="shared" si="27"/>
        <v>1.110916</v>
      </c>
      <c r="K140" s="116">
        <f t="shared" si="27"/>
        <v>1.4820450000000001</v>
      </c>
      <c r="L140" s="116">
        <f t="shared" si="27"/>
        <v>2.1263230000000002</v>
      </c>
      <c r="M140" s="116">
        <f t="shared" si="27"/>
        <v>1.7525280000000001</v>
      </c>
      <c r="N140" s="116">
        <f t="shared" si="27"/>
        <v>1.9171739999999999</v>
      </c>
      <c r="O140" s="134">
        <f t="shared" si="27"/>
        <v>2.44956</v>
      </c>
    </row>
    <row r="141" spans="1:15">
      <c r="A141" s="210"/>
      <c r="B141" s="122" t="s">
        <v>5</v>
      </c>
      <c r="C141" s="116">
        <f>HLOOKUP(C$117,$86:$115,23,FALSE)</f>
        <v>148.01756800000001</v>
      </c>
      <c r="D141" s="116">
        <f t="shared" ref="D141:O141" si="28">HLOOKUP(D$117,$86:$115,23,FALSE)</f>
        <v>158.51629800000001</v>
      </c>
      <c r="E141" s="116">
        <f t="shared" si="28"/>
        <v>145.95032699999999</v>
      </c>
      <c r="F141" s="116">
        <f t="shared" si="28"/>
        <v>107.853368</v>
      </c>
      <c r="G141" s="116">
        <f t="shared" si="28"/>
        <v>121.987015</v>
      </c>
      <c r="H141" s="116">
        <f t="shared" si="28"/>
        <v>91.770038</v>
      </c>
      <c r="I141" s="116">
        <f t="shared" si="28"/>
        <v>92.867580000000004</v>
      </c>
      <c r="J141" s="116">
        <f t="shared" si="28"/>
        <v>60.148176999999997</v>
      </c>
      <c r="K141" s="116">
        <f t="shared" si="28"/>
        <v>88.981584999999995</v>
      </c>
      <c r="L141" s="116">
        <f t="shared" si="28"/>
        <v>109.43612899999999</v>
      </c>
      <c r="M141" s="116">
        <f t="shared" si="28"/>
        <v>120.763114</v>
      </c>
      <c r="N141" s="116">
        <f t="shared" si="28"/>
        <v>116.79283100000001</v>
      </c>
      <c r="O141" s="134">
        <f t="shared" si="28"/>
        <v>159.31650500000001</v>
      </c>
    </row>
    <row r="142" spans="1:15">
      <c r="A142" s="210"/>
      <c r="B142" s="122" t="s">
        <v>4</v>
      </c>
      <c r="C142" s="116">
        <f>HLOOKUP(C$117,$86:$115,24,FALSE)</f>
        <v>24.741710999999999</v>
      </c>
      <c r="D142" s="116">
        <f t="shared" ref="D142:O142" si="29">HLOOKUP(D$117,$86:$115,24,FALSE)</f>
        <v>27.937771999999999</v>
      </c>
      <c r="E142" s="116">
        <f t="shared" si="29"/>
        <v>26.120768999999999</v>
      </c>
      <c r="F142" s="116">
        <f t="shared" si="29"/>
        <v>21.565273000000001</v>
      </c>
      <c r="G142" s="116">
        <f t="shared" si="29"/>
        <v>20.979474</v>
      </c>
      <c r="H142" s="116">
        <f t="shared" si="29"/>
        <v>14.946410999999999</v>
      </c>
      <c r="I142" s="116">
        <f t="shared" si="29"/>
        <v>16.937016</v>
      </c>
      <c r="J142" s="116">
        <f t="shared" si="29"/>
        <v>17.956958</v>
      </c>
      <c r="K142" s="116">
        <f t="shared" si="29"/>
        <v>18.798999999999999</v>
      </c>
      <c r="L142" s="116">
        <f t="shared" si="29"/>
        <v>24.968492999999999</v>
      </c>
      <c r="M142" s="116">
        <f t="shared" si="29"/>
        <v>24.757097000000002</v>
      </c>
      <c r="N142" s="116">
        <f t="shared" si="29"/>
        <v>32.832608</v>
      </c>
      <c r="O142" s="134">
        <f t="shared" si="29"/>
        <v>30.518813000000002</v>
      </c>
    </row>
    <row r="143" spans="1:15">
      <c r="A143" s="210"/>
      <c r="B143" s="122" t="s">
        <v>22</v>
      </c>
      <c r="C143" s="116">
        <f>HLOOKUP(C$117,$86:$115,25,FALSE)</f>
        <v>0.72395900000000002</v>
      </c>
      <c r="D143" s="116">
        <f t="shared" ref="D143:O143" si="30">HLOOKUP(D$117,$86:$115,25,FALSE)</f>
        <v>0.73402900000000004</v>
      </c>
      <c r="E143" s="116">
        <f t="shared" si="30"/>
        <v>0.56980699999999995</v>
      </c>
      <c r="F143" s="116">
        <f t="shared" si="30"/>
        <v>0.40013300000000002</v>
      </c>
      <c r="G143" s="116">
        <f t="shared" si="30"/>
        <v>0.75599700000000003</v>
      </c>
      <c r="H143" s="116">
        <f t="shared" si="30"/>
        <v>0.75323799999999996</v>
      </c>
      <c r="I143" s="116">
        <f t="shared" si="30"/>
        <v>0.822349</v>
      </c>
      <c r="J143" s="116">
        <f t="shared" si="30"/>
        <v>0.86053100000000005</v>
      </c>
      <c r="K143" s="116">
        <f t="shared" si="30"/>
        <v>0.72069799999999995</v>
      </c>
      <c r="L143" s="116">
        <f t="shared" si="30"/>
        <v>0.90984399999999999</v>
      </c>
      <c r="M143" s="116">
        <f t="shared" si="30"/>
        <v>0.61352399999999996</v>
      </c>
      <c r="N143" s="116">
        <f t="shared" si="30"/>
        <v>0.72146399999999999</v>
      </c>
      <c r="O143" s="134">
        <f t="shared" si="30"/>
        <v>0.696106</v>
      </c>
    </row>
    <row r="144" spans="1:15">
      <c r="A144" s="210"/>
      <c r="B144" s="127" t="s">
        <v>1</v>
      </c>
      <c r="C144" s="128">
        <f>HLOOKUP(C$117,$86:$115,26,FALSE)</f>
        <v>635.59644100000003</v>
      </c>
      <c r="D144" s="128">
        <f t="shared" ref="D144:O144" si="31">HLOOKUP(D$117,$86:$115,26,FALSE)</f>
        <v>698.30480899999998</v>
      </c>
      <c r="E144" s="128">
        <f t="shared" si="31"/>
        <v>726.03438600000004</v>
      </c>
      <c r="F144" s="128">
        <f t="shared" si="31"/>
        <v>724.21986700000002</v>
      </c>
      <c r="G144" s="128">
        <f t="shared" si="31"/>
        <v>734.20304999999996</v>
      </c>
      <c r="H144" s="128">
        <f t="shared" si="31"/>
        <v>703.45473200000004</v>
      </c>
      <c r="I144" s="128">
        <f t="shared" si="31"/>
        <v>719.87855100000002</v>
      </c>
      <c r="J144" s="128">
        <f t="shared" si="31"/>
        <v>713.20721600000002</v>
      </c>
      <c r="K144" s="128">
        <f t="shared" si="31"/>
        <v>649.78210300000001</v>
      </c>
      <c r="L144" s="128">
        <f t="shared" si="31"/>
        <v>711.74400100000003</v>
      </c>
      <c r="M144" s="128">
        <f t="shared" si="31"/>
        <v>671.82498399999997</v>
      </c>
      <c r="N144" s="128">
        <f t="shared" si="31"/>
        <v>700.44504700000005</v>
      </c>
      <c r="O144" s="136">
        <f t="shared" si="31"/>
        <v>692.393461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182.213075</v>
      </c>
      <c r="D146" s="141">
        <f t="shared" ref="D146:O146" si="32">SUM(D136:D138)</f>
        <v>222.63896800000001</v>
      </c>
      <c r="E146" s="141">
        <f t="shared" si="32"/>
        <v>266.148821</v>
      </c>
      <c r="F146" s="141">
        <f t="shared" si="32"/>
        <v>313.81515200000001</v>
      </c>
      <c r="G146" s="141">
        <f t="shared" si="32"/>
        <v>299.91658699999999</v>
      </c>
      <c r="H146" s="141">
        <f t="shared" si="32"/>
        <v>280.34116800000004</v>
      </c>
      <c r="I146" s="141">
        <f t="shared" si="32"/>
        <v>286.85584700000004</v>
      </c>
      <c r="J146" s="141">
        <f t="shared" si="32"/>
        <v>282.52258499999999</v>
      </c>
      <c r="K146" s="141">
        <f t="shared" si="32"/>
        <v>254.215059</v>
      </c>
      <c r="L146" s="141">
        <f t="shared" si="32"/>
        <v>285.48886599999997</v>
      </c>
      <c r="M146" s="141">
        <f t="shared" si="32"/>
        <v>258.29193100000003</v>
      </c>
      <c r="N146" s="141">
        <f t="shared" si="32"/>
        <v>244.42552999999998</v>
      </c>
      <c r="O146" s="142">
        <f t="shared" si="32"/>
        <v>215.54716999999999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123</v>
      </c>
      <c r="B152" s="176" t="s">
        <v>124</v>
      </c>
      <c r="C152" s="183">
        <v>0.24918999999999999</v>
      </c>
      <c r="D152" s="183">
        <v>2.14E-3</v>
      </c>
      <c r="E152" s="183">
        <v>-7.4000000000000003E-3</v>
      </c>
      <c r="F152" s="183">
        <v>0.25445000000000001</v>
      </c>
      <c r="G152" s="183">
        <v>0.13149</v>
      </c>
      <c r="H152" s="183">
        <v>3.2200000000000002E-3</v>
      </c>
      <c r="I152" s="183">
        <v>2.7000000000000001E-3</v>
      </c>
      <c r="J152" s="183">
        <v>0.12556999999999999</v>
      </c>
      <c r="K152" s="183">
        <v>0.14061000000000001</v>
      </c>
      <c r="L152" s="183">
        <v>9.0000000000000006E-5</v>
      </c>
      <c r="M152" s="183">
        <v>7.1599999999999997E-3</v>
      </c>
      <c r="N152" s="183">
        <v>0.13336000000000001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123</v>
      </c>
      <c r="B158" s="176" t="s">
        <v>124</v>
      </c>
      <c r="C158" s="183">
        <v>8.9359999999999995E-2</v>
      </c>
      <c r="D158" s="183">
        <v>1.06E-3</v>
      </c>
      <c r="E158" s="183">
        <v>-1.97E-3</v>
      </c>
      <c r="F158" s="183">
        <v>9.0270000000000003E-2</v>
      </c>
      <c r="G158" s="183">
        <v>0.10249</v>
      </c>
      <c r="H158" s="183">
        <v>1.1199999999999999E-3</v>
      </c>
      <c r="I158" s="183">
        <v>-4.8999999999999998E-4</v>
      </c>
      <c r="J158" s="183">
        <v>0.10186000000000001</v>
      </c>
      <c r="K158" s="183">
        <v>7.9439999999999997E-2</v>
      </c>
      <c r="L158" s="183">
        <v>-7.6000000000000004E-4</v>
      </c>
      <c r="M158" s="183">
        <v>-1.73E-3</v>
      </c>
      <c r="N158" s="183">
        <v>8.1930000000000003E-2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U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Junio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Junio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574.25105299999996</v>
      </c>
      <c r="G9" s="164">
        <f>Dat_01!T24*100</f>
        <v>24.91942478</v>
      </c>
      <c r="H9" s="83">
        <f>Dat_01!U24/1000</f>
        <v>2785.376131</v>
      </c>
      <c r="I9" s="164">
        <f>Dat_01!W24*100</f>
        <v>13.14855919</v>
      </c>
      <c r="J9" s="83">
        <f>Dat_01!X24/1000</f>
        <v>5851.2535599999992</v>
      </c>
      <c r="K9" s="164">
        <f>Dat_01!Y24*100</f>
        <v>14.060893499999999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0.214</v>
      </c>
      <c r="H12" s="103"/>
      <c r="I12" s="103">
        <f>Dat_01!H152*100</f>
        <v>0.32200000000000001</v>
      </c>
      <c r="J12" s="103"/>
      <c r="K12" s="103">
        <f>Dat_01!L152*100</f>
        <v>9.0000000000000011E-3</v>
      </c>
    </row>
    <row r="13" spans="3:12">
      <c r="E13" s="85" t="s">
        <v>42</v>
      </c>
      <c r="F13" s="84"/>
      <c r="G13" s="103">
        <f>Dat_01!E152*100</f>
        <v>-0.74</v>
      </c>
      <c r="H13" s="103"/>
      <c r="I13" s="103">
        <f>Dat_01!I152*100</f>
        <v>0.27</v>
      </c>
      <c r="J13" s="103"/>
      <c r="K13" s="103">
        <f>Dat_01!M152*100</f>
        <v>0.71599999999999997</v>
      </c>
    </row>
    <row r="14" spans="3:12">
      <c r="E14" s="86" t="s">
        <v>43</v>
      </c>
      <c r="F14" s="87"/>
      <c r="G14" s="104">
        <f>Dat_01!F152*100</f>
        <v>25.445</v>
      </c>
      <c r="H14" s="104"/>
      <c r="I14" s="104">
        <f>Dat_01!J152*100</f>
        <v>12.556999999999999</v>
      </c>
      <c r="J14" s="104"/>
      <c r="K14" s="104">
        <f>Dat_01!N152*100</f>
        <v>13.336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Junio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Junio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692.393461</v>
      </c>
      <c r="G9" s="164">
        <f>Dat_01!AB24*100</f>
        <v>8.9360192000000005</v>
      </c>
      <c r="H9" s="83">
        <f>Dat_01!AC24/1000</f>
        <v>4139.396812</v>
      </c>
      <c r="I9" s="164">
        <f>Dat_01!AE24*100</f>
        <v>10.24893909</v>
      </c>
      <c r="J9" s="83">
        <f>Dat_01!AF24/1000</f>
        <v>8445.4922070000011</v>
      </c>
      <c r="K9" s="164">
        <f>Dat_01!AG24*100</f>
        <v>7.9440669500000007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0.106</v>
      </c>
      <c r="H12" s="103"/>
      <c r="I12" s="103">
        <f>Dat_01!H158*100</f>
        <v>0.11199999999999999</v>
      </c>
      <c r="J12" s="103"/>
      <c r="K12" s="103">
        <f>Dat_01!L158*100</f>
        <v>-7.5999999999999998E-2</v>
      </c>
    </row>
    <row r="13" spans="3:12">
      <c r="E13" s="85" t="s">
        <v>42</v>
      </c>
      <c r="F13" s="84"/>
      <c r="G13" s="103">
        <f>Dat_01!E158*100</f>
        <v>-0.19700000000000001</v>
      </c>
      <c r="H13" s="103"/>
      <c r="I13" s="103">
        <f>Dat_01!I158*100</f>
        <v>-4.9000000000000002E-2</v>
      </c>
      <c r="J13" s="103"/>
      <c r="K13" s="103">
        <f>Dat_01!M158*100</f>
        <v>-0.17299999999999999</v>
      </c>
    </row>
    <row r="14" spans="3:12">
      <c r="E14" s="86" t="s">
        <v>43</v>
      </c>
      <c r="F14" s="87"/>
      <c r="G14" s="104">
        <f>Dat_01!F158*100</f>
        <v>9.027000000000001</v>
      </c>
      <c r="H14" s="104"/>
      <c r="I14" s="104">
        <f>Dat_01!J158*100</f>
        <v>10.186</v>
      </c>
      <c r="J14" s="104"/>
      <c r="K14" s="104">
        <f>Dat_01!N158*100</f>
        <v>8.1929999999999996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130</v>
      </c>
    </row>
    <row r="2" spans="1:2">
      <c r="A2" t="s">
        <v>125</v>
      </c>
    </row>
    <row r="3" spans="1:2">
      <c r="A3" t="s">
        <v>126</v>
      </c>
    </row>
    <row r="4" spans="1:2">
      <c r="A4" t="s">
        <v>128</v>
      </c>
    </row>
    <row r="5" spans="1:2">
      <c r="A5" t="s">
        <v>129</v>
      </c>
    </row>
    <row r="6" spans="1:2">
      <c r="A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Junio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0.28138299999999999</v>
      </c>
      <c r="I9" s="17">
        <f>IF(Dat_01!AB8*100=-100,"-",Dat_01!AB8*100)</f>
        <v>-0.28138366999999997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2.44956</v>
      </c>
      <c r="I10" s="17">
        <f>Dat_01!AB15*100</f>
        <v>-18.403539990000002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2.8254000000000001E-2</v>
      </c>
      <c r="G11" s="17">
        <f>Dat_01!T16*100</f>
        <v>-70.011781310000003</v>
      </c>
      <c r="H11" s="153">
        <f>Dat_01!Z16/1000</f>
        <v>159.31650500000001</v>
      </c>
      <c r="I11" s="17">
        <f>Dat_01!AB16*100</f>
        <v>7.63351077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28.349565999999999</v>
      </c>
      <c r="G12" s="17">
        <f>Dat_01!T17*100</f>
        <v>33.915804360000003</v>
      </c>
      <c r="H12" s="153">
        <f>Dat_01!Z17/1000</f>
        <v>30.518812999999998</v>
      </c>
      <c r="I12" s="17">
        <f>Dat_01!AB17*100</f>
        <v>23.349646269999997</v>
      </c>
      <c r="J12" s="153" t="s">
        <v>3</v>
      </c>
      <c r="K12" s="17" t="s">
        <v>3</v>
      </c>
      <c r="L12" s="17">
        <f>Dat_01!J17/1000</f>
        <v>7.9070000000000008E-3</v>
      </c>
      <c r="M12" s="17">
        <f>IF(Dat_01!L17*100=-100,"-",Dat_01!L17*100)</f>
        <v>10.43296089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0.111179</v>
      </c>
      <c r="G13" s="17">
        <f>Dat_01!T18*100</f>
        <v>10.687547290000001</v>
      </c>
      <c r="H13" s="153">
        <f>Dat_01!Z18/1000</f>
        <v>0.696106</v>
      </c>
      <c r="I13" s="17">
        <f>IF(Dat_01!AB18*100=-100,"-",Dat_01!AB18*100)</f>
        <v>-3.8473173200000002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13.186323</v>
      </c>
      <c r="G14" s="17">
        <f>Dat_01!T21*100</f>
        <v>-2.1927034000000001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0.54320550000000001</v>
      </c>
      <c r="M14" s="17">
        <f>Dat_01!L21*100</f>
        <v>11.126101889999999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41.675322000000001</v>
      </c>
      <c r="G15" s="173">
        <f>((SUM(Dat_01!R8,Dat_01!R15:R18,Dat_01!R20)/SUM(Dat_01!S8,Dat_01!S15:S18,Dat_01!S20))-1)*100</f>
        <v>19.597562977782125</v>
      </c>
      <c r="H15" s="172">
        <f>SUM(H9:H14)</f>
        <v>193.26236699999998</v>
      </c>
      <c r="I15" s="173">
        <f>((SUM(Dat_01!Z8,Dat_01!Z15:Z18,Dat_01!Z20)/SUM(Dat_01!AA8,Dat_01!AA15:AA18,Dat_01!AA20))-1)*100</f>
        <v>9.3314178299232822</v>
      </c>
      <c r="J15" s="172" t="s">
        <v>3</v>
      </c>
      <c r="K15" s="173" t="s">
        <v>3</v>
      </c>
      <c r="L15" s="173">
        <f>SUM(L9:L14)</f>
        <v>0.55111250000000001</v>
      </c>
      <c r="M15" s="173">
        <f>((SUM(Dat_01!J8,Dat_01!J15:J18,Dat_01!J21)/SUM(Dat_01!K8,Dat_01!K15:K18,Dat_01!K20))-1)*100</f>
        <v>11.116095641146106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29.141857000000002</v>
      </c>
      <c r="G16" s="17">
        <f>Dat_01!T9*100</f>
        <v>-30.537595690000003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52.984196000000004</v>
      </c>
      <c r="G17" s="24">
        <f>((SUM(Dat_01!R10,Dat_01!R14)/SUM(Dat_01!S10,Dat_01!S14))-1)*100</f>
        <v>27.73055413530119</v>
      </c>
      <c r="H17" s="154">
        <f>Dat_01!Z10/1000</f>
        <v>140.17607899999999</v>
      </c>
      <c r="I17" s="24">
        <f>Dat_01!AB10*100</f>
        <v>5.0194025699999996</v>
      </c>
      <c r="J17" s="154">
        <f>Dat_01!B10/1000</f>
        <v>16.550761999999999</v>
      </c>
      <c r="K17" s="24">
        <f>Dat_01!D10*100</f>
        <v>5.77200325</v>
      </c>
      <c r="L17" s="154">
        <f>Dat_01!J10/1000</f>
        <v>15.136259000000001</v>
      </c>
      <c r="M17" s="24">
        <f>Dat_01!L10*100</f>
        <v>-3.0685303899999998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32.914068</v>
      </c>
      <c r="G18" s="24">
        <f>Dat_01!T11*100</f>
        <v>74.499001649999997</v>
      </c>
      <c r="H18" s="154">
        <f>Dat_01!Z11/1000</f>
        <v>14.745189</v>
      </c>
      <c r="I18" s="24">
        <f>Dat_01!AB11*100</f>
        <v>-3.3087777700000003</v>
      </c>
      <c r="J18" s="154">
        <f>Dat_01!B11/1000</f>
        <v>6.3921999999999993E-2</v>
      </c>
      <c r="K18" s="24">
        <f>IF(Dat_01!D11=-100%,"-",Dat_01!D11*100)</f>
        <v>910.62450593000005</v>
      </c>
      <c r="L18" s="154">
        <f>Dat_01!J11/1000</f>
        <v>1.0843E-2</v>
      </c>
      <c r="M18" s="24">
        <f>IF(Dat_01!L11*100=-100,"-",Dat_01!L11*100)</f>
        <v>900.27675276999992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60.625902000000004</v>
      </c>
      <c r="I19" s="24">
        <f>Dat_01!AB12*100</f>
        <v>81.043410890000004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85.898264000000012</v>
      </c>
      <c r="G20" s="17">
        <f>((SUM(Dat_01!R10:R12,Dat_01!R14)/SUM(Dat_01!S10:S12,Dat_01!S14))-1)*100</f>
        <v>42.349390100080939</v>
      </c>
      <c r="H20" s="153">
        <f>SUM(H17:H19)</f>
        <v>215.54716999999999</v>
      </c>
      <c r="I20" s="17">
        <f>(H20/(H17/(I17/100+1)+H18/(I18/100+1)+H19/(I19/100+1))-1)*100</f>
        <v>18.294019237716853</v>
      </c>
      <c r="J20" s="153">
        <f>SUM(J17:J19)</f>
        <v>16.614684</v>
      </c>
      <c r="K20" s="17">
        <f>((SUM(Dat_01!B10:B12)/SUM(Dat_01!C10:C12))-1)*100</f>
        <v>6.1376111319933369</v>
      </c>
      <c r="L20" s="153">
        <f>SUM(L17:L19)</f>
        <v>15.147102</v>
      </c>
      <c r="M20" s="17">
        <f>((SUM(Dat_01!J10:J12)/SUM(Dat_01!K10:K12))-1)*100</f>
        <v>-3.0058258226375534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367.58788099999998</v>
      </c>
      <c r="G21" s="17">
        <f>Dat_01!T13*100</f>
        <v>52.791982079999997</v>
      </c>
      <c r="H21" s="153">
        <f>Dat_01!Z13/1000</f>
        <v>283.58392400000002</v>
      </c>
      <c r="I21" s="17">
        <f>Dat_01!AB13*100</f>
        <v>2.5190217800000001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1.5363420000000001</v>
      </c>
      <c r="G22" s="17">
        <f>Dat_01!T19*100</f>
        <v>-49.82820967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13.186323</v>
      </c>
      <c r="G23" s="17">
        <f>Dat_01!T20*100</f>
        <v>-2.1927034000000001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0.54320550000000001</v>
      </c>
      <c r="M23" s="17">
        <f>Dat_01!L20*100</f>
        <v>11.126101889999999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497.35066699999999</v>
      </c>
      <c r="G24" s="173">
        <f>((SUM(Dat_01!R9:R14,Dat_01!R19,Dat_01!R21)/SUM(Dat_01!S9:S14,Dat_01!S19,Dat_01!S21))-1)*100</f>
        <v>38.375363398994502</v>
      </c>
      <c r="H24" s="155">
        <f>SUM(H16,H20:H23)</f>
        <v>499.13109400000002</v>
      </c>
      <c r="I24" s="173">
        <f>((SUM(Dat_01!Z9:Z14,Dat_01!Z19,Dat_01!Z21)/SUM(Dat_01!AA9:AA14,Dat_01!AA19,Dat_01!AA21))-1)*100</f>
        <v>8.7836887828341759</v>
      </c>
      <c r="J24" s="155">
        <f>SUM(J16,J20:J23)</f>
        <v>16.614684</v>
      </c>
      <c r="K24" s="173">
        <f>((SUM(Dat_01!B9:B14,Dat_01!B19,Dat_01!B21)/SUM(Dat_01!C9:C14,Dat_01!C19,Dat_01!C21))-1)*100</f>
        <v>6.1376111319933369</v>
      </c>
      <c r="L24" s="155">
        <f>SUM(L16,L20:L23)</f>
        <v>15.690307499999999</v>
      </c>
      <c r="M24" s="173">
        <f>((SUM(Dat_01!J9:J14,Dat_01!J19,Dat_01!J21)/SUM(Dat_01!K9:K14,Dat_01!K19,Dat_01!K21))-1)*100</f>
        <v>-2.5769021999306307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35.225063999999996</v>
      </c>
      <c r="G25" s="14">
        <f>Dat_01!T23*100</f>
        <v>-46.163303669999998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574.25105299999996</v>
      </c>
      <c r="G26" s="11">
        <f>Dat_01!T24*100</f>
        <v>24.91942478</v>
      </c>
      <c r="H26" s="157">
        <f>Dat_01!Z24/1000</f>
        <v>692.393461</v>
      </c>
      <c r="I26" s="11">
        <f>Dat_01!AB24*100</f>
        <v>8.9360192000000005</v>
      </c>
      <c r="J26" s="157">
        <f>Dat_01!B24/1000</f>
        <v>16.614684</v>
      </c>
      <c r="K26" s="11">
        <f>Dat_01!D24*100</f>
        <v>6.1376111299999998</v>
      </c>
      <c r="L26" s="157">
        <f>Dat_01!J24/1000</f>
        <v>16.241420000000002</v>
      </c>
      <c r="M26" s="11">
        <f>Dat_01!L24*100</f>
        <v>-2.1678115099999999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Junio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Junio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Junio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Junio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2022-07-12T09:24:00Z</dcterms:modified>
</cp:coreProperties>
</file>