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JUL\"/>
    </mc:Choice>
  </mc:AlternateContent>
  <xr:revisionPtr revIDLastSave="0" documentId="8_{8087C641-EB5E-4CEE-8DA0-82265B313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Dat_01!$A$85:$V$114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8" l="1"/>
  <c r="R26" i="18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<sst xmlns="http://schemas.openxmlformats.org/spreadsheetml/2006/main" count="429" uniqueCount="133">
  <si>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</si>
  <si>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</si>
  <si>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</si>
  <si>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</si>
  <si>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</si>
  <si>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</si>
  <si>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</si>
  <si>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</si>
  <si>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</si>
  <si>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</si>
  <si>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</si>
  <si>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</si>
  <si>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</si>
  <si>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</si>
  <si>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</si>
  <si>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</si>
  <si>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</si>
  <si>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</si>
  <si>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</si>
  <si>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</si>
  <si>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</si>
  <si>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</si>
  <si>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</si>
  <si>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</si>
  <si>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</si>
  <si>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</si>
  <si>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</si>
  <si>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</si>
  <si>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</si>
  <si>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</si>
  <si>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</si>
  <si>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</si>
  <si>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</si>
  <si>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</si>
  <si>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</si>
  <si>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</si>
  <si>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</si>
  <si>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</si>
  <si>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</si>
  <si>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</si>
  <si>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</si>
  <si>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</si>
  <si>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</si>
  <si>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</si>
  <si>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</si>
  <si>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</si>
  <si>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</si>
  <si>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</si>
  <si>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</si>
  <si>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</si>
  <si>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</si>
  <si>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</si>
  <si>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</si>
  <si>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</si>
  <si>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</si>
  <si>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</si>
  <si>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</si>
  <si>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</si>
  <si>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</si>
  <si>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</si>
  <si>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</si>
  <si>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</si>
  <si>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</si>
  <si>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</si>
  <si>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</si>
  <si>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</si>
  <si>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</si>
  <si>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</si>
  <si>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</si>
  <si>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</si>
  <si>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</si>
  <si>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</si>
  <si>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</si>
  <si>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</si>
  <si>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</si>
  <si>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</si>
  <si>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</si>
  <si>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</si>
  <si>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</si>
  <si>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</si>
  <si>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</si>
  <si>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</si>
  <si>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</si>
  <si>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</si>
  <si>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</si>
  <si>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</si>
  <si>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</si>
  <si>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</si>
  <si>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</si>
  <si>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</si>
  <si>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</si>
  <si>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</si>
  <si>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</si>
  <si>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</si>
  <si>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</si>
  <si>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</si>
  <si>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</si>
  <si>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</si>
  <si>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</si>
  <si>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</si>
  <si>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</si>
  <si>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</si>
  <si>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</si>
  <si>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</si>
  <si>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</si>
  <si>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</si>
  <si>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</si>
  <si>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</si>
  <si>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</si>
  <si>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</si>
  <si>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</si>
  <si>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</si>
  <si>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</si>
  <si>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</si>
  <si>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</si>
  <si>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</si>
  <si>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</si>
  <si>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</si>
  <si>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</si>
  <si>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</si>
  <si>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</si>
  <si>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</si>
  <si>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</si>
  <si>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</si>
  <si>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</si>
  <si>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31/07/2023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</si>
  <si>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14:45:02" si="2.000000015cf00e9842d93c128d7fcd48138e92dc76c5ec9b8648fd677bf16482cd3c30f3aa0e34b89404c5d914265566502c146037d750a3bd7d56ba5f5557702d53b7e9c63a366432a9bf5724c27b212dc1cb992390316ef0fe9022373254a2ad3b8ee4498bf1ac18b2799819fa42604b2905eb8601a90d5997cca539b0b51ac143eff109d765d0f05247d06a72eadf8423ab97d97cd78797f72be3bef9c565f50a.p.3082.0.1.Europe/Madrid.upriv*_1*_pidn2*_1*_session*-lat*_1.000000011e98fae2cbcb05818b3730e13cf5125ab5ee3e721012e54783666eb11f2ed7ea923c1302ba1ba6771cb4ebd436528ff279f98059.00000001f3552968104c507ce9d0fafbf75b0528b5ee3e72880c4233601ca9b88b20ce1c964c152bd067bf136ae3e1bc2d22c7fb742e52ab.0.1.1.BDEbi.D066E1C611E6257C10D00080EF253B44.0-3082.1.1_-0.1.0_-3082.1.1_5.5.0.*0.00000001109473819b1e8b3015771c07884d2fd3c911585a70f2453715a19e4cbd868c77834d6c63.0.23.11*.2*.0400*.31152J.e.000000014ee1e938e4bd6ee4d9d0362583f19ecec911585afd380dac2e82ba015b1222a397188b2c.0.10*.131*.122*.122.0.0" msgID="1CE216AA11EE3AB1EC870080EFC585DD"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</si>
  <si>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ut="08/14/2023 14:48:05" si="2.0000000111fbd00fbd21d3e3655932c2faa2886499a71812e15897f6db1e37e3dbdec1bd49b6283ed858a7a9001e17140cd19979b5e1b63fa5cdfe4c3d168dad8200dcfd55c6c5c02a79158a682320fa30e66130006d4fc1ae1f5cbc4a0c1505b298378c29b23d5963c88729b0daa432863ccce37becc6a0478e3bef79f0090141d4ee13a764f2a2f6eea5febaf912c62bbefac6496fd650a59a5095521cbc4fd594.p.3082.0.1.Europe/Madrid.upriv*_1*_pidn2*_3*_session*-lat*_1.0000000115718b40d3f99419703872aa2f479b17b5ee3e7203a370b7fd65a8193da6e677bc36d712bf2b53603d7f442d57c4f1e01be2bd89.000000017ef8e42263a330e8c3318808dbf7f748b5ee3e7202d2a9b3762915ee658f68dd8ac2ec1a2a12de70fd963f8fea03dbbc9679c565.0.1.1.BDEbi.D066E1C611E6257C10D00080EF253B44.0-3082.1.1_-0.1.0_-3082.1.1_5.5.0.*0.0000000101f84ac0385722885fb9f0d0002dfde8c911585a2659ed9768714c07d3f0f5af41140e92.0.23.11*.2*.0400*.31152J.e.00000001ac92dfb92fe83b5de71547777d49471dc911585a75a4e1c42bbadc375ad597e101b791da.0.10*.131*.122*.122.0.0" msgID="86642EA611EE3AB1EC870080EFA542D8"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nrr="107" nrc="720"&gt;&lt;pg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</si>
  <si>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ut="08/14/2023 14:48:35" si="2.0000000111fbd00fbd21d3e3655932c2faa2886499a71812e15897f6db1e37e3dbdec1bd49b6283ed858a7a9001e17140cd19979b5e1b63fa5cdfe4c3d168dad8200dcfd55c6c5c02a79158a682320fa30e66130006d4fc1ae1f5cbc4a0c1505b298378c29b23d5963c88729b0daa432863ccce37becc6a0478e3bef79f0090141d4ee13a764f2a2f6eea5febaf912c62bbefac6496fd650a59a5095521cbc4fd594.p.3082.0.1.Europe/Madrid.upriv*_1*_pidn2*_3*_session*-lat*_1.0000000115718b40d3f99419703872aa2f479b17b5ee3e7203a370b7fd65a8193da6e677bc36d712bf2b53603d7f442d57c4f1e01be2bd89.000000017ef8e42263a330e8c3318808dbf7f748b5ee3e7202d2a9b3762915ee658f68dd8ac2ec1a2a12de70fd963f8fea03dbbc9679c565.0.1.1.BDEbi.D066E1C611E6257C10D00080EF253B44.0-3082.1.1_-0.1.0_-3082.1.1_5.5.0.*0.0000000101f84ac0385722885fb9f0d0002dfde8c911585a2659ed9768714c07d3f0f5af41140e92.0.23.11*.2*.0400*.31152J.e.00000001ac92dfb92fe83b5de71547777d49471dc911585a75a4e1c42bbadc375ad597e101b791da.0.10*.131*.122*.122.0.0" msgID="9A9100AD11EE3AB1EC870080EFB562D8"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nrr="62" nrc="756"&gt;&lt;pg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</si>
  <si>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14:53:33" si="2.000000015cf00e9842d93c128d7fcd48138e92dc76c5ec9b8648fd677bf16482cd3c30f3aa0e34b89404c5d914265566502c146037d750a3bd7d56ba5f5557702d53b7e9c63a366432a9bf5724c27b212dc1cb992390316ef0fe9022373254a2ad3b8ee4498bf1ac18b2799819fa42604b2905eb8601a90d5997cca539b0b51ac143eff109d765d0f05247d06a72eadf8423ab97d97cd78797f72be3bef9c565f50a.p.3082.0.1.Europe/Madrid.upriv*_1*_pidn2*_1*_session*-lat*_1.000000011e98fae2cbcb05818b3730e13cf5125ab5ee3e721012e54783666eb11f2ed7ea923c1302ba1ba6771cb4ebd436528ff279f98059.00000001f3552968104c507ce9d0fafbf75b0528b5ee3e72880c4233601ca9b88b20ce1c964c152bd067bf136ae3e1bc2d22c7fb742e52ab.0.1.1.BDEbi.D066E1C611E6257C10D00080EF253B44.0-3082.1.1_-0.1.0_-3082.1.1_5.5.0.*0.00000001109473819b1e8b3015771c07884d2fd3c911585a70f2453715a19e4cbd868c77834d6c63.0.23.11*.2*.0400*.31152J.e.000000014ee1e938e4bd6ee4d9d0362583f19ecec911585afd380dac2e82ba015b1222a397188b2c.0.10*.131*.122*.122.0.0" msgID="D08F631A11EE3AB1EC870080EF65C3DA"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nrr="1377" nrc="2592"&gt;&lt;pg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</si>
  <si>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Agosto 2023</t>
  </si>
  <si>
    <t>1c5744627852448f87befd78336f72ba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</si>
  <si>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ut="08/14/2023 14:58:57" si="2.000000015cf00e9842d93c128d7fcd48138e92dc76c5ec9b8648fd677bf16482cd3c30f3aa0e34b89404c5d914265566502c146037d750a3bd7d56ba5f5557702d53b7e9c63a366432a9bf5724c27b212dc1cb992390316ef0fe9022373254a2ad3b8ee4498bf1ac18b2799819fa42604b2905eb8601a90d5997cca539b0b51ac143eff109d765d0f05247d06a72eadf8423ab97d97cd78797f72be3bef9c565f50a.p.3082.0.1.Europe/Madrid.upriv*_1*_pidn2*_1*_session*-lat*_1.000000011e98fae2cbcb05818b3730e13cf5125ab5ee3e721012e54783666eb11f2ed7ea923c1302ba1ba6771cb4ebd436528ff279f98059.00000001f3552968104c507ce9d0fafbf75b0528b5ee3e72880c4233601ca9b88b20ce1c964c152bd067bf136ae3e1bc2d22c7fb742e52ab.0.1.1.BDEbi.D066E1C611E6257C10D00080EF253B44.0-3082.1.1_-0.1.0_-3082.1.1_5.5.0.*0.00000001109473819b1e8b3015771c07884d2fd3c911585a70f2453715a19e4cbd868c77834d6c63.0.23.11*.2*.0400*.31152J.e.000000014ee1e938e4bd6ee4d9d0362583f19ecec911585afd380dac2e82ba015b1222a397188b2c.0.10*.131*.122*.122.0.0" msgID="63E4E39C11EE3AB2EC870080EF65C4DC"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cols="22" /&gt;&lt;esdo ews="" ece="" ptn="" /&gt;&lt;/excel&gt;&lt;pgs&gt;&lt;pg rows="27" cols="20" nrr="1980" nrc="1521"&gt;&lt;pg /&gt;&lt;bls&gt;&lt;bl sr="1" sc="1" rfetch="27" cfetch="20" posid="1" darows="0" dacols="1"&gt;&lt;excel&gt;&lt;epo ews="Dat_01" ece="A85" enr="MSTR.Serie_Balance_B.C._Mensual_Baleares_y_Canarias" ptn="" qtn="" rows="30" cols="22" /&gt;&lt;esdo ews="" ece="" ptn="" /&gt;&lt;/excel&gt;&lt;gridRng&gt;&lt;sect id="TITLE_AREA" rngprop="1:1:3:2" /&gt;&lt;sect id="ROWHEADERS_AREA" rngprop="4:1:27:2" /&gt;&lt;sect id="COLUMNHEADERS_AREA" rngprop="1:3:3:20" /&gt;&lt;sect id="DATA_AREA" rngprop="4:3:27:20"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</si>
</sst>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4634146341463403"/>
                  <c:y val="-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0487804878048779"/>
                  <c:y val="-1.6966188050023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5.1111046780917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8198117918187043"/>
                  <c:y val="0.19244480469353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4614582933230902"/>
                  <c:y val="-0.13524471205805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7.4896724539643662</c:v>
                </c:pt>
                <c:pt idx="1">
                  <c:v>7.8568939540004479</c:v>
                </c:pt>
                <c:pt idx="2">
                  <c:v>9.144931395319686</c:v>
                </c:pt>
                <c:pt idx="3">
                  <c:v>43.138406037880912</c:v>
                </c:pt>
                <c:pt idx="4">
                  <c:v>0</c:v>
                </c:pt>
                <c:pt idx="5">
                  <c:v>0.44243644416446748</c:v>
                </c:pt>
                <c:pt idx="6">
                  <c:v>1.710124705081393</c:v>
                </c:pt>
                <c:pt idx="7">
                  <c:v>1.710124705081393</c:v>
                </c:pt>
                <c:pt idx="8">
                  <c:v>1.6167610337030472E-2</c:v>
                </c:pt>
                <c:pt idx="9">
                  <c:v>5.5028600259282303</c:v>
                </c:pt>
                <c:pt idx="10">
                  <c:v>5.0778009845261311E-3</c:v>
                </c:pt>
                <c:pt idx="11">
                  <c:v>22.983304867257562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11.209753924778493</c:v>
                </c:pt>
                <c:pt idx="1">
                  <c:v>6.4786057094283676</c:v>
                </c:pt>
                <c:pt idx="2">
                  <c:v>28.029032305281547</c:v>
                </c:pt>
                <c:pt idx="3">
                  <c:v>38.244222656302746</c:v>
                </c:pt>
                <c:pt idx="4">
                  <c:v>0</c:v>
                </c:pt>
                <c:pt idx="5">
                  <c:v>0.53553065702828595</c:v>
                </c:pt>
                <c:pt idx="6">
                  <c:v>1.7381625074076104</c:v>
                </c:pt>
                <c:pt idx="7">
                  <c:v>1.7381625074076104</c:v>
                </c:pt>
                <c:pt idx="8">
                  <c:v>0.1657993247373436</c:v>
                </c:pt>
                <c:pt idx="9">
                  <c:v>11.761738799585794</c:v>
                </c:pt>
                <c:pt idx="10">
                  <c:v>9.8991608042198129E-2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50.189168000000002</c:v>
                </c:pt>
                <c:pt idx="1">
                  <c:v>5.2653150000000002</c:v>
                </c:pt>
                <c:pt idx="2">
                  <c:v>-0.60380599999999995</c:v>
                </c:pt>
                <c:pt idx="3">
                  <c:v>-0.613232</c:v>
                </c:pt>
                <c:pt idx="4">
                  <c:v>-0.58811800000000003</c:v>
                </c:pt>
                <c:pt idx="5">
                  <c:v>-0.62679200000000002</c:v>
                </c:pt>
                <c:pt idx="6">
                  <c:v>-0.72771799999999998</c:v>
                </c:pt>
                <c:pt idx="7">
                  <c:v>-0.70697299999999996</c:v>
                </c:pt>
                <c:pt idx="8">
                  <c:v>-0.51834000000000002</c:v>
                </c:pt>
                <c:pt idx="9">
                  <c:v>-0.60865999999999998</c:v>
                </c:pt>
                <c:pt idx="10">
                  <c:v>-0.83296899999999996</c:v>
                </c:pt>
                <c:pt idx="11">
                  <c:v>3.1799559999999998</c:v>
                </c:pt>
                <c:pt idx="12">
                  <c:v>54.925434000000003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121.496702</c:v>
                </c:pt>
                <c:pt idx="1">
                  <c:v>132.469054</c:v>
                </c:pt>
                <c:pt idx="2">
                  <c:v>93.246324000000001</c:v>
                </c:pt>
                <c:pt idx="3">
                  <c:v>60.668753000000002</c:v>
                </c:pt>
                <c:pt idx="4">
                  <c:v>32.393524999999997</c:v>
                </c:pt>
                <c:pt idx="5">
                  <c:v>28.980339000000001</c:v>
                </c:pt>
                <c:pt idx="6">
                  <c:v>54.403029000000004</c:v>
                </c:pt>
                <c:pt idx="7">
                  <c:v>47.337153999999998</c:v>
                </c:pt>
                <c:pt idx="8">
                  <c:v>40.752212</c:v>
                </c:pt>
                <c:pt idx="9">
                  <c:v>36.577028999999996</c:v>
                </c:pt>
                <c:pt idx="10">
                  <c:v>47.925082000000003</c:v>
                </c:pt>
                <c:pt idx="11">
                  <c:v>77.204378999999989</c:v>
                </c:pt>
                <c:pt idx="12">
                  <c:v>124.68270699999999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396.959791</c:v>
                </c:pt>
                <c:pt idx="1">
                  <c:v>456.377207</c:v>
                </c:pt>
                <c:pt idx="2">
                  <c:v>377.07382699999999</c:v>
                </c:pt>
                <c:pt idx="3">
                  <c:v>297.32130999999998</c:v>
                </c:pt>
                <c:pt idx="4">
                  <c:v>234.47985499999999</c:v>
                </c:pt>
                <c:pt idx="5">
                  <c:v>251.18496099999999</c:v>
                </c:pt>
                <c:pt idx="6">
                  <c:v>236.33414099999999</c:v>
                </c:pt>
                <c:pt idx="7">
                  <c:v>250.50749099999999</c:v>
                </c:pt>
                <c:pt idx="8">
                  <c:v>233.28242</c:v>
                </c:pt>
                <c:pt idx="9">
                  <c:v>207.738203</c:v>
                </c:pt>
                <c:pt idx="10">
                  <c:v>231.47546199999999</c:v>
                </c:pt>
                <c:pt idx="11">
                  <c:v>269.55010299999998</c:v>
                </c:pt>
                <c:pt idx="12">
                  <c:v>316.35504600000002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3.0289E-2</c:v>
                </c:pt>
                <c:pt idx="1">
                  <c:v>3.2219999999999999E-2</c:v>
                </c:pt>
                <c:pt idx="2">
                  <c:v>1.2760000000000001E-2</c:v>
                </c:pt>
                <c:pt idx="3">
                  <c:v>2.8530000000000001E-3</c:v>
                </c:pt>
                <c:pt idx="4">
                  <c:v>2.5883E-2</c:v>
                </c:pt>
                <c:pt idx="5">
                  <c:v>0.100989</c:v>
                </c:pt>
                <c:pt idx="6">
                  <c:v>0.21573000000000001</c:v>
                </c:pt>
                <c:pt idx="7">
                  <c:v>0.18323999999999999</c:v>
                </c:pt>
                <c:pt idx="8">
                  <c:v>0.20035</c:v>
                </c:pt>
                <c:pt idx="9">
                  <c:v>0.12734500000000001</c:v>
                </c:pt>
                <c:pt idx="10">
                  <c:v>0.24965100000000001</c:v>
                </c:pt>
                <c:pt idx="11">
                  <c:v>5.6180000000000001E-2</c:v>
                </c:pt>
                <c:pt idx="12">
                  <c:v>0.118565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33.069572000000001</c:v>
                </c:pt>
                <c:pt idx="1">
                  <c:v>29.670628000000001</c:v>
                </c:pt>
                <c:pt idx="2">
                  <c:v>25.077711000000001</c:v>
                </c:pt>
                <c:pt idx="3">
                  <c:v>23.563777000000002</c:v>
                </c:pt>
                <c:pt idx="4">
                  <c:v>17.217534000000001</c:v>
                </c:pt>
                <c:pt idx="5">
                  <c:v>15.034399000000001</c:v>
                </c:pt>
                <c:pt idx="6">
                  <c:v>18.176791999999999</c:v>
                </c:pt>
                <c:pt idx="7">
                  <c:v>21.958507000000001</c:v>
                </c:pt>
                <c:pt idx="8">
                  <c:v>34.017825999999999</c:v>
                </c:pt>
                <c:pt idx="9">
                  <c:v>36.519472</c:v>
                </c:pt>
                <c:pt idx="10">
                  <c:v>33.460431999999997</c:v>
                </c:pt>
                <c:pt idx="11">
                  <c:v>35.587198000000001</c:v>
                </c:pt>
                <c:pt idx="12">
                  <c:v>40.355165999999997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9.5128000000000004E-2</c:v>
                </c:pt>
                <c:pt idx="1">
                  <c:v>5.6752999999999998E-2</c:v>
                </c:pt>
                <c:pt idx="2">
                  <c:v>7.1924000000000002E-2</c:v>
                </c:pt>
                <c:pt idx="3">
                  <c:v>9.6991999999999995E-2</c:v>
                </c:pt>
                <c:pt idx="4">
                  <c:v>8.4503999999999996E-2</c:v>
                </c:pt>
                <c:pt idx="5">
                  <c:v>7.7099000000000001E-2</c:v>
                </c:pt>
                <c:pt idx="6">
                  <c:v>9.3608999999999998E-2</c:v>
                </c:pt>
                <c:pt idx="7">
                  <c:v>0.13599800000000001</c:v>
                </c:pt>
                <c:pt idx="8">
                  <c:v>0.11230800000000001</c:v>
                </c:pt>
                <c:pt idx="9">
                  <c:v>7.399E-2</c:v>
                </c:pt>
                <c:pt idx="10">
                  <c:v>9.0162999999999993E-2</c:v>
                </c:pt>
                <c:pt idx="11">
                  <c:v>8.4139000000000005E-2</c:v>
                </c:pt>
                <c:pt idx="12">
                  <c:v>3.7238E-2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1.1719729999999999</c:v>
                </c:pt>
                <c:pt idx="1">
                  <c:v>5.1333999999999998E-2</c:v>
                </c:pt>
                <c:pt idx="2">
                  <c:v>2.0373130000000002</c:v>
                </c:pt>
                <c:pt idx="3">
                  <c:v>1.826864</c:v>
                </c:pt>
                <c:pt idx="4">
                  <c:v>2.5541079999999998</c:v>
                </c:pt>
                <c:pt idx="5">
                  <c:v>2.9410020000000001</c:v>
                </c:pt>
                <c:pt idx="6">
                  <c:v>3.055609</c:v>
                </c:pt>
                <c:pt idx="7">
                  <c:v>3.0516040000000002</c:v>
                </c:pt>
                <c:pt idx="8">
                  <c:v>3.5856219999999999</c:v>
                </c:pt>
                <c:pt idx="9">
                  <c:v>3.6202459999999999</c:v>
                </c:pt>
                <c:pt idx="10">
                  <c:v>3.5176020000000001</c:v>
                </c:pt>
                <c:pt idx="11">
                  <c:v>3.7894670000000001</c:v>
                </c:pt>
                <c:pt idx="12">
                  <c:v>3.2446030000000001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16.1606655</c:v>
                </c:pt>
                <c:pt idx="1">
                  <c:v>13.6723105</c:v>
                </c:pt>
                <c:pt idx="2">
                  <c:v>13.5816645</c:v>
                </c:pt>
                <c:pt idx="3">
                  <c:v>11.230755</c:v>
                </c:pt>
                <c:pt idx="4">
                  <c:v>10.188828000000001</c:v>
                </c:pt>
                <c:pt idx="5">
                  <c:v>10.4136255</c:v>
                </c:pt>
                <c:pt idx="6">
                  <c:v>7.3618245</c:v>
                </c:pt>
                <c:pt idx="7">
                  <c:v>9.8298860000000001</c:v>
                </c:pt>
                <c:pt idx="8">
                  <c:v>9.6378819999999994</c:v>
                </c:pt>
                <c:pt idx="9">
                  <c:v>10.65733</c:v>
                </c:pt>
                <c:pt idx="10">
                  <c:v>12.228600500000001</c:v>
                </c:pt>
                <c:pt idx="11">
                  <c:v>15.5976535</c:v>
                </c:pt>
                <c:pt idx="12">
                  <c:v>12.5411815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16.1606655</c:v>
                </c:pt>
                <c:pt idx="1">
                  <c:v>13.6723105</c:v>
                </c:pt>
                <c:pt idx="2">
                  <c:v>13.5816645</c:v>
                </c:pt>
                <c:pt idx="3">
                  <c:v>11.230755</c:v>
                </c:pt>
                <c:pt idx="4">
                  <c:v>10.188828000000001</c:v>
                </c:pt>
                <c:pt idx="5">
                  <c:v>10.4136255</c:v>
                </c:pt>
                <c:pt idx="6">
                  <c:v>7.3618245</c:v>
                </c:pt>
                <c:pt idx="7">
                  <c:v>9.8298860000000001</c:v>
                </c:pt>
                <c:pt idx="8">
                  <c:v>9.6378819999999994</c:v>
                </c:pt>
                <c:pt idx="9">
                  <c:v>10.65733</c:v>
                </c:pt>
                <c:pt idx="10">
                  <c:v>12.228600500000001</c:v>
                </c:pt>
                <c:pt idx="11">
                  <c:v>15.5976535</c:v>
                </c:pt>
                <c:pt idx="12">
                  <c:v>12.5411815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67.033137999999994</c:v>
                </c:pt>
                <c:pt idx="1">
                  <c:v>77.653036</c:v>
                </c:pt>
                <c:pt idx="2">
                  <c:v>70.647335999999996</c:v>
                </c:pt>
                <c:pt idx="3">
                  <c:v>61.365385000000003</c:v>
                </c:pt>
                <c:pt idx="4">
                  <c:v>55.991686000000001</c:v>
                </c:pt>
                <c:pt idx="5">
                  <c:v>79.778822000000005</c:v>
                </c:pt>
                <c:pt idx="6">
                  <c:v>123.950131</c:v>
                </c:pt>
                <c:pt idx="7">
                  <c:v>89.734262000000001</c:v>
                </c:pt>
                <c:pt idx="8">
                  <c:v>82.194308000000007</c:v>
                </c:pt>
                <c:pt idx="9">
                  <c:v>98.033413999999993</c:v>
                </c:pt>
                <c:pt idx="10">
                  <c:v>118.762416</c:v>
                </c:pt>
                <c:pt idx="11">
                  <c:v>124.350134</c:v>
                </c:pt>
                <c:pt idx="12">
                  <c:v>168.54782399999999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14.858552402485156</c:v>
                </c:pt>
                <c:pt idx="1">
                  <c:v>15.867425075043363</c:v>
                </c:pt>
                <c:pt idx="2">
                  <c:v>14.70620074549962</c:v>
                </c:pt>
                <c:pt idx="3">
                  <c:v>26.369024791056216</c:v>
                </c:pt>
                <c:pt idx="4">
                  <c:v>1.1639666593694795</c:v>
                </c:pt>
                <c:pt idx="5">
                  <c:v>4.6314903723602321E-2</c:v>
                </c:pt>
                <c:pt idx="6">
                  <c:v>0.3449241514152489</c:v>
                </c:pt>
                <c:pt idx="7">
                  <c:v>19.811504771084863</c:v>
                </c:pt>
                <c:pt idx="8">
                  <c:v>6.6889978240816408</c:v>
                </c:pt>
                <c:pt idx="9">
                  <c:v>0.14308867624081348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6910569105691056"/>
                  <c:y val="6.72132159950593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886178861788618"/>
                  <c:y val="-1.2300061756986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22439011586966268"/>
                  <c:y val="-8.7450787401574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19.369470076079207</c:v>
                </c:pt>
                <c:pt idx="1">
                  <c:v>2.0214050174187994</c:v>
                </c:pt>
                <c:pt idx="2">
                  <c:v>13.283384042145324</c:v>
                </c:pt>
                <c:pt idx="3">
                  <c:v>32.926745303424397</c:v>
                </c:pt>
                <c:pt idx="4">
                  <c:v>0</c:v>
                </c:pt>
                <c:pt idx="5">
                  <c:v>3.9691460282102624E-2</c:v>
                </c:pt>
                <c:pt idx="6">
                  <c:v>0.36263121736334714</c:v>
                </c:pt>
                <c:pt idx="7">
                  <c:v>27.402954869198293</c:v>
                </c:pt>
                <c:pt idx="8">
                  <c:v>4.5088026830549177</c:v>
                </c:pt>
                <c:pt idx="9">
                  <c:v>8.4915331033606697E-2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0.29436099999999998</c:v>
                </c:pt>
                <c:pt idx="1">
                  <c:v>0.29274699999999998</c:v>
                </c:pt>
                <c:pt idx="2">
                  <c:v>0.28892499999999999</c:v>
                </c:pt>
                <c:pt idx="3">
                  <c:v>0.29400900000000002</c:v>
                </c:pt>
                <c:pt idx="4">
                  <c:v>0.27748800000000001</c:v>
                </c:pt>
                <c:pt idx="5">
                  <c:v>0.28856799999999999</c:v>
                </c:pt>
                <c:pt idx="6">
                  <c:v>0.27497500000000002</c:v>
                </c:pt>
                <c:pt idx="7">
                  <c:v>0.25442500000000001</c:v>
                </c:pt>
                <c:pt idx="8">
                  <c:v>0.29023300000000002</c:v>
                </c:pt>
                <c:pt idx="9">
                  <c:v>0.27610800000000002</c:v>
                </c:pt>
                <c:pt idx="10">
                  <c:v>0.29790899999999998</c:v>
                </c:pt>
                <c:pt idx="11">
                  <c:v>0.28383700000000001</c:v>
                </c:pt>
                <c:pt idx="12">
                  <c:v>0.30198999999999998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238.315326</c:v>
                </c:pt>
                <c:pt idx="1">
                  <c:v>264.80231099999997</c:v>
                </c:pt>
                <c:pt idx="2">
                  <c:v>286.046403</c:v>
                </c:pt>
                <c:pt idx="3">
                  <c:v>308.95133199999998</c:v>
                </c:pt>
                <c:pt idx="4">
                  <c:v>271.88252899999998</c:v>
                </c:pt>
                <c:pt idx="5">
                  <c:v>312.87680900000004</c:v>
                </c:pt>
                <c:pt idx="6">
                  <c:v>282.44358199999999</c:v>
                </c:pt>
                <c:pt idx="7">
                  <c:v>296.20417700000002</c:v>
                </c:pt>
                <c:pt idx="8">
                  <c:v>261.84115199999997</c:v>
                </c:pt>
                <c:pt idx="9">
                  <c:v>260.1001</c:v>
                </c:pt>
                <c:pt idx="10">
                  <c:v>261.00792300000001</c:v>
                </c:pt>
                <c:pt idx="11">
                  <c:v>265.32891099999995</c:v>
                </c:pt>
                <c:pt idx="12">
                  <c:v>263.81693800000005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295.51749599999999</c:v>
                </c:pt>
                <c:pt idx="1">
                  <c:v>269.79137200000002</c:v>
                </c:pt>
                <c:pt idx="2">
                  <c:v>285.29845599999999</c:v>
                </c:pt>
                <c:pt idx="3">
                  <c:v>305.38632699999999</c:v>
                </c:pt>
                <c:pt idx="4">
                  <c:v>309.74341800000002</c:v>
                </c:pt>
                <c:pt idx="5">
                  <c:v>347.66188299999999</c:v>
                </c:pt>
                <c:pt idx="6">
                  <c:v>279.418815</c:v>
                </c:pt>
                <c:pt idx="7">
                  <c:v>289.33312999999998</c:v>
                </c:pt>
                <c:pt idx="8">
                  <c:v>284.83144399999998</c:v>
                </c:pt>
                <c:pt idx="9">
                  <c:v>279.54366599999997</c:v>
                </c:pt>
                <c:pt idx="10">
                  <c:v>275.34098399999999</c:v>
                </c:pt>
                <c:pt idx="11">
                  <c:v>351.45923099999999</c:v>
                </c:pt>
                <c:pt idx="12">
                  <c:v>250.52108799999999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3.5629430000000002</c:v>
                </c:pt>
                <c:pt idx="1">
                  <c:v>3.5176750000000001</c:v>
                </c:pt>
                <c:pt idx="2">
                  <c:v>2.0750950000000001</c:v>
                </c:pt>
                <c:pt idx="3">
                  <c:v>1.3500719999999999</c:v>
                </c:pt>
                <c:pt idx="4">
                  <c:v>1.1694089999999999</c:v>
                </c:pt>
                <c:pt idx="5">
                  <c:v>0.36710399999999999</c:v>
                </c:pt>
                <c:pt idx="6">
                  <c:v>1.6495040000000001</c:v>
                </c:pt>
                <c:pt idx="7">
                  <c:v>0.82934099999999999</c:v>
                </c:pt>
                <c:pt idx="8">
                  <c:v>1.5724450000000001</c:v>
                </c:pt>
                <c:pt idx="9">
                  <c:v>1.573337</c:v>
                </c:pt>
                <c:pt idx="10">
                  <c:v>2.0671949999999999</c:v>
                </c:pt>
                <c:pt idx="11">
                  <c:v>0.80873799999999996</c:v>
                </c:pt>
                <c:pt idx="12">
                  <c:v>2.7590569999999999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181.49906899999999</c:v>
                </c:pt>
                <c:pt idx="1">
                  <c:v>185.782734</c:v>
                </c:pt>
                <c:pt idx="2">
                  <c:v>123.26133799999999</c:v>
                </c:pt>
                <c:pt idx="3">
                  <c:v>85.078937999999994</c:v>
                </c:pt>
                <c:pt idx="4">
                  <c:v>102.221262</c:v>
                </c:pt>
                <c:pt idx="5">
                  <c:v>37.913117999999997</c:v>
                </c:pt>
                <c:pt idx="6">
                  <c:v>132.72816599999999</c:v>
                </c:pt>
                <c:pt idx="7">
                  <c:v>42.685206000000001</c:v>
                </c:pt>
                <c:pt idx="8">
                  <c:v>131.43829199999999</c:v>
                </c:pt>
                <c:pt idx="9">
                  <c:v>103.68509299999999</c:v>
                </c:pt>
                <c:pt idx="10">
                  <c:v>130.95020099999999</c:v>
                </c:pt>
                <c:pt idx="11">
                  <c:v>63.396431</c:v>
                </c:pt>
                <c:pt idx="12">
                  <c:v>208.493673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34.434815</c:v>
                </c:pt>
                <c:pt idx="1">
                  <c:v>32.263370000000002</c:v>
                </c:pt>
                <c:pt idx="2">
                  <c:v>26.538736</c:v>
                </c:pt>
                <c:pt idx="3">
                  <c:v>26.753266</c:v>
                </c:pt>
                <c:pt idx="4">
                  <c:v>23.169461999999999</c:v>
                </c:pt>
                <c:pt idx="5">
                  <c:v>19.006923</c:v>
                </c:pt>
                <c:pt idx="6">
                  <c:v>22.065138000000001</c:v>
                </c:pt>
                <c:pt idx="7">
                  <c:v>20.222797</c:v>
                </c:pt>
                <c:pt idx="8">
                  <c:v>32.125762000000002</c:v>
                </c:pt>
                <c:pt idx="9">
                  <c:v>29.890439000000001</c:v>
                </c:pt>
                <c:pt idx="10">
                  <c:v>30.462913</c:v>
                </c:pt>
                <c:pt idx="11">
                  <c:v>30.366741999999999</c:v>
                </c:pt>
                <c:pt idx="12">
                  <c:v>34.304943999999999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jul.-22</c:v>
                </c:pt>
                <c:pt idx="1">
                  <c:v>ago.-22</c:v>
                </c:pt>
                <c:pt idx="2">
                  <c:v>sep.-22</c:v>
                </c:pt>
                <c:pt idx="3">
                  <c:v>oct.-22</c:v>
                </c:pt>
                <c:pt idx="4">
                  <c:v>nov.-22</c:v>
                </c:pt>
                <c:pt idx="5">
                  <c:v>dic.-22</c:v>
                </c:pt>
                <c:pt idx="6">
                  <c:v>ene.-23</c:v>
                </c:pt>
                <c:pt idx="7">
                  <c:v>feb.-23</c:v>
                </c:pt>
                <c:pt idx="8">
                  <c:v>mar.-23</c:v>
                </c:pt>
                <c:pt idx="9">
                  <c:v>abr.-23</c:v>
                </c:pt>
                <c:pt idx="10">
                  <c:v>may.-23</c:v>
                </c:pt>
                <c:pt idx="11">
                  <c:v>jun.-23</c:v>
                </c:pt>
                <c:pt idx="12">
                  <c:v>jul.-23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0.688222</c:v>
                </c:pt>
                <c:pt idx="1">
                  <c:v>0.71531400000000001</c:v>
                </c:pt>
                <c:pt idx="2">
                  <c:v>0.714812</c:v>
                </c:pt>
                <c:pt idx="3">
                  <c:v>0.73132799999999998</c:v>
                </c:pt>
                <c:pt idx="4">
                  <c:v>0.76498500000000003</c:v>
                </c:pt>
                <c:pt idx="5">
                  <c:v>0.78453200000000001</c:v>
                </c:pt>
                <c:pt idx="6">
                  <c:v>0.78413299999999997</c:v>
                </c:pt>
                <c:pt idx="7">
                  <c:v>0.71108700000000002</c:v>
                </c:pt>
                <c:pt idx="8">
                  <c:v>0.73842799999999997</c:v>
                </c:pt>
                <c:pt idx="9">
                  <c:v>0.63095199999999996</c:v>
                </c:pt>
                <c:pt idx="10">
                  <c:v>0.65055600000000002</c:v>
                </c:pt>
                <c:pt idx="11">
                  <c:v>0.66513100000000003</c:v>
                </c:pt>
                <c:pt idx="12">
                  <c:v>0.64607300000000001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Julio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90" zoomScaleNormal="90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S14" sqref="S14"/>
    </sheetView>
  </sheetViews>
  <sheetFormatPr baseColWidth="10" defaultColWidth="11.42578125" defaultRowHeight="12"/>
  <cols>
    <col min="1" max="1" width="20.42578125" style="102" customWidth="1"/>
    <col min="2" max="2" width="26" style="102" customWidth="1"/>
    <col min="3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124</v>
      </c>
      <c r="B2" s="133" t="s">
        <v>125</v>
      </c>
    </row>
    <row r="4" spans="1:33" ht="15">
      <c r="A4" s="134" t="s">
        <v>67</v>
      </c>
      <c r="B4" s="199" t="s">
        <v>124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301.99</v>
      </c>
      <c r="AA8" s="171">
        <v>294.36099999999999</v>
      </c>
      <c r="AB8" s="172">
        <v>2.5917156100000002E-2</v>
      </c>
      <c r="AC8" s="171">
        <v>1979.4770000000001</v>
      </c>
      <c r="AD8" s="171">
        <v>1989.758</v>
      </c>
      <c r="AE8" s="172">
        <v>-5.16696E-3</v>
      </c>
      <c r="AF8" s="171">
        <v>3421.2139999999999</v>
      </c>
      <c r="AG8" s="172">
        <v>6.3459143800000006E-2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54925.434000000001</v>
      </c>
      <c r="S9" s="171">
        <v>50189.167999999998</v>
      </c>
      <c r="T9" s="172">
        <v>9.4368290800000004E-2</v>
      </c>
      <c r="U9" s="171">
        <v>54710.73</v>
      </c>
      <c r="V9" s="171">
        <v>75818.838000000003</v>
      </c>
      <c r="W9" s="172">
        <v>-0.27840189269999999</v>
      </c>
      <c r="X9" s="171">
        <v>57544.097000000002</v>
      </c>
      <c r="Y9" s="172">
        <v>-0.2091301689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17019.673999999999</v>
      </c>
      <c r="C10" s="171">
        <v>17847.767</v>
      </c>
      <c r="D10" s="172">
        <v>-4.6397569E-2</v>
      </c>
      <c r="E10" s="171">
        <v>107664.334</v>
      </c>
      <c r="F10" s="171">
        <v>115613.45299999999</v>
      </c>
      <c r="G10" s="172">
        <v>-6.8756003699999999E-2</v>
      </c>
      <c r="H10" s="171">
        <v>186971.64600000001</v>
      </c>
      <c r="I10" s="172">
        <v>-6.2955748800000003E-2</v>
      </c>
      <c r="J10" s="171">
        <v>21083.268</v>
      </c>
      <c r="K10" s="171">
        <v>18039.914000000001</v>
      </c>
      <c r="L10" s="172">
        <v>0.16870113680000001</v>
      </c>
      <c r="M10" s="171">
        <v>108394.637</v>
      </c>
      <c r="N10" s="171">
        <v>106141.84600000001</v>
      </c>
      <c r="O10" s="172">
        <v>2.1224343499999999E-2</v>
      </c>
      <c r="P10" s="171">
        <v>186825.658</v>
      </c>
      <c r="Q10" s="172">
        <v>-1.0116544099999999E-2</v>
      </c>
      <c r="R10" s="171">
        <v>57618.449000000001</v>
      </c>
      <c r="S10" s="171">
        <v>59042.843999999997</v>
      </c>
      <c r="T10" s="172">
        <v>-2.4124769500000001E-2</v>
      </c>
      <c r="U10" s="171">
        <v>124461.004</v>
      </c>
      <c r="V10" s="171">
        <v>279588.22499999998</v>
      </c>
      <c r="W10" s="172">
        <v>-0.55484175339999997</v>
      </c>
      <c r="X10" s="171">
        <v>246288.584</v>
      </c>
      <c r="Y10" s="172">
        <v>-0.48961121369999999</v>
      </c>
      <c r="Z10" s="171">
        <v>147371.405</v>
      </c>
      <c r="AA10" s="171">
        <v>145163.06400000001</v>
      </c>
      <c r="AB10" s="172">
        <v>1.5212829900000001E-2</v>
      </c>
      <c r="AC10" s="171">
        <v>1051528.642</v>
      </c>
      <c r="AD10" s="171">
        <v>987693.77</v>
      </c>
      <c r="AE10" s="172">
        <v>6.4630226400000004E-2</v>
      </c>
      <c r="AF10" s="171">
        <v>1819074.9</v>
      </c>
      <c r="AG10" s="172">
        <v>2.2206929600000001E-2</v>
      </c>
    </row>
    <row r="11" spans="1:33">
      <c r="A11" s="133" t="s">
        <v>9</v>
      </c>
      <c r="B11" s="171">
        <v>7.0380000000000003</v>
      </c>
      <c r="C11" s="171">
        <v>7.9749999999999996</v>
      </c>
      <c r="D11" s="172">
        <v>-0.117492163</v>
      </c>
      <c r="E11" s="171">
        <v>43.960999999999999</v>
      </c>
      <c r="F11" s="171">
        <v>119.661</v>
      </c>
      <c r="G11" s="172">
        <v>-0.6326204862</v>
      </c>
      <c r="H11" s="171">
        <v>402.83100000000002</v>
      </c>
      <c r="I11" s="172">
        <v>0.41642903100000001</v>
      </c>
      <c r="J11" s="171">
        <v>9.3460000000000001</v>
      </c>
      <c r="K11" s="171">
        <v>3.6869999999999998</v>
      </c>
      <c r="L11" s="172">
        <v>1.5348521833</v>
      </c>
      <c r="M11" s="171">
        <v>34.052999999999997</v>
      </c>
      <c r="N11" s="171">
        <v>91.790999999999997</v>
      </c>
      <c r="O11" s="172">
        <v>-0.6290159166</v>
      </c>
      <c r="P11" s="171">
        <v>42.154000000000003</v>
      </c>
      <c r="Q11" s="172">
        <v>-0.55796736709999994</v>
      </c>
      <c r="R11" s="171">
        <v>67064.258000000002</v>
      </c>
      <c r="S11" s="171">
        <v>59770.275000000001</v>
      </c>
      <c r="T11" s="172">
        <v>0.1220336196</v>
      </c>
      <c r="U11" s="171">
        <v>304420.58799999999</v>
      </c>
      <c r="V11" s="171">
        <v>179411.48</v>
      </c>
      <c r="W11" s="172">
        <v>0.69677318310000003</v>
      </c>
      <c r="X11" s="171">
        <v>520917.08500000002</v>
      </c>
      <c r="Y11" s="172">
        <v>0.72431718339999995</v>
      </c>
      <c r="Z11" s="171">
        <v>15379.734</v>
      </c>
      <c r="AA11" s="171">
        <v>19947.948</v>
      </c>
      <c r="AB11" s="172">
        <v>-0.22900671289999999</v>
      </c>
      <c r="AC11" s="171">
        <v>139501.30900000001</v>
      </c>
      <c r="AD11" s="171">
        <v>132357.497</v>
      </c>
      <c r="AE11" s="172">
        <v>5.3973610599999999E-2</v>
      </c>
      <c r="AF11" s="171">
        <v>268134.68599999999</v>
      </c>
      <c r="AG11" s="172">
        <v>0.14475736989999999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101065.799</v>
      </c>
      <c r="AA12" s="171">
        <v>73212.087</v>
      </c>
      <c r="AB12" s="172">
        <v>0.38045236980000002</v>
      </c>
      <c r="AC12" s="171">
        <v>699778.82</v>
      </c>
      <c r="AD12" s="171">
        <v>658795.41599999997</v>
      </c>
      <c r="AE12" s="172">
        <v>6.2209607100000001E-2</v>
      </c>
      <c r="AF12" s="171">
        <v>1248216.4680000001</v>
      </c>
      <c r="AG12" s="172">
        <v>2.97462153E-2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316355.04599999997</v>
      </c>
      <c r="S13" s="171">
        <v>396959.79100000003</v>
      </c>
      <c r="T13" s="172">
        <v>-0.203055188</v>
      </c>
      <c r="U13" s="171">
        <v>1745242.8659999999</v>
      </c>
      <c r="V13" s="171">
        <v>2369243.19</v>
      </c>
      <c r="W13" s="172">
        <v>-0.2633753794</v>
      </c>
      <c r="X13" s="171">
        <v>3361680.0260000001</v>
      </c>
      <c r="Y13" s="172">
        <v>-0.18495438149999999</v>
      </c>
      <c r="Z13" s="171">
        <v>250521.08799999999</v>
      </c>
      <c r="AA13" s="171">
        <v>295517.49599999998</v>
      </c>
      <c r="AB13" s="172">
        <v>-0.1522630931</v>
      </c>
      <c r="AC13" s="171">
        <v>2010448.358</v>
      </c>
      <c r="AD13" s="171">
        <v>2072129.071</v>
      </c>
      <c r="AE13" s="172">
        <v>-2.9766829599999999E-2</v>
      </c>
      <c r="AF13" s="171">
        <v>3528329.8139999998</v>
      </c>
      <c r="AG13" s="172">
        <v>-8.6328045000000006E-3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2683.5830000000001</v>
      </c>
      <c r="T14" s="172">
        <v>-1</v>
      </c>
      <c r="U14" s="171">
        <v>0</v>
      </c>
      <c r="V14" s="171">
        <v>2683.5830000000001</v>
      </c>
      <c r="W14" s="172">
        <v>-1</v>
      </c>
      <c r="X14" s="171">
        <v>9433.9179999999997</v>
      </c>
      <c r="Y14" s="172">
        <v>-1.7267450600000001E-2</v>
      </c>
      <c r="Z14" s="171">
        <v>0</v>
      </c>
      <c r="AA14" s="171">
        <v>-7.7729999999999997</v>
      </c>
      <c r="AB14" s="172">
        <v>-1</v>
      </c>
      <c r="AC14" s="171">
        <v>-65.988</v>
      </c>
      <c r="AD14" s="171">
        <v>-7.7729999999999997</v>
      </c>
      <c r="AE14" s="172">
        <v>7.4893863373</v>
      </c>
      <c r="AF14" s="171">
        <v>-123.887</v>
      </c>
      <c r="AG14" s="172">
        <v>14.9381191303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2759.0569999999998</v>
      </c>
      <c r="AA15" s="171">
        <v>3562.9430000000002</v>
      </c>
      <c r="AB15" s="172">
        <v>-0.22562415399999999</v>
      </c>
      <c r="AC15" s="171">
        <v>11259.617</v>
      </c>
      <c r="AD15" s="171">
        <v>14401.489</v>
      </c>
      <c r="AE15" s="172">
        <v>-0.21816299689999999</v>
      </c>
      <c r="AF15" s="171">
        <v>19738.972000000002</v>
      </c>
      <c r="AG15" s="172">
        <v>-0.13103078539999999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118.565</v>
      </c>
      <c r="S16" s="171">
        <v>30.289000000000001</v>
      </c>
      <c r="T16" s="172">
        <v>2.9144573937999998</v>
      </c>
      <c r="U16" s="171">
        <v>1151.0609999999999</v>
      </c>
      <c r="V16" s="171">
        <v>1274.665</v>
      </c>
      <c r="W16" s="172">
        <v>-9.6969792099999993E-2</v>
      </c>
      <c r="X16" s="171">
        <v>1325.7660000000001</v>
      </c>
      <c r="Y16" s="172">
        <v>-0.39261832289999998</v>
      </c>
      <c r="Z16" s="171">
        <v>208493.67300000001</v>
      </c>
      <c r="AA16" s="171">
        <v>181499.06899999999</v>
      </c>
      <c r="AB16" s="172">
        <v>0.14873136349999999</v>
      </c>
      <c r="AC16" s="171">
        <v>813377.06200000003</v>
      </c>
      <c r="AD16" s="171">
        <v>838177.63100000005</v>
      </c>
      <c r="AE16" s="172">
        <v>-2.9588679199999999E-2</v>
      </c>
      <c r="AF16" s="171">
        <v>1347634.452</v>
      </c>
      <c r="AG16" s="172">
        <v>-3.80423784E-2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8.1359999999999992</v>
      </c>
      <c r="K17" s="171">
        <v>8.0340000000000007</v>
      </c>
      <c r="L17" s="172">
        <v>1.26960418E-2</v>
      </c>
      <c r="M17" s="171">
        <v>47.914999999999999</v>
      </c>
      <c r="N17" s="171">
        <v>45.77</v>
      </c>
      <c r="O17" s="172">
        <v>4.68647586E-2</v>
      </c>
      <c r="P17" s="171">
        <v>74.363</v>
      </c>
      <c r="Q17" s="172">
        <v>5.7960705100000003E-2</v>
      </c>
      <c r="R17" s="171">
        <v>40355.165999999997</v>
      </c>
      <c r="S17" s="171">
        <v>33069.572</v>
      </c>
      <c r="T17" s="172">
        <v>0.22031110649999999</v>
      </c>
      <c r="U17" s="171">
        <v>220075.39300000001</v>
      </c>
      <c r="V17" s="171">
        <v>158155.47700000001</v>
      </c>
      <c r="W17" s="172">
        <v>0.39151294139999998</v>
      </c>
      <c r="X17" s="171">
        <v>330639.44199999998</v>
      </c>
      <c r="Y17" s="172">
        <v>0.41281183900000001</v>
      </c>
      <c r="Z17" s="171">
        <v>34304.944000000003</v>
      </c>
      <c r="AA17" s="171">
        <v>34434.815000000002</v>
      </c>
      <c r="AB17" s="172">
        <v>-3.7715028000000002E-3</v>
      </c>
      <c r="AC17" s="171">
        <v>199438.73499999999</v>
      </c>
      <c r="AD17" s="171">
        <v>186549.003</v>
      </c>
      <c r="AE17" s="172">
        <v>6.9095689599999996E-2</v>
      </c>
      <c r="AF17" s="171">
        <v>327170.49200000003</v>
      </c>
      <c r="AG17" s="172">
        <v>0.1381565716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37.238</v>
      </c>
      <c r="S18" s="171">
        <v>95.128</v>
      </c>
      <c r="T18" s="172">
        <v>-0.608548482</v>
      </c>
      <c r="U18" s="171">
        <v>627.44500000000005</v>
      </c>
      <c r="V18" s="171">
        <v>1395.326</v>
      </c>
      <c r="W18" s="172">
        <v>-0.55032372360000004</v>
      </c>
      <c r="X18" s="171">
        <v>1014.717</v>
      </c>
      <c r="Y18" s="172">
        <v>-0.55391525460000002</v>
      </c>
      <c r="Z18" s="171">
        <v>646.07299999999998</v>
      </c>
      <c r="AA18" s="171">
        <v>688.22199999999998</v>
      </c>
      <c r="AB18" s="172">
        <v>-6.12433197E-2</v>
      </c>
      <c r="AC18" s="171">
        <v>4826.3599999999997</v>
      </c>
      <c r="AD18" s="171">
        <v>5210.3890000000001</v>
      </c>
      <c r="AE18" s="172">
        <v>-7.3704477700000007E-2</v>
      </c>
      <c r="AF18" s="171">
        <v>8537.3310000000001</v>
      </c>
      <c r="AG18" s="172">
        <v>2.4810356000000001E-3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3244.6030000000001</v>
      </c>
      <c r="S19" s="171">
        <v>1171.973</v>
      </c>
      <c r="T19" s="172">
        <v>1.7684963732000001</v>
      </c>
      <c r="U19" s="171">
        <v>23864.753000000001</v>
      </c>
      <c r="V19" s="171">
        <v>16955.733</v>
      </c>
      <c r="W19" s="172">
        <v>0.40747397940000002</v>
      </c>
      <c r="X19" s="171">
        <v>33275.374000000003</v>
      </c>
      <c r="Y19" s="172">
        <v>-2.8454786900000001E-2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423.59399999999999</v>
      </c>
      <c r="K20" s="171">
        <v>539.71299999999997</v>
      </c>
      <c r="L20" s="172">
        <v>-0.21514953319999999</v>
      </c>
      <c r="M20" s="171">
        <v>3221.5014999999999</v>
      </c>
      <c r="N20" s="171">
        <v>3520.8885</v>
      </c>
      <c r="O20" s="172">
        <v>-8.5031661800000005E-2</v>
      </c>
      <c r="P20" s="171">
        <v>5547.9404999999997</v>
      </c>
      <c r="Q20" s="172">
        <v>-7.4505137299999996E-2</v>
      </c>
      <c r="R20" s="171">
        <v>12541.181500000001</v>
      </c>
      <c r="S20" s="171">
        <v>16160.665499999999</v>
      </c>
      <c r="T20" s="172">
        <v>-0.22396874680000001</v>
      </c>
      <c r="U20" s="171">
        <v>77854.357999999993</v>
      </c>
      <c r="V20" s="171">
        <v>73974.098499999993</v>
      </c>
      <c r="W20" s="172">
        <v>5.24542993E-2</v>
      </c>
      <c r="X20" s="171">
        <v>136941.54149999999</v>
      </c>
      <c r="Y20" s="172">
        <v>6.6392873699999994E-2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423.59399999999999</v>
      </c>
      <c r="K21" s="171">
        <v>539.71299999999997</v>
      </c>
      <c r="L21" s="172">
        <v>-0.21514953319999999</v>
      </c>
      <c r="M21" s="171">
        <v>3221.5014999999999</v>
      </c>
      <c r="N21" s="171">
        <v>3520.8885</v>
      </c>
      <c r="O21" s="172">
        <v>-8.5031661800000005E-2</v>
      </c>
      <c r="P21" s="171">
        <v>5547.9404999999997</v>
      </c>
      <c r="Q21" s="172">
        <v>-7.4505137299999996E-2</v>
      </c>
      <c r="R21" s="171">
        <v>12541.181500000001</v>
      </c>
      <c r="S21" s="171">
        <v>16160.665499999999</v>
      </c>
      <c r="T21" s="172">
        <v>-0.22396874680000001</v>
      </c>
      <c r="U21" s="171">
        <v>77854.357999999993</v>
      </c>
      <c r="V21" s="171">
        <v>73974.098499999993</v>
      </c>
      <c r="W21" s="172">
        <v>5.24542993E-2</v>
      </c>
      <c r="X21" s="171">
        <v>136941.54149999999</v>
      </c>
      <c r="Y21" s="172">
        <v>6.6392873699999994E-2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17026.712</v>
      </c>
      <c r="C22" s="173">
        <v>17855.741999999998</v>
      </c>
      <c r="D22" s="174">
        <v>-4.6429322299999999E-2</v>
      </c>
      <c r="E22" s="173">
        <v>107708.295</v>
      </c>
      <c r="F22" s="173">
        <v>115733.114</v>
      </c>
      <c r="G22" s="174">
        <v>-6.9339005300000006E-2</v>
      </c>
      <c r="H22" s="173">
        <v>187374.47700000001</v>
      </c>
      <c r="I22" s="174">
        <v>-6.2273444599999998E-2</v>
      </c>
      <c r="J22" s="173">
        <v>21947.937999999998</v>
      </c>
      <c r="K22" s="173">
        <v>19131.061000000002</v>
      </c>
      <c r="L22" s="174">
        <v>0.1472410234</v>
      </c>
      <c r="M22" s="173">
        <v>114919.60799999999</v>
      </c>
      <c r="N22" s="173">
        <v>113321.18399999999</v>
      </c>
      <c r="O22" s="174">
        <v>1.41052533E-2</v>
      </c>
      <c r="P22" s="173">
        <v>198038.05600000001</v>
      </c>
      <c r="Q22" s="174">
        <v>-1.4195514899999999E-2</v>
      </c>
      <c r="R22" s="173">
        <v>564801.12199999997</v>
      </c>
      <c r="S22" s="173">
        <v>635333.95400000003</v>
      </c>
      <c r="T22" s="174">
        <v>-0.1110169409</v>
      </c>
      <c r="U22" s="173">
        <v>2630262.5559999999</v>
      </c>
      <c r="V22" s="173">
        <v>3232474.7140000002</v>
      </c>
      <c r="W22" s="174">
        <v>-0.1863006555</v>
      </c>
      <c r="X22" s="173">
        <v>4836002.0920000002</v>
      </c>
      <c r="Y22" s="174">
        <v>-0.1240887388</v>
      </c>
      <c r="Z22" s="173">
        <v>760843.76300000004</v>
      </c>
      <c r="AA22" s="173">
        <v>754312.23199999996</v>
      </c>
      <c r="AB22" s="174">
        <v>8.6589223E-3</v>
      </c>
      <c r="AC22" s="173">
        <v>4932072.392</v>
      </c>
      <c r="AD22" s="173">
        <v>4897296.2510000002</v>
      </c>
      <c r="AE22" s="174">
        <v>7.1010899000000004E-3</v>
      </c>
      <c r="AF22" s="173">
        <v>8570134.4419999998</v>
      </c>
      <c r="AG22" s="174">
        <v>7.3237731999999996E-3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168547.82399999999</v>
      </c>
      <c r="S23" s="171">
        <v>67033.138000000006</v>
      </c>
      <c r="T23" s="172">
        <v>1.5143955516000001</v>
      </c>
      <c r="U23" s="171">
        <v>805572.48899999994</v>
      </c>
      <c r="V23" s="171">
        <v>257297.43900000001</v>
      </c>
      <c r="W23" s="172">
        <v>2.1308997560999998</v>
      </c>
      <c r="X23" s="171">
        <v>1151008.754</v>
      </c>
      <c r="Y23" s="172">
        <v>1.6524226263999999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17026.712</v>
      </c>
      <c r="C24" s="173">
        <v>17855.741999999998</v>
      </c>
      <c r="D24" s="174">
        <v>-4.6429322299999999E-2</v>
      </c>
      <c r="E24" s="173">
        <v>107708.295</v>
      </c>
      <c r="F24" s="173">
        <v>115733.114</v>
      </c>
      <c r="G24" s="174">
        <v>-6.9339005300000006E-2</v>
      </c>
      <c r="H24" s="173">
        <v>187374.47700000001</v>
      </c>
      <c r="I24" s="174">
        <v>-6.2273444599999998E-2</v>
      </c>
      <c r="J24" s="173">
        <v>21947.937999999998</v>
      </c>
      <c r="K24" s="173">
        <v>19131.061000000002</v>
      </c>
      <c r="L24" s="174">
        <v>0.1472410234</v>
      </c>
      <c r="M24" s="173">
        <v>114919.60799999999</v>
      </c>
      <c r="N24" s="173">
        <v>113321.18399999999</v>
      </c>
      <c r="O24" s="174">
        <v>1.41052533E-2</v>
      </c>
      <c r="P24" s="173">
        <v>198038.05600000001</v>
      </c>
      <c r="Q24" s="174">
        <v>-1.4195514899999999E-2</v>
      </c>
      <c r="R24" s="173">
        <v>733348.946</v>
      </c>
      <c r="S24" s="173">
        <v>702367.09199999995</v>
      </c>
      <c r="T24" s="174">
        <v>4.4110628700000001E-2</v>
      </c>
      <c r="U24" s="173">
        <v>3435835.0449999999</v>
      </c>
      <c r="V24" s="173">
        <v>3489772.1529999999</v>
      </c>
      <c r="W24" s="174">
        <v>-1.5455767800000001E-2</v>
      </c>
      <c r="X24" s="173">
        <v>5987010.8459999999</v>
      </c>
      <c r="Y24" s="174">
        <v>5.3660304999999997E-3</v>
      </c>
      <c r="Z24" s="173">
        <v>760843.76300000004</v>
      </c>
      <c r="AA24" s="173">
        <v>754312.23199999996</v>
      </c>
      <c r="AB24" s="174">
        <v>8.6589223E-3</v>
      </c>
      <c r="AC24" s="173">
        <v>4932072.392</v>
      </c>
      <c r="AD24" s="173">
        <v>4897296.2510000002</v>
      </c>
      <c r="AE24" s="174">
        <v>7.1010899000000004E-3</v>
      </c>
      <c r="AF24" s="173">
        <v>8570134.4419999998</v>
      </c>
      <c r="AG24" s="174">
        <v>7.3237731999999996E-3</v>
      </c>
    </row>
    <row r="26" spans="1:33">
      <c r="A26" s="102" t="s">
        <v>103</v>
      </c>
      <c r="B26" s="162">
        <f>SUM(B24,J24,R24,Z24)</f>
        <v>1533167.3590000002</v>
      </c>
      <c r="C26" s="162">
        <f>SUM(C24,K24,S24,AA24)</f>
        <v>1493666.1269999999</v>
      </c>
      <c r="D26" s="163">
        <f>((B26/C26)-1)*100</f>
        <v>2.6445824328451328</v>
      </c>
      <c r="R26" s="181">
        <f>R23/R24</f>
        <v>0.22983304867257556</v>
      </c>
      <c r="S26" s="181">
        <f>S23/S24</f>
        <v>9.5438893370021399E-2</v>
      </c>
      <c r="Z26" s="163"/>
    </row>
    <row r="29" spans="1:33" ht="15">
      <c r="A29" s="134" t="s">
        <v>67</v>
      </c>
      <c r="B29" s="199" t="str">
        <f>A2</f>
        <v>Julio 2023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8"/>
      <c r="C33" s="178">
        <v>1.52</v>
      </c>
    </row>
    <row r="34" spans="1:4">
      <c r="A34" s="133" t="s">
        <v>11</v>
      </c>
      <c r="B34" s="178">
        <v>241.2</v>
      </c>
      <c r="C34" s="178"/>
    </row>
    <row r="35" spans="1:4">
      <c r="A35" s="133" t="s">
        <v>78</v>
      </c>
      <c r="B35" s="178">
        <v>139.4</v>
      </c>
      <c r="C35" s="178">
        <v>487.64</v>
      </c>
    </row>
    <row r="36" spans="1:4">
      <c r="A36" s="133" t="s">
        <v>9</v>
      </c>
      <c r="B36" s="178">
        <v>603.1</v>
      </c>
      <c r="C36" s="178">
        <v>520.75</v>
      </c>
    </row>
    <row r="37" spans="1:4">
      <c r="A37" s="133" t="s">
        <v>8</v>
      </c>
      <c r="B37" s="178"/>
      <c r="C37" s="178">
        <v>482.64</v>
      </c>
    </row>
    <row r="38" spans="1:4">
      <c r="A38" s="133" t="s">
        <v>25</v>
      </c>
      <c r="B38" s="178">
        <v>822.9</v>
      </c>
      <c r="C38" s="178">
        <v>865.4</v>
      </c>
    </row>
    <row r="39" spans="1:4">
      <c r="A39" s="133" t="s">
        <v>24</v>
      </c>
      <c r="B39" s="178"/>
      <c r="C39" s="178"/>
    </row>
    <row r="40" spans="1:4">
      <c r="A40" s="133" t="s">
        <v>6</v>
      </c>
      <c r="B40" s="178"/>
      <c r="C40" s="178">
        <v>11.32</v>
      </c>
    </row>
    <row r="41" spans="1:4">
      <c r="A41" s="133" t="s">
        <v>5</v>
      </c>
      <c r="B41" s="178">
        <v>3.5674999999999999</v>
      </c>
      <c r="C41" s="178">
        <v>650.19000000000005</v>
      </c>
      <c r="D41" s="167"/>
    </row>
    <row r="42" spans="1:4">
      <c r="A42" s="133" t="s">
        <v>4</v>
      </c>
      <c r="B42" s="178">
        <v>253.077045</v>
      </c>
      <c r="C42" s="178">
        <v>219.524945</v>
      </c>
      <c r="D42" s="167"/>
    </row>
    <row r="43" spans="1:4">
      <c r="A43" s="133" t="s">
        <v>22</v>
      </c>
      <c r="B43" s="178">
        <v>2.13</v>
      </c>
      <c r="C43" s="178">
        <v>4.6959999999999997</v>
      </c>
    </row>
    <row r="44" spans="1:4">
      <c r="A44" s="133" t="s">
        <v>23</v>
      </c>
      <c r="B44" s="178">
        <v>11.523</v>
      </c>
      <c r="C44" s="178">
        <v>38.200000000000003</v>
      </c>
    </row>
    <row r="45" spans="1:4">
      <c r="A45" s="133" t="s">
        <v>54</v>
      </c>
      <c r="B45" s="178">
        <v>37.4</v>
      </c>
      <c r="C45" s="178"/>
    </row>
    <row r="46" spans="1:4">
      <c r="A46" s="133" t="s">
        <v>55</v>
      </c>
      <c r="B46" s="178">
        <v>37.4</v>
      </c>
      <c r="C46" s="178"/>
    </row>
    <row r="47" spans="1:4">
      <c r="A47" s="137" t="s">
        <v>2</v>
      </c>
      <c r="B47" s="179">
        <f>SUM(B33:B46)</f>
        <v>2151.6975450000004</v>
      </c>
      <c r="C47" s="179">
        <f>SUM(C33:C46)</f>
        <v>3281.8809449999999</v>
      </c>
    </row>
    <row r="48" spans="1:4" ht="15">
      <c r="A48"/>
      <c r="B48" s="170"/>
      <c r="C48" s="180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11.209753924778493</v>
      </c>
      <c r="D52" s="165"/>
      <c r="F52" s="105" t="s">
        <v>10</v>
      </c>
      <c r="G52" s="106">
        <f>C35</f>
        <v>487.64</v>
      </c>
      <c r="H52" s="107">
        <f>G52/$G$62*100</f>
        <v>14.858552402485156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6.4786057094283676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15.867425075043363</v>
      </c>
    </row>
    <row r="54" spans="1:8">
      <c r="A54" s="105" t="s">
        <v>9</v>
      </c>
      <c r="B54" s="106">
        <f t="shared" si="1"/>
        <v>603.1</v>
      </c>
      <c r="C54" s="107">
        <f t="shared" si="0"/>
        <v>28.029032305281547</v>
      </c>
      <c r="D54" s="165"/>
      <c r="F54" s="105" t="s">
        <v>8</v>
      </c>
      <c r="G54" s="106">
        <f>C37</f>
        <v>482.64</v>
      </c>
      <c r="H54" s="107">
        <f t="shared" si="2"/>
        <v>14.70620074549962</v>
      </c>
    </row>
    <row r="55" spans="1:8">
      <c r="A55" s="105" t="s">
        <v>25</v>
      </c>
      <c r="B55" s="106">
        <f>B38</f>
        <v>822.9</v>
      </c>
      <c r="C55" s="107">
        <f t="shared" si="0"/>
        <v>38.244222656302746</v>
      </c>
      <c r="D55" s="165"/>
      <c r="F55" s="105" t="s">
        <v>25</v>
      </c>
      <c r="G55" s="106">
        <f>C38</f>
        <v>865.4</v>
      </c>
      <c r="H55" s="107">
        <f t="shared" si="2"/>
        <v>26.369024791056216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1.1639666593694795</v>
      </c>
    </row>
    <row r="57" spans="1:8">
      <c r="A57" s="105" t="s">
        <v>23</v>
      </c>
      <c r="B57" s="106">
        <f>B44</f>
        <v>11.523</v>
      </c>
      <c r="C57" s="107">
        <f t="shared" si="0"/>
        <v>0.53553065702828595</v>
      </c>
      <c r="D57" s="165"/>
      <c r="F57" s="105" t="s">
        <v>12</v>
      </c>
      <c r="G57" s="107">
        <f>C33</f>
        <v>1.52</v>
      </c>
      <c r="H57" s="107">
        <f t="shared" si="2"/>
        <v>4.6314903723602321E-2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1.7381625074076104</v>
      </c>
      <c r="D58" s="165"/>
      <c r="F58" s="105" t="s">
        <v>6</v>
      </c>
      <c r="G58" s="106">
        <f>C40</f>
        <v>11.32</v>
      </c>
      <c r="H58" s="107">
        <f t="shared" si="2"/>
        <v>0.3449241514152489</v>
      </c>
    </row>
    <row r="59" spans="1:8">
      <c r="A59" s="105" t="s">
        <v>54</v>
      </c>
      <c r="B59" s="106">
        <f>B45</f>
        <v>37.4</v>
      </c>
      <c r="C59" s="107">
        <f t="shared" si="3"/>
        <v>1.7381625074076104</v>
      </c>
      <c r="D59" s="165"/>
      <c r="F59" s="105" t="s">
        <v>5</v>
      </c>
      <c r="G59" s="106">
        <f>C41</f>
        <v>650.19000000000005</v>
      </c>
      <c r="H59" s="107">
        <f t="shared" si="2"/>
        <v>19.811504771084863</v>
      </c>
    </row>
    <row r="60" spans="1:8">
      <c r="A60" s="105" t="s">
        <v>5</v>
      </c>
      <c r="B60" s="106">
        <f>B41</f>
        <v>3.5674999999999999</v>
      </c>
      <c r="C60" s="107">
        <f t="shared" si="3"/>
        <v>0.1657993247373436</v>
      </c>
      <c r="D60" s="165"/>
      <c r="F60" s="105" t="s">
        <v>4</v>
      </c>
      <c r="G60" s="106">
        <f>C42</f>
        <v>219.524945</v>
      </c>
      <c r="H60" s="107">
        <f t="shared" si="2"/>
        <v>6.6889978240816408</v>
      </c>
    </row>
    <row r="61" spans="1:8">
      <c r="A61" s="105" t="s">
        <v>4</v>
      </c>
      <c r="B61" s="106">
        <f>B42</f>
        <v>253.077045</v>
      </c>
      <c r="C61" s="107">
        <f t="shared" si="3"/>
        <v>11.761738799585794</v>
      </c>
      <c r="D61" s="165"/>
      <c r="F61" s="105" t="s">
        <v>22</v>
      </c>
      <c r="G61" s="106">
        <f>C43</f>
        <v>4.6959999999999997</v>
      </c>
      <c r="H61" s="107">
        <f t="shared" si="2"/>
        <v>0.14308867624081348</v>
      </c>
    </row>
    <row r="62" spans="1:8">
      <c r="A62" s="105" t="s">
        <v>22</v>
      </c>
      <c r="B62" s="106">
        <f>B43</f>
        <v>2.13</v>
      </c>
      <c r="C62" s="107">
        <f t="shared" si="3"/>
        <v>9.8991608042198129E-2</v>
      </c>
      <c r="D62" s="165"/>
      <c r="F62" s="108" t="s">
        <v>20</v>
      </c>
      <c r="G62" s="109">
        <f>SUM(G52:G61)</f>
        <v>3281.8809449999999</v>
      </c>
      <c r="H62" s="110">
        <f>SUM(H52:H61)</f>
        <v>99.999999999999972</v>
      </c>
    </row>
    <row r="63" spans="1:8">
      <c r="A63" s="108" t="s">
        <v>20</v>
      </c>
      <c r="B63" s="109">
        <f>SUM(B52:B62)</f>
        <v>2151.697545</v>
      </c>
      <c r="C63" s="110">
        <f>SUM(C52:C62)</f>
        <v>100.00000000000001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7.4896724539643662</v>
      </c>
      <c r="C68" s="106">
        <f>IF(R9&lt;0,0,R9)</f>
        <v>54925.434000000001</v>
      </c>
      <c r="D68" s="168">
        <f>(C68/SUM($C$68:$C$78))*100</f>
        <v>9.7247388258552387</v>
      </c>
      <c r="F68" s="105" t="s">
        <v>10</v>
      </c>
      <c r="G68" s="107">
        <f>SUM(Z10,Z14)/Z$24*100</f>
        <v>19.369470076079207</v>
      </c>
    </row>
    <row r="69" spans="1:7">
      <c r="A69" s="105" t="s">
        <v>10</v>
      </c>
      <c r="B69" s="107">
        <f t="shared" ref="B69:B78" si="4">C69/$C$80*100</f>
        <v>7.8568939540004479</v>
      </c>
      <c r="C69" s="106">
        <f>R10</f>
        <v>57618.449000000001</v>
      </c>
      <c r="D69" s="168">
        <f t="shared" ref="D69:D78" si="5">(C69/SUM($C$68:$C$78))*100</f>
        <v>10.201546483471754</v>
      </c>
      <c r="F69" s="105" t="s">
        <v>9</v>
      </c>
      <c r="G69" s="107">
        <f>Z11/Z$24*100</f>
        <v>2.0214050174187994</v>
      </c>
    </row>
    <row r="70" spans="1:7">
      <c r="A70" s="105" t="s">
        <v>9</v>
      </c>
      <c r="B70" s="107">
        <f t="shared" si="4"/>
        <v>9.144931395319686</v>
      </c>
      <c r="C70" s="106">
        <f>R11</f>
        <v>67064.258000000002</v>
      </c>
      <c r="D70" s="168">
        <f t="shared" si="5"/>
        <v>11.873959768798056</v>
      </c>
      <c r="F70" s="105" t="s">
        <v>8</v>
      </c>
      <c r="G70" s="107">
        <f>Z12/Z$24*100</f>
        <v>13.283384042145324</v>
      </c>
    </row>
    <row r="71" spans="1:7">
      <c r="A71" s="105" t="s">
        <v>25</v>
      </c>
      <c r="B71" s="107">
        <f t="shared" si="4"/>
        <v>43.138406037880912</v>
      </c>
      <c r="C71" s="106">
        <f>R13</f>
        <v>316355.04599999997</v>
      </c>
      <c r="D71" s="168">
        <f>(C71/SUM($C$68:$C$78))*100</f>
        <v>56.011759480888578</v>
      </c>
      <c r="F71" s="105" t="s">
        <v>25</v>
      </c>
      <c r="G71" s="107">
        <f>Z13/Z$24*100</f>
        <v>32.926745303424397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0.44243644416446748</v>
      </c>
      <c r="C73" s="106">
        <f>R19</f>
        <v>3244.6030000000001</v>
      </c>
      <c r="D73" s="168">
        <f t="shared" si="5"/>
        <v>0.57446822848202495</v>
      </c>
      <c r="F73" s="105" t="s">
        <v>12</v>
      </c>
      <c r="G73" s="107">
        <f>Z8/Z$24*100</f>
        <v>3.9691460282102624E-2</v>
      </c>
    </row>
    <row r="74" spans="1:7">
      <c r="A74" s="105" t="s">
        <v>55</v>
      </c>
      <c r="B74" s="107">
        <f t="shared" si="4"/>
        <v>1.710124705081393</v>
      </c>
      <c r="C74" s="106">
        <f>R21</f>
        <v>12541.181500000001</v>
      </c>
      <c r="D74" s="168">
        <f t="shared" si="5"/>
        <v>2.2204597355598037</v>
      </c>
      <c r="F74" s="105" t="s">
        <v>6</v>
      </c>
      <c r="G74" s="107">
        <f>Z15/Z$24*100</f>
        <v>0.36263121736334714</v>
      </c>
    </row>
    <row r="75" spans="1:7">
      <c r="A75" s="105" t="s">
        <v>54</v>
      </c>
      <c r="B75" s="107">
        <f t="shared" si="4"/>
        <v>1.710124705081393</v>
      </c>
      <c r="C75" s="106">
        <f>R20</f>
        <v>12541.181500000001</v>
      </c>
      <c r="D75" s="168">
        <f t="shared" si="5"/>
        <v>2.2204597355598037</v>
      </c>
      <c r="F75" s="105" t="s">
        <v>5</v>
      </c>
      <c r="G75" s="107">
        <f>Z16/Z$24*100</f>
        <v>27.402954869198293</v>
      </c>
    </row>
    <row r="76" spans="1:7">
      <c r="A76" s="105" t="s">
        <v>5</v>
      </c>
      <c r="B76" s="107">
        <f t="shared" si="4"/>
        <v>1.6167610337030472E-2</v>
      </c>
      <c r="C76" s="106">
        <f>R16</f>
        <v>118.565</v>
      </c>
      <c r="D76" s="168">
        <f t="shared" si="5"/>
        <v>2.0992344983337342E-2</v>
      </c>
      <c r="F76" s="105" t="s">
        <v>4</v>
      </c>
      <c r="G76" s="107">
        <f>Z17/Z$24*100</f>
        <v>4.5088026830549177</v>
      </c>
    </row>
    <row r="77" spans="1:7">
      <c r="A77" s="105" t="s">
        <v>4</v>
      </c>
      <c r="B77" s="107">
        <f t="shared" si="4"/>
        <v>5.5028600259282303</v>
      </c>
      <c r="C77" s="106">
        <f>R17</f>
        <v>40355.165999999997</v>
      </c>
      <c r="D77" s="168">
        <f t="shared" si="5"/>
        <v>7.1450222791873301</v>
      </c>
      <c r="F77" s="105" t="s">
        <v>22</v>
      </c>
      <c r="G77" s="107">
        <f>Z18/Z$24*100</f>
        <v>8.4915331033606697E-2</v>
      </c>
    </row>
    <row r="78" spans="1:7">
      <c r="A78" s="105" t="s">
        <v>22</v>
      </c>
      <c r="B78" s="107">
        <f t="shared" si="4"/>
        <v>5.0778009845261311E-3</v>
      </c>
      <c r="C78" s="106">
        <f>R18</f>
        <v>37.238</v>
      </c>
      <c r="D78" s="168">
        <f t="shared" si="5"/>
        <v>6.5931172140978869E-3</v>
      </c>
      <c r="F78" s="108" t="s">
        <v>20</v>
      </c>
      <c r="G78" s="110">
        <f>SUM(G68:G77)</f>
        <v>100.00000000000001</v>
      </c>
    </row>
    <row r="79" spans="1:7">
      <c r="A79" s="105" t="s">
        <v>21</v>
      </c>
      <c r="B79" s="107">
        <f>C79/$C$80*100</f>
        <v>22.983304867257562</v>
      </c>
      <c r="C79" s="106">
        <f>R23</f>
        <v>168547.82399999999</v>
      </c>
      <c r="D79" s="165"/>
    </row>
    <row r="80" spans="1:7">
      <c r="A80" s="108" t="s">
        <v>20</v>
      </c>
      <c r="B80" s="110">
        <f>SUM(B68:B79)</f>
        <v>100.00000000000003</v>
      </c>
      <c r="C80" s="109">
        <f>SUM(C68:C79)</f>
        <v>733348.94599999988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/>
      <c r="X85"/>
      <c r="Y85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130</v>
      </c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/>
      <c r="X87"/>
      <c r="Y87"/>
      <c r="Z87"/>
    </row>
    <row r="88" spans="1:26" ht="15">
      <c r="A88" s="210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-0.60865999999999998</v>
      </c>
      <c r="S88" s="175">
        <v>-0.83296899999999996</v>
      </c>
      <c r="T88" s="175">
        <v>3.1799559999999998</v>
      </c>
      <c r="U88" s="175">
        <v>54.925434000000003</v>
      </c>
      <c r="V88" s="175">
        <v>0</v>
      </c>
      <c r="W88"/>
      <c r="X88"/>
      <c r="Y88"/>
      <c r="Z88"/>
    </row>
    <row r="89" spans="1:26" ht="15">
      <c r="A89" s="211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7.134449</v>
      </c>
      <c r="S89" s="175">
        <v>12.70701</v>
      </c>
      <c r="T89" s="175">
        <v>20.755147999999998</v>
      </c>
      <c r="U89" s="175">
        <v>57.618448999999998</v>
      </c>
      <c r="V89" s="175">
        <v>28.964137999999998</v>
      </c>
      <c r="W89"/>
      <c r="X89"/>
      <c r="Y89"/>
      <c r="Z89"/>
    </row>
    <row r="90" spans="1:26" ht="15">
      <c r="A90" s="211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67.572283999999996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29.44258</v>
      </c>
      <c r="S90" s="175">
        <v>35.218071999999999</v>
      </c>
      <c r="T90" s="175">
        <v>56.449230999999997</v>
      </c>
      <c r="U90" s="175">
        <v>67.064257999999995</v>
      </c>
      <c r="V90" s="175">
        <v>15.701044</v>
      </c>
      <c r="W90"/>
      <c r="X90"/>
      <c r="Y90"/>
      <c r="Z90"/>
    </row>
    <row r="91" spans="1:26" ht="15">
      <c r="A91" s="211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207.738203</v>
      </c>
      <c r="S91" s="175">
        <v>231.47546199999999</v>
      </c>
      <c r="T91" s="175">
        <v>269.55010299999998</v>
      </c>
      <c r="U91" s="175">
        <v>316.35504600000002</v>
      </c>
      <c r="V91" s="175">
        <v>147.098308</v>
      </c>
      <c r="W91"/>
      <c r="X91"/>
      <c r="Y91"/>
      <c r="Z91"/>
    </row>
    <row r="92" spans="1:26" ht="15">
      <c r="A92" s="211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175">
        <v>0</v>
      </c>
      <c r="V92" s="175">
        <v>0</v>
      </c>
      <c r="W92"/>
      <c r="X92"/>
      <c r="Y92"/>
      <c r="Z92"/>
    </row>
    <row r="93" spans="1:26" ht="15">
      <c r="A93" s="211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6.1459E-2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0.12734500000000001</v>
      </c>
      <c r="S93" s="175">
        <v>0.24965100000000001</v>
      </c>
      <c r="T93" s="175">
        <v>5.6180000000000001E-2</v>
      </c>
      <c r="U93" s="175">
        <v>0.118565</v>
      </c>
      <c r="V93" s="175">
        <v>8.8010000000000005E-2</v>
      </c>
      <c r="W93"/>
      <c r="X93"/>
      <c r="Y93"/>
      <c r="Z93"/>
    </row>
    <row r="94" spans="1:26" ht="15">
      <c r="A94" s="211"/>
      <c r="B94" s="133" t="s">
        <v>4</v>
      </c>
      <c r="C94" s="175">
        <v>14.437344</v>
      </c>
      <c r="D94" s="175">
        <v>17.860306999999999</v>
      </c>
      <c r="E94" s="175">
        <v>13.720819000000001</v>
      </c>
      <c r="F94" s="175">
        <v>22.448584</v>
      </c>
      <c r="G94" s="175">
        <v>27.351011</v>
      </c>
      <c r="H94" s="175">
        <v>29.26784</v>
      </c>
      <c r="I94" s="175">
        <v>33.069572000000001</v>
      </c>
      <c r="J94" s="175">
        <v>29.670628000000001</v>
      </c>
      <c r="K94" s="175">
        <v>25.077711000000001</v>
      </c>
      <c r="L94" s="175">
        <v>23.563777000000002</v>
      </c>
      <c r="M94" s="175">
        <v>17.217534000000001</v>
      </c>
      <c r="N94" s="175">
        <v>15.034399000000001</v>
      </c>
      <c r="O94" s="175">
        <v>18.176791999999999</v>
      </c>
      <c r="P94" s="175">
        <v>21.958507000000001</v>
      </c>
      <c r="Q94" s="175">
        <v>34.017825999999999</v>
      </c>
      <c r="R94" s="175">
        <v>36.519472</v>
      </c>
      <c r="S94" s="175">
        <v>33.460431999999997</v>
      </c>
      <c r="T94" s="175">
        <v>35.587198000000001</v>
      </c>
      <c r="U94" s="175">
        <v>40.355165999999997</v>
      </c>
      <c r="V94" s="175">
        <v>19.238522</v>
      </c>
      <c r="W94"/>
      <c r="X94"/>
      <c r="Y94"/>
      <c r="Z94"/>
    </row>
    <row r="95" spans="1:26" ht="15">
      <c r="A95" s="211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7.1924000000000002E-2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7.399E-2</v>
      </c>
      <c r="S95" s="175">
        <v>9.0162999999999993E-2</v>
      </c>
      <c r="T95" s="175">
        <v>8.4139000000000005E-2</v>
      </c>
      <c r="U95" s="175">
        <v>3.7238E-2</v>
      </c>
      <c r="V95" s="175">
        <v>2.6839999999999999E-2</v>
      </c>
      <c r="W95"/>
      <c r="X95"/>
      <c r="Y95"/>
      <c r="Z95"/>
    </row>
    <row r="96" spans="1:26" ht="15">
      <c r="A96" s="211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2.5541079999999998</v>
      </c>
      <c r="N96" s="175">
        <v>2.9410020000000001</v>
      </c>
      <c r="O96" s="175">
        <v>3.055609</v>
      </c>
      <c r="P96" s="175">
        <v>3.0516040000000002</v>
      </c>
      <c r="Q96" s="175">
        <v>3.5856219999999999</v>
      </c>
      <c r="R96" s="175">
        <v>3.6202459999999999</v>
      </c>
      <c r="S96" s="175">
        <v>3.5176020000000001</v>
      </c>
      <c r="T96" s="175">
        <v>3.7894670000000001</v>
      </c>
      <c r="U96" s="175">
        <v>3.2446030000000001</v>
      </c>
      <c r="V96" s="175">
        <v>1.81914</v>
      </c>
      <c r="W96"/>
      <c r="X96"/>
      <c r="Y96"/>
      <c r="Z96"/>
    </row>
    <row r="97" spans="1:26" ht="15">
      <c r="A97" s="211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10.65733</v>
      </c>
      <c r="S97" s="175">
        <v>12.228600500000001</v>
      </c>
      <c r="T97" s="175">
        <v>15.5976535</v>
      </c>
      <c r="U97" s="175">
        <v>12.5411815</v>
      </c>
      <c r="V97" s="175">
        <v>7.0641999999999996</v>
      </c>
      <c r="W97"/>
      <c r="X97"/>
      <c r="Y97"/>
      <c r="Z97"/>
    </row>
    <row r="98" spans="1:26" ht="15">
      <c r="A98" s="211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10.65733</v>
      </c>
      <c r="S98" s="175">
        <v>12.228600500000001</v>
      </c>
      <c r="T98" s="175">
        <v>15.5976535</v>
      </c>
      <c r="U98" s="175">
        <v>12.5411815</v>
      </c>
      <c r="V98" s="175">
        <v>7.0641999999999996</v>
      </c>
      <c r="W98"/>
      <c r="X98"/>
      <c r="Y98"/>
      <c r="Z98"/>
    </row>
    <row r="99" spans="1:26" ht="15">
      <c r="A99" s="211"/>
      <c r="B99" s="137" t="s">
        <v>2</v>
      </c>
      <c r="C99" s="176">
        <v>433.75729100000001</v>
      </c>
      <c r="D99" s="176">
        <v>369.66743300000002</v>
      </c>
      <c r="E99" s="176">
        <v>411.22058600000003</v>
      </c>
      <c r="F99" s="176">
        <v>402.63279599999998</v>
      </c>
      <c r="G99" s="176">
        <v>439.88518599999998</v>
      </c>
      <c r="H99" s="176">
        <v>539.97746800000004</v>
      </c>
      <c r="I99" s="176">
        <v>635.33395399999995</v>
      </c>
      <c r="J99" s="176">
        <v>651.26713199999995</v>
      </c>
      <c r="K99" s="176">
        <v>524.07938200000001</v>
      </c>
      <c r="L99" s="176">
        <v>405.32882699999999</v>
      </c>
      <c r="M99" s="176">
        <v>306.54494699999998</v>
      </c>
      <c r="N99" s="176">
        <v>318.519248</v>
      </c>
      <c r="O99" s="176">
        <v>326.27484099999998</v>
      </c>
      <c r="P99" s="176">
        <v>342.12679300000002</v>
      </c>
      <c r="Q99" s="176">
        <v>330.70816200000002</v>
      </c>
      <c r="R99" s="176">
        <v>305.36228499999999</v>
      </c>
      <c r="S99" s="176">
        <v>340.342624</v>
      </c>
      <c r="T99" s="176">
        <v>420.64672899999999</v>
      </c>
      <c r="U99" s="176">
        <v>564.80112199999996</v>
      </c>
      <c r="V99" s="176">
        <v>227.064402</v>
      </c>
      <c r="W99"/>
      <c r="X99"/>
      <c r="Y99"/>
      <c r="Z99"/>
    </row>
    <row r="100" spans="1:26" ht="15">
      <c r="A100" s="211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98.033413999999993</v>
      </c>
      <c r="S100" s="175">
        <v>118.762416</v>
      </c>
      <c r="T100" s="175">
        <v>124.350134</v>
      </c>
      <c r="U100" s="175">
        <v>168.54782399999999</v>
      </c>
      <c r="V100" s="175">
        <v>88.540199999999999</v>
      </c>
      <c r="W100"/>
      <c r="X100"/>
      <c r="Y100"/>
      <c r="Z100"/>
    </row>
    <row r="101" spans="1:26" ht="15">
      <c r="A101" s="212"/>
      <c r="B101" s="137" t="s">
        <v>79</v>
      </c>
      <c r="C101" s="176">
        <v>464.91663</v>
      </c>
      <c r="D101" s="176">
        <v>397.16993500000001</v>
      </c>
      <c r="E101" s="176">
        <v>441.90986700000002</v>
      </c>
      <c r="F101" s="176">
        <v>436.27385500000003</v>
      </c>
      <c r="G101" s="176">
        <v>471.93224199999997</v>
      </c>
      <c r="H101" s="176">
        <v>575.20253200000002</v>
      </c>
      <c r="I101" s="176">
        <v>702.36709199999996</v>
      </c>
      <c r="J101" s="176">
        <v>728.92016799999999</v>
      </c>
      <c r="K101" s="176">
        <v>594.72671800000001</v>
      </c>
      <c r="L101" s="176">
        <v>466.69421199999999</v>
      </c>
      <c r="M101" s="176">
        <v>362.53663299999999</v>
      </c>
      <c r="N101" s="176">
        <v>398.29807</v>
      </c>
      <c r="O101" s="176">
        <v>450.22497199999998</v>
      </c>
      <c r="P101" s="176">
        <v>431.86105500000002</v>
      </c>
      <c r="Q101" s="176">
        <v>412.90246999999999</v>
      </c>
      <c r="R101" s="176">
        <v>403.39569899999998</v>
      </c>
      <c r="S101" s="176">
        <v>459.10503999999997</v>
      </c>
      <c r="T101" s="176">
        <v>544.99686299999996</v>
      </c>
      <c r="U101" s="176">
        <v>733.34894599999996</v>
      </c>
      <c r="V101" s="176">
        <v>315.604602</v>
      </c>
      <c r="W101"/>
      <c r="X101"/>
      <c r="Y101"/>
      <c r="Z101"/>
    </row>
    <row r="102" spans="1:26" ht="15">
      <c r="A102" s="215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0.29870099999999999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0.29400900000000002</v>
      </c>
      <c r="M102" s="175">
        <v>0.27748800000000001</v>
      </c>
      <c r="N102" s="175">
        <v>0.28856799999999999</v>
      </c>
      <c r="O102" s="175">
        <v>0.27497500000000002</v>
      </c>
      <c r="P102" s="175">
        <v>0.25442500000000001</v>
      </c>
      <c r="Q102" s="175">
        <v>0.29023300000000002</v>
      </c>
      <c r="R102" s="175">
        <v>0.27610800000000002</v>
      </c>
      <c r="S102" s="175">
        <v>0.29790899999999998</v>
      </c>
      <c r="T102" s="175">
        <v>0.28383700000000001</v>
      </c>
      <c r="U102" s="175">
        <v>0.30198999999999998</v>
      </c>
      <c r="V102" s="175">
        <v>0</v>
      </c>
      <c r="W102"/>
      <c r="X102"/>
      <c r="Y102"/>
      <c r="Z102"/>
    </row>
    <row r="103" spans="1:26" ht="15">
      <c r="A103" s="211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137.06188</v>
      </c>
      <c r="G103" s="175">
        <v>142.20013900000001</v>
      </c>
      <c r="H103" s="175">
        <v>140.176005</v>
      </c>
      <c r="I103" s="175">
        <v>145.16306399999999</v>
      </c>
      <c r="J103" s="175">
        <v>144.44555099999999</v>
      </c>
      <c r="K103" s="175">
        <v>147.14430100000001</v>
      </c>
      <c r="L103" s="175">
        <v>153.68727999999999</v>
      </c>
      <c r="M103" s="175">
        <v>154.15610899999999</v>
      </c>
      <c r="N103" s="175">
        <v>168.11301700000001</v>
      </c>
      <c r="O103" s="175">
        <v>149.66655</v>
      </c>
      <c r="P103" s="175">
        <v>151.17160100000001</v>
      </c>
      <c r="Q103" s="175">
        <v>141.36258799999999</v>
      </c>
      <c r="R103" s="175">
        <v>149.85577699999999</v>
      </c>
      <c r="S103" s="175">
        <v>152.672844</v>
      </c>
      <c r="T103" s="175">
        <v>159.427877</v>
      </c>
      <c r="U103" s="175">
        <v>147.37140500000001</v>
      </c>
      <c r="V103" s="175">
        <v>72.946986999999993</v>
      </c>
      <c r="W103"/>
      <c r="X103"/>
      <c r="Y103"/>
      <c r="Z103"/>
    </row>
    <row r="104" spans="1:26" ht="15">
      <c r="A104" s="211"/>
      <c r="B104" s="133" t="s">
        <v>9</v>
      </c>
      <c r="C104" s="175">
        <v>20.1236</v>
      </c>
      <c r="D104" s="175">
        <v>22.304445000000001</v>
      </c>
      <c r="E104" s="175">
        <v>22.266894000000001</v>
      </c>
      <c r="F104" s="175">
        <v>17.593667</v>
      </c>
      <c r="G104" s="175">
        <v>15.375764</v>
      </c>
      <c r="H104" s="175">
        <v>14.745179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21.092299000000001</v>
      </c>
      <c r="S104" s="175">
        <v>23.467611000000002</v>
      </c>
      <c r="T104" s="175">
        <v>20.997603000000002</v>
      </c>
      <c r="U104" s="175">
        <v>15.379733999999999</v>
      </c>
      <c r="V104" s="175">
        <v>4.4886819999999998</v>
      </c>
      <c r="W104"/>
      <c r="X104"/>
      <c r="Y104"/>
      <c r="Z104"/>
    </row>
    <row r="105" spans="1:26" ht="15">
      <c r="A105" s="211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60.625900999999999</v>
      </c>
      <c r="I105" s="175">
        <v>73.212086999999997</v>
      </c>
      <c r="J105" s="175">
        <v>102.417013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89.164951000000002</v>
      </c>
      <c r="S105" s="175">
        <v>84.880949000000001</v>
      </c>
      <c r="T105" s="175">
        <v>84.905440999999996</v>
      </c>
      <c r="U105" s="175">
        <v>101.065799</v>
      </c>
      <c r="V105" s="175">
        <v>40.354553000000003</v>
      </c>
      <c r="W105"/>
      <c r="X105"/>
      <c r="Y105"/>
      <c r="Z105"/>
    </row>
    <row r="106" spans="1:26" ht="15">
      <c r="A106" s="211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279.54366599999997</v>
      </c>
      <c r="S106" s="175">
        <v>275.34098399999999</v>
      </c>
      <c r="T106" s="175">
        <v>351.45923099999999</v>
      </c>
      <c r="U106" s="175">
        <v>250.52108799999999</v>
      </c>
      <c r="V106" s="175">
        <v>141.50227100000001</v>
      </c>
      <c r="W106"/>
      <c r="X106"/>
      <c r="Y106"/>
      <c r="Z106"/>
    </row>
    <row r="107" spans="1:26" ht="15">
      <c r="A107" s="211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-1.2926999999999999E-2</v>
      </c>
      <c r="S107" s="175">
        <v>-1.3481E-2</v>
      </c>
      <c r="T107" s="175">
        <v>-2.0100000000000001E-3</v>
      </c>
      <c r="U107" s="175">
        <v>0</v>
      </c>
      <c r="V107" s="175">
        <v>0</v>
      </c>
      <c r="W107"/>
      <c r="X107"/>
      <c r="Y107"/>
      <c r="Z107"/>
    </row>
    <row r="108" spans="1:26" ht="15">
      <c r="A108" s="211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1.573337</v>
      </c>
      <c r="S108" s="175">
        <v>2.0671949999999999</v>
      </c>
      <c r="T108" s="175">
        <v>0.80873799999999996</v>
      </c>
      <c r="U108" s="175">
        <v>2.7590569999999999</v>
      </c>
      <c r="V108" s="175">
        <v>1.300019</v>
      </c>
      <c r="W108"/>
      <c r="X108"/>
      <c r="Y108"/>
      <c r="Z108"/>
    </row>
    <row r="109" spans="1:26" ht="15">
      <c r="A109" s="211"/>
      <c r="B109" s="133" t="s">
        <v>5</v>
      </c>
      <c r="C109" s="175">
        <v>60.12574</v>
      </c>
      <c r="D109" s="175">
        <v>88.964033999999998</v>
      </c>
      <c r="E109" s="175">
        <v>109.52770099999999</v>
      </c>
      <c r="F109" s="175">
        <v>120.73900500000001</v>
      </c>
      <c r="G109" s="175">
        <v>116.96555499999999</v>
      </c>
      <c r="H109" s="175">
        <v>160.356527</v>
      </c>
      <c r="I109" s="175">
        <v>181.49906899999999</v>
      </c>
      <c r="J109" s="175">
        <v>185.782734</v>
      </c>
      <c r="K109" s="175">
        <v>123.26133799999999</v>
      </c>
      <c r="L109" s="175">
        <v>85.078937999999994</v>
      </c>
      <c r="M109" s="175">
        <v>102.221262</v>
      </c>
      <c r="N109" s="175">
        <v>37.913117999999997</v>
      </c>
      <c r="O109" s="175">
        <v>132.72816599999999</v>
      </c>
      <c r="P109" s="175">
        <v>42.685206000000001</v>
      </c>
      <c r="Q109" s="175">
        <v>131.43829199999999</v>
      </c>
      <c r="R109" s="175">
        <v>103.68509299999999</v>
      </c>
      <c r="S109" s="175">
        <v>130.95020099999999</v>
      </c>
      <c r="T109" s="175">
        <v>63.396431</v>
      </c>
      <c r="U109" s="175">
        <v>208.493673</v>
      </c>
      <c r="V109" s="175">
        <v>87.684009000000003</v>
      </c>
      <c r="W109"/>
      <c r="X109"/>
      <c r="Y109"/>
      <c r="Z109"/>
    </row>
    <row r="110" spans="1:26" ht="15">
      <c r="A110" s="211"/>
      <c r="B110" s="133" t="s">
        <v>4</v>
      </c>
      <c r="C110" s="175">
        <v>18.056702999999999</v>
      </c>
      <c r="D110" s="175">
        <v>18.872744999999998</v>
      </c>
      <c r="E110" s="175">
        <v>25.064551999999999</v>
      </c>
      <c r="F110" s="175">
        <v>26.39603</v>
      </c>
      <c r="G110" s="175">
        <v>32.971663999999997</v>
      </c>
      <c r="H110" s="175">
        <v>30.752493999999999</v>
      </c>
      <c r="I110" s="175">
        <v>34.434815</v>
      </c>
      <c r="J110" s="175">
        <v>32.263370000000002</v>
      </c>
      <c r="K110" s="175">
        <v>26.538736</v>
      </c>
      <c r="L110" s="175">
        <v>26.753266</v>
      </c>
      <c r="M110" s="175">
        <v>23.169461999999999</v>
      </c>
      <c r="N110" s="175">
        <v>19.006923</v>
      </c>
      <c r="O110" s="175">
        <v>22.065138000000001</v>
      </c>
      <c r="P110" s="175">
        <v>20.222797</v>
      </c>
      <c r="Q110" s="175">
        <v>32.125762000000002</v>
      </c>
      <c r="R110" s="175">
        <v>29.890439000000001</v>
      </c>
      <c r="S110" s="175">
        <v>30.462913</v>
      </c>
      <c r="T110" s="175">
        <v>30.366741999999999</v>
      </c>
      <c r="U110" s="175">
        <v>34.304943999999999</v>
      </c>
      <c r="V110" s="175">
        <v>16.531272000000001</v>
      </c>
      <c r="W110"/>
      <c r="X110"/>
      <c r="Y110"/>
      <c r="Z110"/>
    </row>
    <row r="111" spans="1:26" ht="15">
      <c r="A111" s="211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0.63095199999999996</v>
      </c>
      <c r="S111" s="175">
        <v>0.65055600000000002</v>
      </c>
      <c r="T111" s="175">
        <v>0.66513100000000003</v>
      </c>
      <c r="U111" s="175">
        <v>0.64607300000000001</v>
      </c>
      <c r="V111" s="175">
        <v>0</v>
      </c>
      <c r="W111"/>
      <c r="X111"/>
      <c r="Y111"/>
      <c r="Z111"/>
    </row>
    <row r="112" spans="1:26" ht="15">
      <c r="A112" s="211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 s="175">
        <v>0</v>
      </c>
      <c r="T112" s="175">
        <v>0</v>
      </c>
      <c r="U112" s="175">
        <v>0</v>
      </c>
      <c r="V112" s="175">
        <v>0</v>
      </c>
      <c r="W112"/>
      <c r="X112"/>
      <c r="Y112"/>
      <c r="Z112"/>
    </row>
    <row r="113" spans="1:26" ht="15">
      <c r="A113" s="211"/>
      <c r="B113" s="137" t="s">
        <v>2</v>
      </c>
      <c r="C113" s="176">
        <v>713.30986199999995</v>
      </c>
      <c r="D113" s="176">
        <v>649.84944700000005</v>
      </c>
      <c r="E113" s="176">
        <v>711.96109200000001</v>
      </c>
      <c r="F113" s="176">
        <v>673.43979000000002</v>
      </c>
      <c r="G113" s="176">
        <v>700.75674900000001</v>
      </c>
      <c r="H113" s="176">
        <v>693.66707899999994</v>
      </c>
      <c r="I113" s="176">
        <v>754.31223199999999</v>
      </c>
      <c r="J113" s="176">
        <v>757.16552300000001</v>
      </c>
      <c r="K113" s="176">
        <v>724.22376499999996</v>
      </c>
      <c r="L113" s="176">
        <v>728.54527199999995</v>
      </c>
      <c r="M113" s="176">
        <v>709.22855300000003</v>
      </c>
      <c r="N113" s="176">
        <v>718.89893700000005</v>
      </c>
      <c r="O113" s="176">
        <v>719.36431300000004</v>
      </c>
      <c r="P113" s="176">
        <v>650.24016300000005</v>
      </c>
      <c r="Q113" s="176">
        <v>712.83775600000001</v>
      </c>
      <c r="R113" s="176">
        <v>675.69969500000002</v>
      </c>
      <c r="S113" s="176">
        <v>700.77768100000003</v>
      </c>
      <c r="T113" s="176">
        <v>712.30902100000003</v>
      </c>
      <c r="U113" s="176">
        <v>760.84376299999997</v>
      </c>
      <c r="V113" s="176">
        <v>364.807793</v>
      </c>
      <c r="W113"/>
      <c r="X113"/>
      <c r="Y113"/>
      <c r="Z113"/>
    </row>
    <row r="114" spans="1:26" ht="15">
      <c r="A114" s="212"/>
      <c r="B114" s="137" t="s">
        <v>79</v>
      </c>
      <c r="C114" s="176">
        <v>713.30986199999995</v>
      </c>
      <c r="D114" s="176">
        <v>649.84944700000005</v>
      </c>
      <c r="E114" s="176">
        <v>711.96109200000001</v>
      </c>
      <c r="F114" s="176">
        <v>673.43979000000002</v>
      </c>
      <c r="G114" s="176">
        <v>700.75674900000001</v>
      </c>
      <c r="H114" s="176">
        <v>693.66707899999994</v>
      </c>
      <c r="I114" s="176">
        <v>754.31223199999999</v>
      </c>
      <c r="J114" s="176">
        <v>757.16552300000001</v>
      </c>
      <c r="K114" s="176">
        <v>724.22376499999996</v>
      </c>
      <c r="L114" s="176">
        <v>728.54527199999995</v>
      </c>
      <c r="M114" s="176">
        <v>709.22855300000003</v>
      </c>
      <c r="N114" s="176">
        <v>718.89893700000005</v>
      </c>
      <c r="O114" s="176">
        <v>719.36431300000004</v>
      </c>
      <c r="P114" s="176">
        <v>650.24016300000005</v>
      </c>
      <c r="Q114" s="176">
        <v>712.83775600000001</v>
      </c>
      <c r="R114" s="176">
        <v>675.69969500000002</v>
      </c>
      <c r="S114" s="176">
        <v>700.77768100000003</v>
      </c>
      <c r="T114" s="176">
        <v>712.30902100000003</v>
      </c>
      <c r="U114" s="176">
        <v>760.84376299999997</v>
      </c>
      <c r="V114" s="176">
        <v>364.807793</v>
      </c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julio 2022</v>
      </c>
      <c r="D117" s="111" t="str">
        <f t="shared" ref="D117:M117" si="6">TEXT(EDATE(E117,-1),"mmmm aaaa")</f>
        <v>agosto 2022</v>
      </c>
      <c r="E117" s="111" t="str">
        <f t="shared" si="6"/>
        <v>septiembre 2022</v>
      </c>
      <c r="F117" s="111" t="str">
        <f t="shared" si="6"/>
        <v>octubre 2022</v>
      </c>
      <c r="G117" s="111" t="str">
        <f t="shared" si="6"/>
        <v>noviembre 2022</v>
      </c>
      <c r="H117" s="111" t="str">
        <f t="shared" si="6"/>
        <v>diciembre 2022</v>
      </c>
      <c r="I117" s="111" t="str">
        <f t="shared" si="6"/>
        <v>enero 2023</v>
      </c>
      <c r="J117" s="111" t="str">
        <f t="shared" si="6"/>
        <v>febrero 2023</v>
      </c>
      <c r="K117" s="111" t="str">
        <f t="shared" si="6"/>
        <v>marzo 2023</v>
      </c>
      <c r="L117" s="111" t="str">
        <f t="shared" si="6"/>
        <v>abril 2023</v>
      </c>
      <c r="M117" s="111" t="str">
        <f t="shared" si="6"/>
        <v>mayo 2023</v>
      </c>
      <c r="N117" s="111" t="str">
        <f>TEXT(EDATE(O117,-1),"mmmm aaaa")</f>
        <v>junio 2023</v>
      </c>
      <c r="O117" s="112" t="str">
        <f>A2</f>
        <v>Julio 2023</v>
      </c>
    </row>
    <row r="118" spans="1:26">
      <c r="B118" s="209"/>
      <c r="C118" s="121" t="str">
        <f>TEXT(EDATE($A$2,-12),"mmm")&amp;".-"&amp;TEXT(EDATE($A$2,-12),"aa")</f>
        <v>jul.-22</v>
      </c>
      <c r="D118" s="121" t="str">
        <f>TEXT(EDATE($A$2,-11),"mmm")&amp;".-"&amp;TEXT(EDATE($A$2,-11),"aa")</f>
        <v>ago.-22</v>
      </c>
      <c r="E118" s="121" t="str">
        <f>TEXT(EDATE($A$2,-10),"mmm")&amp;".-"&amp;TEXT(EDATE($A$2,-10),"aa")</f>
        <v>sep.-22</v>
      </c>
      <c r="F118" s="121" t="str">
        <f>TEXT(EDATE($A$2,-9),"mmm")&amp;".-"&amp;TEXT(EDATE($A$2,-9),"aa")</f>
        <v>oct.-22</v>
      </c>
      <c r="G118" s="121" t="str">
        <f>TEXT(EDATE($A$2,-8),"mmm")&amp;".-"&amp;TEXT(EDATE($A$2,-8),"aa")</f>
        <v>nov.-22</v>
      </c>
      <c r="H118" s="121" t="str">
        <f>TEXT(EDATE($A$2,-7),"mmm")&amp;".-"&amp;TEXT(EDATE($A$2,-7),"aa")</f>
        <v>dic.-22</v>
      </c>
      <c r="I118" s="121" t="str">
        <f>TEXT(EDATE($A$2,-6),"mmm")&amp;".-"&amp;TEXT(EDATE($A$2,-6),"aa")</f>
        <v>ene.-23</v>
      </c>
      <c r="J118" s="121" t="str">
        <f>TEXT(EDATE($A$2,-5),"mmm")&amp;".-"&amp;TEXT(EDATE($A$2,-5),"aa")</f>
        <v>feb.-23</v>
      </c>
      <c r="K118" s="121" t="str">
        <f>TEXT(EDATE($A$2,-4),"mmm")&amp;".-"&amp;TEXT(EDATE($A$2,-4),"aa")</f>
        <v>mar.-23</v>
      </c>
      <c r="L118" s="121" t="str">
        <f>TEXT(EDATE($A$2,-3),"mmm")&amp;".-"&amp;TEXT(EDATE($A$2,-3),"aa")</f>
        <v>abr.-23</v>
      </c>
      <c r="M118" s="121" t="str">
        <f>TEXT(EDATE($A$2,-2),"mmm")&amp;".-"&amp;TEXT(EDATE($A$2,-2),"aa")</f>
        <v>may.-23</v>
      </c>
      <c r="N118" s="121" t="str">
        <f>TEXT(EDATE($A$2,-1),"mmm")&amp;".-"&amp;TEXT(EDATE($A$2,-1),"aa")</f>
        <v>jun.-23</v>
      </c>
      <c r="O118" s="143" t="str">
        <f>TEXT($A$2,"mmm")&amp;".-"&amp;TEXT($A$2,"aa")</f>
        <v>jul.-23</v>
      </c>
    </row>
    <row r="119" spans="1:26">
      <c r="A119" s="205" t="s">
        <v>76</v>
      </c>
      <c r="B119" s="122" t="s">
        <v>11</v>
      </c>
      <c r="C119" s="123">
        <f>HLOOKUP(C$117,$86:$101,3,FALSE)</f>
        <v>50.189168000000002</v>
      </c>
      <c r="D119" s="123">
        <f t="shared" ref="D119:N119" si="7">HLOOKUP(D$117,$86:$101,3,FALSE)</f>
        <v>5.2653150000000002</v>
      </c>
      <c r="E119" s="123">
        <f t="shared" si="7"/>
        <v>-0.60380599999999995</v>
      </c>
      <c r="F119" s="123">
        <f t="shared" si="7"/>
        <v>-0.613232</v>
      </c>
      <c r="G119" s="123">
        <f t="shared" si="7"/>
        <v>-0.58811800000000003</v>
      </c>
      <c r="H119" s="123">
        <f t="shared" si="7"/>
        <v>-0.62679200000000002</v>
      </c>
      <c r="I119" s="123">
        <f t="shared" si="7"/>
        <v>-0.72771799999999998</v>
      </c>
      <c r="J119" s="123">
        <f t="shared" si="7"/>
        <v>-0.70697299999999996</v>
      </c>
      <c r="K119" s="123">
        <f t="shared" si="7"/>
        <v>-0.51834000000000002</v>
      </c>
      <c r="L119" s="123">
        <f t="shared" si="7"/>
        <v>-0.60865999999999998</v>
      </c>
      <c r="M119" s="123">
        <f t="shared" si="7"/>
        <v>-0.83296899999999996</v>
      </c>
      <c r="N119" s="123">
        <f t="shared" si="7"/>
        <v>3.1799559999999998</v>
      </c>
      <c r="O119" s="124">
        <f>HLOOKUP(O$117,$86:$101,3,FALSE)</f>
        <v>54.925434000000003</v>
      </c>
    </row>
    <row r="120" spans="1:26">
      <c r="A120" s="206"/>
      <c r="B120" s="105" t="s">
        <v>10</v>
      </c>
      <c r="C120" s="107">
        <f>HLOOKUP(C$117,$86:$101,4,FALSE)</f>
        <v>59.042844000000002</v>
      </c>
      <c r="D120" s="107">
        <f t="shared" ref="D120:O120" si="8">HLOOKUP(D$117,$86:$101,4,FALSE)</f>
        <v>60.455578000000003</v>
      </c>
      <c r="E120" s="107">
        <f t="shared" si="8"/>
        <v>32.713324999999998</v>
      </c>
      <c r="F120" s="107">
        <f t="shared" si="8"/>
        <v>17.166284999999998</v>
      </c>
      <c r="G120" s="107">
        <f t="shared" si="8"/>
        <v>9.2819520000000004</v>
      </c>
      <c r="H120" s="107">
        <f t="shared" si="8"/>
        <v>2.2104400000000002</v>
      </c>
      <c r="I120" s="107">
        <f t="shared" si="8"/>
        <v>5.0179289999999996</v>
      </c>
      <c r="J120" s="107">
        <f t="shared" si="8"/>
        <v>15.008727</v>
      </c>
      <c r="K120" s="107">
        <f t="shared" si="8"/>
        <v>6.2192920000000003</v>
      </c>
      <c r="L120" s="107">
        <f t="shared" si="8"/>
        <v>7.134449</v>
      </c>
      <c r="M120" s="107">
        <f t="shared" si="8"/>
        <v>12.70701</v>
      </c>
      <c r="N120" s="107">
        <f t="shared" si="8"/>
        <v>20.755147999999998</v>
      </c>
      <c r="O120" s="124">
        <f t="shared" si="8"/>
        <v>57.618448999999998</v>
      </c>
    </row>
    <row r="121" spans="1:26">
      <c r="A121" s="206"/>
      <c r="B121" s="105" t="s">
        <v>9</v>
      </c>
      <c r="C121" s="107">
        <f>HLOOKUP(C$117,$86:$101,5,FALSE)</f>
        <v>59.770274999999998</v>
      </c>
      <c r="D121" s="107">
        <f t="shared" ref="D121:O121" si="9">HLOOKUP(D$117,$86:$101,5,FALSE)</f>
        <v>67.572283999999996</v>
      </c>
      <c r="E121" s="107">
        <f t="shared" si="9"/>
        <v>56.444971000000002</v>
      </c>
      <c r="F121" s="107">
        <f t="shared" si="9"/>
        <v>42.597769999999997</v>
      </c>
      <c r="G121" s="107">
        <f t="shared" si="9"/>
        <v>23.111573</v>
      </c>
      <c r="H121" s="107">
        <f t="shared" si="9"/>
        <v>26.769898999999999</v>
      </c>
      <c r="I121" s="107">
        <f t="shared" si="9"/>
        <v>49.385100000000001</v>
      </c>
      <c r="J121" s="107">
        <f t="shared" si="9"/>
        <v>32.328426999999998</v>
      </c>
      <c r="K121" s="107">
        <f t="shared" si="9"/>
        <v>34.532919999999997</v>
      </c>
      <c r="L121" s="107">
        <f t="shared" si="9"/>
        <v>29.44258</v>
      </c>
      <c r="M121" s="107">
        <f t="shared" si="9"/>
        <v>35.218071999999999</v>
      </c>
      <c r="N121" s="107">
        <f t="shared" si="9"/>
        <v>56.449230999999997</v>
      </c>
      <c r="O121" s="124">
        <f t="shared" si="9"/>
        <v>67.064257999999995</v>
      </c>
    </row>
    <row r="122" spans="1:26" ht="14.25">
      <c r="A122" s="206"/>
      <c r="B122" s="105" t="s">
        <v>74</v>
      </c>
      <c r="C122" s="107">
        <f>HLOOKUP(C$117,$86:$101,6,FALSE)</f>
        <v>396.959791</v>
      </c>
      <c r="D122" s="107">
        <f t="shared" ref="D122:O122" si="10">HLOOKUP(D$117,$86:$101,6,FALSE)</f>
        <v>456.377207</v>
      </c>
      <c r="E122" s="107">
        <f t="shared" si="10"/>
        <v>377.07382699999999</v>
      </c>
      <c r="F122" s="107">
        <f t="shared" si="10"/>
        <v>297.32130999999998</v>
      </c>
      <c r="G122" s="107">
        <f t="shared" si="10"/>
        <v>234.47985499999999</v>
      </c>
      <c r="H122" s="107">
        <f t="shared" si="10"/>
        <v>251.18496099999999</v>
      </c>
      <c r="I122" s="107">
        <f t="shared" si="10"/>
        <v>236.33414099999999</v>
      </c>
      <c r="J122" s="107">
        <f t="shared" si="10"/>
        <v>250.50749099999999</v>
      </c>
      <c r="K122" s="107">
        <f t="shared" si="10"/>
        <v>233.28242</v>
      </c>
      <c r="L122" s="107">
        <f t="shared" si="10"/>
        <v>207.738203</v>
      </c>
      <c r="M122" s="107">
        <f t="shared" si="10"/>
        <v>231.47546199999999</v>
      </c>
      <c r="N122" s="107">
        <f t="shared" si="10"/>
        <v>269.55010299999998</v>
      </c>
      <c r="O122" s="124">
        <f t="shared" si="10"/>
        <v>316.35504600000002</v>
      </c>
    </row>
    <row r="123" spans="1:26">
      <c r="A123" s="206"/>
      <c r="B123" s="105" t="s">
        <v>24</v>
      </c>
      <c r="C123" s="107">
        <f>HLOOKUP(C$117,$86:$101,7,FALSE)</f>
        <v>2.6835830000000001</v>
      </c>
      <c r="D123" s="107">
        <f t="shared" ref="D123:O123" si="11">HLOOKUP(D$117,$86:$101,7,FALSE)</f>
        <v>4.441192</v>
      </c>
      <c r="E123" s="107">
        <f t="shared" si="11"/>
        <v>4.0880280000000004</v>
      </c>
      <c r="F123" s="107">
        <f t="shared" si="11"/>
        <v>0.904698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3.0289E-2</v>
      </c>
      <c r="D124" s="107">
        <f t="shared" ref="D124:O124" si="12">HLOOKUP(D$117,$86:$102,8,FALSE)</f>
        <v>3.2219999999999999E-2</v>
      </c>
      <c r="E124" s="107">
        <f t="shared" si="12"/>
        <v>1.2760000000000001E-2</v>
      </c>
      <c r="F124" s="107">
        <f t="shared" si="12"/>
        <v>2.8530000000000001E-3</v>
      </c>
      <c r="G124" s="107">
        <f t="shared" si="12"/>
        <v>2.5883E-2</v>
      </c>
      <c r="H124" s="107">
        <f t="shared" si="12"/>
        <v>0.100989</v>
      </c>
      <c r="I124" s="107">
        <f t="shared" si="12"/>
        <v>0.21573000000000001</v>
      </c>
      <c r="J124" s="107">
        <f t="shared" si="12"/>
        <v>0.18323999999999999</v>
      </c>
      <c r="K124" s="107">
        <f t="shared" si="12"/>
        <v>0.20035</v>
      </c>
      <c r="L124" s="107">
        <f t="shared" si="12"/>
        <v>0.12734500000000001</v>
      </c>
      <c r="M124" s="107">
        <f t="shared" si="12"/>
        <v>0.24965100000000001</v>
      </c>
      <c r="N124" s="107">
        <f t="shared" si="12"/>
        <v>5.6180000000000001E-2</v>
      </c>
      <c r="O124" s="124">
        <f t="shared" si="12"/>
        <v>0.118565</v>
      </c>
    </row>
    <row r="125" spans="1:26">
      <c r="A125" s="206"/>
      <c r="B125" s="105" t="s">
        <v>4</v>
      </c>
      <c r="C125" s="107">
        <f>HLOOKUP(C$117,$86:$102,9,FALSE)</f>
        <v>33.069572000000001</v>
      </c>
      <c r="D125" s="107">
        <f t="shared" ref="D125:O125" si="13">HLOOKUP(D$117,$86:$102,9,FALSE)</f>
        <v>29.670628000000001</v>
      </c>
      <c r="E125" s="107">
        <f t="shared" si="13"/>
        <v>25.077711000000001</v>
      </c>
      <c r="F125" s="107">
        <f t="shared" si="13"/>
        <v>23.563777000000002</v>
      </c>
      <c r="G125" s="107">
        <f t="shared" si="13"/>
        <v>17.217534000000001</v>
      </c>
      <c r="H125" s="107">
        <f t="shared" si="13"/>
        <v>15.034399000000001</v>
      </c>
      <c r="I125" s="107">
        <f t="shared" si="13"/>
        <v>18.176791999999999</v>
      </c>
      <c r="J125" s="107">
        <f t="shared" si="13"/>
        <v>21.958507000000001</v>
      </c>
      <c r="K125" s="107">
        <f t="shared" si="13"/>
        <v>34.017825999999999</v>
      </c>
      <c r="L125" s="107">
        <f t="shared" si="13"/>
        <v>36.519472</v>
      </c>
      <c r="M125" s="107">
        <f t="shared" si="13"/>
        <v>33.460431999999997</v>
      </c>
      <c r="N125" s="107">
        <f t="shared" si="13"/>
        <v>35.587198000000001</v>
      </c>
      <c r="O125" s="124">
        <f t="shared" si="13"/>
        <v>40.355165999999997</v>
      </c>
    </row>
    <row r="126" spans="1:26">
      <c r="A126" s="206"/>
      <c r="B126" s="113" t="s">
        <v>22</v>
      </c>
      <c r="C126" s="107">
        <f>HLOOKUP(C$117,$86:$102,10,FALSE)</f>
        <v>9.5128000000000004E-2</v>
      </c>
      <c r="D126" s="107">
        <f t="shared" ref="D126:O126" si="14">HLOOKUP(D$117,$86:$102,10,FALSE)</f>
        <v>5.6752999999999998E-2</v>
      </c>
      <c r="E126" s="107">
        <f t="shared" si="14"/>
        <v>7.1924000000000002E-2</v>
      </c>
      <c r="F126" s="107">
        <f t="shared" si="14"/>
        <v>9.6991999999999995E-2</v>
      </c>
      <c r="G126" s="107">
        <f t="shared" si="14"/>
        <v>8.4503999999999996E-2</v>
      </c>
      <c r="H126" s="107">
        <f t="shared" si="14"/>
        <v>7.7099000000000001E-2</v>
      </c>
      <c r="I126" s="107">
        <f t="shared" si="14"/>
        <v>9.3608999999999998E-2</v>
      </c>
      <c r="J126" s="107">
        <f t="shared" si="14"/>
        <v>0.13599800000000001</v>
      </c>
      <c r="K126" s="107">
        <f t="shared" si="14"/>
        <v>0.11230800000000001</v>
      </c>
      <c r="L126" s="107">
        <f t="shared" si="14"/>
        <v>7.399E-2</v>
      </c>
      <c r="M126" s="107">
        <f t="shared" si="14"/>
        <v>9.0162999999999993E-2</v>
      </c>
      <c r="N126" s="107">
        <f t="shared" si="14"/>
        <v>8.4139000000000005E-2</v>
      </c>
      <c r="O126" s="124">
        <f t="shared" si="14"/>
        <v>3.7238E-2</v>
      </c>
    </row>
    <row r="127" spans="1:26">
      <c r="A127" s="206"/>
      <c r="B127" s="113" t="s">
        <v>23</v>
      </c>
      <c r="C127" s="107">
        <f>HLOOKUP(C$117,$86:$102,11,FALSE)</f>
        <v>1.1719729999999999</v>
      </c>
      <c r="D127" s="107">
        <f t="shared" ref="D127:O127" si="15">HLOOKUP(D$117,$86:$102,11,FALSE)</f>
        <v>5.1333999999999998E-2</v>
      </c>
      <c r="E127" s="107">
        <f t="shared" si="15"/>
        <v>2.0373130000000002</v>
      </c>
      <c r="F127" s="107">
        <f t="shared" si="15"/>
        <v>1.826864</v>
      </c>
      <c r="G127" s="107">
        <f t="shared" si="15"/>
        <v>2.5541079999999998</v>
      </c>
      <c r="H127" s="107">
        <f t="shared" si="15"/>
        <v>2.9410020000000001</v>
      </c>
      <c r="I127" s="107">
        <f t="shared" si="15"/>
        <v>3.055609</v>
      </c>
      <c r="J127" s="107">
        <f t="shared" si="15"/>
        <v>3.0516040000000002</v>
      </c>
      <c r="K127" s="107">
        <f t="shared" si="15"/>
        <v>3.5856219999999999</v>
      </c>
      <c r="L127" s="107">
        <f t="shared" si="15"/>
        <v>3.6202459999999999</v>
      </c>
      <c r="M127" s="107">
        <f t="shared" si="15"/>
        <v>3.5176020000000001</v>
      </c>
      <c r="N127" s="107">
        <f t="shared" si="15"/>
        <v>3.7894670000000001</v>
      </c>
      <c r="O127" s="124">
        <f t="shared" si="15"/>
        <v>3.2446030000000001</v>
      </c>
    </row>
    <row r="128" spans="1:26">
      <c r="A128" s="206"/>
      <c r="B128" s="105" t="s">
        <v>55</v>
      </c>
      <c r="C128" s="107">
        <f t="shared" ref="C128:O128" si="16">HLOOKUP(C$117,$86:$102,13,FALSE)</f>
        <v>16.1606655</v>
      </c>
      <c r="D128" s="107">
        <f t="shared" si="16"/>
        <v>13.6723105</v>
      </c>
      <c r="E128" s="107">
        <f t="shared" si="16"/>
        <v>13.5816645</v>
      </c>
      <c r="F128" s="107">
        <f t="shared" si="16"/>
        <v>11.230755</v>
      </c>
      <c r="G128" s="107">
        <f t="shared" si="16"/>
        <v>10.188828000000001</v>
      </c>
      <c r="H128" s="107">
        <f t="shared" si="16"/>
        <v>10.4136255</v>
      </c>
      <c r="I128" s="107">
        <f t="shared" si="16"/>
        <v>7.3618245</v>
      </c>
      <c r="J128" s="107">
        <f t="shared" si="16"/>
        <v>9.8298860000000001</v>
      </c>
      <c r="K128" s="107">
        <f t="shared" si="16"/>
        <v>9.6378819999999994</v>
      </c>
      <c r="L128" s="107">
        <f t="shared" si="16"/>
        <v>10.65733</v>
      </c>
      <c r="M128" s="107">
        <f t="shared" si="16"/>
        <v>12.228600500000001</v>
      </c>
      <c r="N128" s="107">
        <f t="shared" si="16"/>
        <v>15.5976535</v>
      </c>
      <c r="O128" s="124">
        <f t="shared" si="16"/>
        <v>12.5411815</v>
      </c>
    </row>
    <row r="129" spans="1:15">
      <c r="A129" s="206"/>
      <c r="B129" s="105" t="s">
        <v>54</v>
      </c>
      <c r="C129" s="107">
        <f>HLOOKUP(C$117,$86:$102,12,FALSE)</f>
        <v>16.1606655</v>
      </c>
      <c r="D129" s="107">
        <f t="shared" ref="D129:O129" si="17">HLOOKUP(D$117,$86:$102,12,FALSE)</f>
        <v>13.6723105</v>
      </c>
      <c r="E129" s="107">
        <f t="shared" si="17"/>
        <v>13.5816645</v>
      </c>
      <c r="F129" s="107">
        <f t="shared" si="17"/>
        <v>11.230755</v>
      </c>
      <c r="G129" s="107">
        <f t="shared" si="17"/>
        <v>10.188828000000001</v>
      </c>
      <c r="H129" s="107">
        <f t="shared" si="17"/>
        <v>10.4136255</v>
      </c>
      <c r="I129" s="107">
        <f t="shared" si="17"/>
        <v>7.3618245</v>
      </c>
      <c r="J129" s="107">
        <f t="shared" si="17"/>
        <v>9.8298860000000001</v>
      </c>
      <c r="K129" s="107">
        <f t="shared" si="17"/>
        <v>9.6378819999999994</v>
      </c>
      <c r="L129" s="107">
        <f t="shared" si="17"/>
        <v>10.65733</v>
      </c>
      <c r="M129" s="107">
        <f t="shared" si="17"/>
        <v>12.228600500000001</v>
      </c>
      <c r="N129" s="107">
        <f t="shared" si="17"/>
        <v>15.5976535</v>
      </c>
      <c r="O129" s="124">
        <f t="shared" si="17"/>
        <v>12.5411815</v>
      </c>
    </row>
    <row r="130" spans="1:15">
      <c r="A130" s="206"/>
      <c r="B130" s="114" t="s">
        <v>2</v>
      </c>
      <c r="C130" s="115">
        <f>HLOOKUP(C$117,$86:$102,14,FALSE)</f>
        <v>635.33395399999995</v>
      </c>
      <c r="D130" s="115">
        <f t="shared" ref="D130:O130" si="18">HLOOKUP(D$117,$86:$102,14,FALSE)</f>
        <v>651.26713199999995</v>
      </c>
      <c r="E130" s="115">
        <f t="shared" si="18"/>
        <v>524.07938200000001</v>
      </c>
      <c r="F130" s="115">
        <f t="shared" si="18"/>
        <v>405.32882699999999</v>
      </c>
      <c r="G130" s="115">
        <f t="shared" si="18"/>
        <v>306.54494699999998</v>
      </c>
      <c r="H130" s="115">
        <f t="shared" si="18"/>
        <v>318.519248</v>
      </c>
      <c r="I130" s="115">
        <f t="shared" si="18"/>
        <v>326.27484099999998</v>
      </c>
      <c r="J130" s="115">
        <f t="shared" si="18"/>
        <v>342.12679300000002</v>
      </c>
      <c r="K130" s="115">
        <f t="shared" si="18"/>
        <v>330.70816200000002</v>
      </c>
      <c r="L130" s="115">
        <f t="shared" si="18"/>
        <v>305.36228499999999</v>
      </c>
      <c r="M130" s="115">
        <f t="shared" si="18"/>
        <v>340.342624</v>
      </c>
      <c r="N130" s="115">
        <f t="shared" si="18"/>
        <v>420.64672899999999</v>
      </c>
      <c r="O130" s="125">
        <f t="shared" si="18"/>
        <v>564.80112199999996</v>
      </c>
    </row>
    <row r="131" spans="1:15">
      <c r="A131" s="206"/>
      <c r="B131" s="105" t="s">
        <v>21</v>
      </c>
      <c r="C131" s="116">
        <f>HLOOKUP(C$117,$86:$102,15,FALSE)</f>
        <v>67.033137999999994</v>
      </c>
      <c r="D131" s="116">
        <f t="shared" ref="D131:O131" si="19">HLOOKUP(D$117,$86:$102,15,FALSE)</f>
        <v>77.653036</v>
      </c>
      <c r="E131" s="116">
        <f t="shared" si="19"/>
        <v>70.647335999999996</v>
      </c>
      <c r="F131" s="116">
        <f t="shared" si="19"/>
        <v>61.365385000000003</v>
      </c>
      <c r="G131" s="116">
        <f t="shared" si="19"/>
        <v>55.991686000000001</v>
      </c>
      <c r="H131" s="116">
        <f t="shared" si="19"/>
        <v>79.778822000000005</v>
      </c>
      <c r="I131" s="116">
        <f t="shared" si="19"/>
        <v>123.950131</v>
      </c>
      <c r="J131" s="116">
        <f t="shared" si="19"/>
        <v>89.734262000000001</v>
      </c>
      <c r="K131" s="116">
        <f t="shared" si="19"/>
        <v>82.194308000000007</v>
      </c>
      <c r="L131" s="116">
        <f t="shared" si="19"/>
        <v>98.033413999999993</v>
      </c>
      <c r="M131" s="116">
        <f t="shared" si="19"/>
        <v>118.762416</v>
      </c>
      <c r="N131" s="116">
        <f t="shared" si="19"/>
        <v>124.350134</v>
      </c>
      <c r="O131" s="116">
        <f t="shared" si="19"/>
        <v>168.54782399999999</v>
      </c>
    </row>
    <row r="132" spans="1:15">
      <c r="A132" s="206"/>
      <c r="B132" s="117" t="s">
        <v>1</v>
      </c>
      <c r="C132" s="118">
        <f>HLOOKUP(C$117,$86:$102,16,FALSE)</f>
        <v>702.36709199999996</v>
      </c>
      <c r="D132" s="118">
        <f t="shared" ref="D132:O132" si="20">HLOOKUP(D$117,$86:$102,16,FALSE)</f>
        <v>728.92016799999999</v>
      </c>
      <c r="E132" s="118">
        <f t="shared" si="20"/>
        <v>594.72671800000001</v>
      </c>
      <c r="F132" s="118">
        <f t="shared" si="20"/>
        <v>466.69421199999999</v>
      </c>
      <c r="G132" s="118">
        <f t="shared" si="20"/>
        <v>362.53663299999999</v>
      </c>
      <c r="H132" s="118">
        <f t="shared" si="20"/>
        <v>398.29807</v>
      </c>
      <c r="I132" s="118">
        <f t="shared" si="20"/>
        <v>450.22497199999998</v>
      </c>
      <c r="J132" s="118">
        <f t="shared" si="20"/>
        <v>431.86105500000002</v>
      </c>
      <c r="K132" s="118">
        <f t="shared" si="20"/>
        <v>412.90246999999999</v>
      </c>
      <c r="L132" s="118">
        <f t="shared" si="20"/>
        <v>403.39569899999998</v>
      </c>
      <c r="M132" s="118">
        <f t="shared" si="20"/>
        <v>459.10503999999997</v>
      </c>
      <c r="N132" s="118">
        <f t="shared" si="20"/>
        <v>544.99686299999996</v>
      </c>
      <c r="O132" s="118">
        <f t="shared" si="20"/>
        <v>733.34894599999996</v>
      </c>
    </row>
    <row r="133" spans="1:15" ht="14.25">
      <c r="A133" s="207"/>
      <c r="B133" s="126" t="s">
        <v>75</v>
      </c>
      <c r="C133" s="127">
        <f>C120+C121+C123</f>
        <v>121.496702</v>
      </c>
      <c r="D133" s="127">
        <f>D120+D121+D123</f>
        <v>132.469054</v>
      </c>
      <c r="E133" s="127">
        <f t="shared" ref="E133:O133" si="21">E120+E121+E123</f>
        <v>93.246324000000001</v>
      </c>
      <c r="F133" s="127">
        <f t="shared" si="21"/>
        <v>60.668753000000002</v>
      </c>
      <c r="G133" s="127">
        <f t="shared" si="21"/>
        <v>32.393524999999997</v>
      </c>
      <c r="H133" s="127">
        <f t="shared" si="21"/>
        <v>28.980339000000001</v>
      </c>
      <c r="I133" s="127">
        <f t="shared" si="21"/>
        <v>54.403029000000004</v>
      </c>
      <c r="J133" s="127">
        <f t="shared" si="21"/>
        <v>47.337153999999998</v>
      </c>
      <c r="K133" s="127">
        <f t="shared" si="21"/>
        <v>40.752212</v>
      </c>
      <c r="L133" s="127">
        <f t="shared" si="21"/>
        <v>36.577028999999996</v>
      </c>
      <c r="M133" s="127">
        <f t="shared" si="21"/>
        <v>47.925082000000003</v>
      </c>
      <c r="N133" s="127">
        <f t="shared" si="21"/>
        <v>77.204378999999989</v>
      </c>
      <c r="O133" s="127">
        <f t="shared" si="21"/>
        <v>124.68270699999999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jul.-22</v>
      </c>
      <c r="D134" s="111" t="str">
        <f>TEXT(EDATE($A$2,-11),"mmm")&amp;".-"&amp;TEXT(EDATE($A$2,-11),"aa")</f>
        <v>ago.-22</v>
      </c>
      <c r="E134" s="111" t="str">
        <f>TEXT(EDATE($A$2,-10),"mmm")&amp;".-"&amp;TEXT(EDATE($A$2,-10),"aa")</f>
        <v>sep.-22</v>
      </c>
      <c r="F134" s="111" t="str">
        <f>TEXT(EDATE($A$2,-9),"mmm")&amp;".-"&amp;TEXT(EDATE($A$2,-9),"aa")</f>
        <v>oct.-22</v>
      </c>
      <c r="G134" s="111" t="str">
        <f>TEXT(EDATE($A$2,-8),"mmm")&amp;".-"&amp;TEXT(EDATE($A$2,-8),"aa")</f>
        <v>nov.-22</v>
      </c>
      <c r="H134" s="111" t="str">
        <f>TEXT(EDATE($A$2,-7),"mmm")&amp;".-"&amp;TEXT(EDATE($A$2,-7),"aa")</f>
        <v>dic.-22</v>
      </c>
      <c r="I134" s="111" t="str">
        <f>TEXT(EDATE($A$2,-6),"mmm")&amp;".-"&amp;TEXT(EDATE($A$2,-6),"aa")</f>
        <v>ene.-23</v>
      </c>
      <c r="J134" s="111" t="str">
        <f>TEXT(EDATE($A$2,-5),"mmm")&amp;".-"&amp;TEXT(EDATE($A$2,-5),"aa")</f>
        <v>feb.-23</v>
      </c>
      <c r="K134" s="111" t="str">
        <f>TEXT(EDATE($A$2,-4),"mmm")&amp;".-"&amp;TEXT(EDATE($A$2,-4),"aa")</f>
        <v>mar.-23</v>
      </c>
      <c r="L134" s="111" t="str">
        <f>TEXT(EDATE($A$2,-3),"mmm")&amp;".-"&amp;TEXT(EDATE($A$2,-3),"aa")</f>
        <v>abr.-23</v>
      </c>
      <c r="M134" s="111" t="str">
        <f>TEXT(EDATE($A$2,-2),"mmm")&amp;".-"&amp;TEXT(EDATE($A$2,-2),"aa")</f>
        <v>may.-23</v>
      </c>
      <c r="N134" s="111" t="str">
        <f>TEXT(EDATE($A$2,-1),"mmm")&amp;".-"&amp;TEXT(EDATE($A$2,-1),"aa")</f>
        <v>jun.-23</v>
      </c>
      <c r="O134" s="112" t="str">
        <f>TEXT($A$2,"mmm")&amp;".-"&amp;TEXT($A$2,"aa")</f>
        <v>jul.-23</v>
      </c>
    </row>
    <row r="135" spans="1:15" ht="15" customHeight="1">
      <c r="A135" s="206"/>
      <c r="B135" s="105" t="s">
        <v>12</v>
      </c>
      <c r="C135" s="107">
        <f>HLOOKUP(C$117,$86:$115,17,FALSE)</f>
        <v>0.29436099999999998</v>
      </c>
      <c r="D135" s="107">
        <f t="shared" ref="D135:N135" si="22">HLOOKUP(D$117,$86:$115,17,FALSE)</f>
        <v>0.29274699999999998</v>
      </c>
      <c r="E135" s="107">
        <f t="shared" si="22"/>
        <v>0.28892499999999999</v>
      </c>
      <c r="F135" s="107">
        <f t="shared" si="22"/>
        <v>0.29400900000000002</v>
      </c>
      <c r="G135" s="107">
        <f t="shared" si="22"/>
        <v>0.27748800000000001</v>
      </c>
      <c r="H135" s="107">
        <f t="shared" si="22"/>
        <v>0.28856799999999999</v>
      </c>
      <c r="I135" s="107">
        <f t="shared" si="22"/>
        <v>0.27497500000000002</v>
      </c>
      <c r="J135" s="107">
        <f t="shared" si="22"/>
        <v>0.25442500000000001</v>
      </c>
      <c r="K135" s="107">
        <f t="shared" si="22"/>
        <v>0.29023300000000002</v>
      </c>
      <c r="L135" s="107">
        <f t="shared" si="22"/>
        <v>0.27610800000000002</v>
      </c>
      <c r="M135" s="107">
        <f t="shared" si="22"/>
        <v>0.29790899999999998</v>
      </c>
      <c r="N135" s="107">
        <f t="shared" si="22"/>
        <v>0.28383700000000001</v>
      </c>
      <c r="O135" s="144">
        <f>HLOOKUP(O$117,$86:$115,17,FALSE)</f>
        <v>0.30198999999999998</v>
      </c>
    </row>
    <row r="136" spans="1:15">
      <c r="A136" s="206"/>
      <c r="B136" s="105" t="s">
        <v>10</v>
      </c>
      <c r="C136" s="107">
        <f>HLOOKUP(C$117,$86:$115,18,FALSE)+HLOOKUP(C$117,$86:$115,22,FALSE)</f>
        <v>145.15529100000001</v>
      </c>
      <c r="D136" s="107">
        <f>HLOOKUP(D$117,$86:$115,18,FALSE)+HLOOKUP(D$117,$86:$115,22,FALSE)</f>
        <v>144.43334199999998</v>
      </c>
      <c r="E136" s="107">
        <f t="shared" ref="E136:N136" si="23">HLOOKUP(E$117,$86:$115,18,FALSE)+HLOOKUP(E$117,$86:$115,22,FALSE)</f>
        <v>147.13243900000001</v>
      </c>
      <c r="F136" s="107">
        <f t="shared" si="23"/>
        <v>153.67971399999999</v>
      </c>
      <c r="G136" s="107">
        <f t="shared" si="23"/>
        <v>154.14347199999997</v>
      </c>
      <c r="H136" s="107">
        <f t="shared" si="23"/>
        <v>168.09939200000002</v>
      </c>
      <c r="I136" s="107">
        <f t="shared" si="23"/>
        <v>149.65270200000001</v>
      </c>
      <c r="J136" s="107">
        <f t="shared" si="23"/>
        <v>151.161632</v>
      </c>
      <c r="K136" s="107">
        <f t="shared" si="23"/>
        <v>141.34883499999998</v>
      </c>
      <c r="L136" s="107">
        <f t="shared" si="23"/>
        <v>149.84285</v>
      </c>
      <c r="M136" s="107">
        <f t="shared" si="23"/>
        <v>152.65936299999998</v>
      </c>
      <c r="N136" s="107">
        <f t="shared" si="23"/>
        <v>159.42586699999998</v>
      </c>
      <c r="O136" s="124">
        <f>HLOOKUP(O$117,$86:$115,18,FALSE)+HLOOKUP(O$117,$86:$115,22,FALSE)</f>
        <v>147.37140500000001</v>
      </c>
    </row>
    <row r="137" spans="1:15">
      <c r="A137" s="206"/>
      <c r="B137" s="105" t="s">
        <v>9</v>
      </c>
      <c r="C137" s="107">
        <f>HLOOKUP(C$117,$86:$115,19,FALSE)</f>
        <v>19.947948</v>
      </c>
      <c r="D137" s="107">
        <f t="shared" ref="D137:O137" si="24">HLOOKUP(D$117,$86:$115,19,FALSE)</f>
        <v>17.951955999999999</v>
      </c>
      <c r="E137" s="107">
        <f t="shared" si="24"/>
        <v>27.959973000000002</v>
      </c>
      <c r="F137" s="107">
        <f t="shared" si="24"/>
        <v>36.672798</v>
      </c>
      <c r="G137" s="107">
        <f t="shared" si="24"/>
        <v>23.967887999999999</v>
      </c>
      <c r="H137" s="107">
        <f t="shared" si="24"/>
        <v>22.080762</v>
      </c>
      <c r="I137" s="107">
        <f t="shared" si="24"/>
        <v>14.760491</v>
      </c>
      <c r="J137" s="107">
        <f t="shared" si="24"/>
        <v>26.990496</v>
      </c>
      <c r="K137" s="107">
        <f t="shared" si="24"/>
        <v>16.813075000000001</v>
      </c>
      <c r="L137" s="107">
        <f t="shared" si="24"/>
        <v>21.092299000000001</v>
      </c>
      <c r="M137" s="107">
        <f t="shared" si="24"/>
        <v>23.467611000000002</v>
      </c>
      <c r="N137" s="107">
        <f t="shared" si="24"/>
        <v>20.997603000000002</v>
      </c>
      <c r="O137" s="124">
        <f t="shared" si="24"/>
        <v>15.379733999999999</v>
      </c>
    </row>
    <row r="138" spans="1:15">
      <c r="A138" s="206"/>
      <c r="B138" s="105" t="s">
        <v>8</v>
      </c>
      <c r="C138" s="107">
        <f>HLOOKUP(C$117,$86:$115,20,FALSE)</f>
        <v>73.212086999999997</v>
      </c>
      <c r="D138" s="107">
        <f t="shared" ref="D138:O138" si="25">HLOOKUP(D$117,$86:$115,20,FALSE)</f>
        <v>102.417013</v>
      </c>
      <c r="E138" s="107">
        <f t="shared" si="25"/>
        <v>110.953991</v>
      </c>
      <c r="F138" s="107">
        <f t="shared" si="25"/>
        <v>118.59882</v>
      </c>
      <c r="G138" s="107">
        <f t="shared" si="25"/>
        <v>93.771169</v>
      </c>
      <c r="H138" s="107">
        <f t="shared" si="25"/>
        <v>122.69665500000001</v>
      </c>
      <c r="I138" s="107">
        <f t="shared" si="25"/>
        <v>118.030389</v>
      </c>
      <c r="J138" s="107">
        <f t="shared" si="25"/>
        <v>118.052049</v>
      </c>
      <c r="K138" s="107">
        <f t="shared" si="25"/>
        <v>103.679242</v>
      </c>
      <c r="L138" s="107">
        <f t="shared" si="25"/>
        <v>89.164951000000002</v>
      </c>
      <c r="M138" s="107">
        <f t="shared" si="25"/>
        <v>84.880949000000001</v>
      </c>
      <c r="N138" s="107">
        <f t="shared" si="25"/>
        <v>84.905440999999996</v>
      </c>
      <c r="O138" s="124">
        <f t="shared" si="25"/>
        <v>101.065799</v>
      </c>
    </row>
    <row r="139" spans="1:15" ht="14.25">
      <c r="A139" s="206"/>
      <c r="B139" s="105" t="s">
        <v>74</v>
      </c>
      <c r="C139" s="107">
        <f>HLOOKUP(C$117,$86:$115,21,FALSE)</f>
        <v>295.51749599999999</v>
      </c>
      <c r="D139" s="107">
        <f t="shared" ref="D139:O139" si="26">HLOOKUP(D$117,$86:$115,21,FALSE)</f>
        <v>269.79137200000002</v>
      </c>
      <c r="E139" s="107">
        <f t="shared" si="26"/>
        <v>285.29845599999999</v>
      </c>
      <c r="F139" s="107">
        <f t="shared" si="26"/>
        <v>305.38632699999999</v>
      </c>
      <c r="G139" s="107">
        <f t="shared" si="26"/>
        <v>309.74341800000002</v>
      </c>
      <c r="H139" s="107">
        <f t="shared" si="26"/>
        <v>347.66188299999999</v>
      </c>
      <c r="I139" s="107">
        <f t="shared" si="26"/>
        <v>279.418815</v>
      </c>
      <c r="J139" s="107">
        <f t="shared" si="26"/>
        <v>289.33312999999998</v>
      </c>
      <c r="K139" s="107">
        <f t="shared" si="26"/>
        <v>284.83144399999998</v>
      </c>
      <c r="L139" s="107">
        <f t="shared" si="26"/>
        <v>279.54366599999997</v>
      </c>
      <c r="M139" s="107">
        <f t="shared" si="26"/>
        <v>275.34098399999999</v>
      </c>
      <c r="N139" s="107">
        <f t="shared" si="26"/>
        <v>351.45923099999999</v>
      </c>
      <c r="O139" s="124">
        <f t="shared" si="26"/>
        <v>250.52108799999999</v>
      </c>
    </row>
    <row r="140" spans="1:15">
      <c r="A140" s="206"/>
      <c r="B140" s="105" t="s">
        <v>6</v>
      </c>
      <c r="C140" s="107">
        <f>HLOOKUP(C$117,$86:$115,23,FALSE)</f>
        <v>3.5629430000000002</v>
      </c>
      <c r="D140" s="107">
        <f t="shared" ref="D140:O140" si="27">HLOOKUP(D$117,$86:$115,23,FALSE)</f>
        <v>3.5176750000000001</v>
      </c>
      <c r="E140" s="107">
        <f t="shared" si="27"/>
        <v>2.0750950000000001</v>
      </c>
      <c r="F140" s="107">
        <f t="shared" si="27"/>
        <v>1.3500719999999999</v>
      </c>
      <c r="G140" s="107">
        <f t="shared" si="27"/>
        <v>1.1694089999999999</v>
      </c>
      <c r="H140" s="107">
        <f t="shared" si="27"/>
        <v>0.36710399999999999</v>
      </c>
      <c r="I140" s="107">
        <f t="shared" si="27"/>
        <v>1.6495040000000001</v>
      </c>
      <c r="J140" s="107">
        <f t="shared" si="27"/>
        <v>0.82934099999999999</v>
      </c>
      <c r="K140" s="107">
        <f t="shared" si="27"/>
        <v>1.5724450000000001</v>
      </c>
      <c r="L140" s="107">
        <f t="shared" si="27"/>
        <v>1.573337</v>
      </c>
      <c r="M140" s="107">
        <f t="shared" si="27"/>
        <v>2.0671949999999999</v>
      </c>
      <c r="N140" s="107">
        <f t="shared" si="27"/>
        <v>0.80873799999999996</v>
      </c>
      <c r="O140" s="124">
        <f t="shared" si="27"/>
        <v>2.7590569999999999</v>
      </c>
    </row>
    <row r="141" spans="1:15">
      <c r="A141" s="206"/>
      <c r="B141" s="105" t="s">
        <v>5</v>
      </c>
      <c r="C141" s="107">
        <f>HLOOKUP(C$117,$86:$115,24,FALSE)</f>
        <v>181.49906899999999</v>
      </c>
      <c r="D141" s="107">
        <f t="shared" ref="D141:O141" si="28">HLOOKUP(D$117,$86:$115,24,FALSE)</f>
        <v>185.782734</v>
      </c>
      <c r="E141" s="107">
        <f t="shared" si="28"/>
        <v>123.26133799999999</v>
      </c>
      <c r="F141" s="107">
        <f t="shared" si="28"/>
        <v>85.078937999999994</v>
      </c>
      <c r="G141" s="107">
        <f t="shared" si="28"/>
        <v>102.221262</v>
      </c>
      <c r="H141" s="107">
        <f t="shared" si="28"/>
        <v>37.913117999999997</v>
      </c>
      <c r="I141" s="107">
        <f t="shared" si="28"/>
        <v>132.72816599999999</v>
      </c>
      <c r="J141" s="107">
        <f t="shared" si="28"/>
        <v>42.685206000000001</v>
      </c>
      <c r="K141" s="107">
        <f t="shared" si="28"/>
        <v>131.43829199999999</v>
      </c>
      <c r="L141" s="107">
        <f t="shared" si="28"/>
        <v>103.68509299999999</v>
      </c>
      <c r="M141" s="107">
        <f t="shared" si="28"/>
        <v>130.95020099999999</v>
      </c>
      <c r="N141" s="107">
        <f t="shared" si="28"/>
        <v>63.396431</v>
      </c>
      <c r="O141" s="124">
        <f t="shared" si="28"/>
        <v>208.493673</v>
      </c>
    </row>
    <row r="142" spans="1:15">
      <c r="A142" s="206"/>
      <c r="B142" s="105" t="s">
        <v>4</v>
      </c>
      <c r="C142" s="107">
        <f>HLOOKUP(C$117,$86:$115,25,FALSE)</f>
        <v>34.434815</v>
      </c>
      <c r="D142" s="107">
        <f t="shared" ref="D142:O142" si="29">HLOOKUP(D$117,$86:$115,25,FALSE)</f>
        <v>32.263370000000002</v>
      </c>
      <c r="E142" s="107">
        <f t="shared" si="29"/>
        <v>26.538736</v>
      </c>
      <c r="F142" s="107">
        <f t="shared" si="29"/>
        <v>26.753266</v>
      </c>
      <c r="G142" s="107">
        <f t="shared" si="29"/>
        <v>23.169461999999999</v>
      </c>
      <c r="H142" s="107">
        <f t="shared" si="29"/>
        <v>19.006923</v>
      </c>
      <c r="I142" s="107">
        <f t="shared" si="29"/>
        <v>22.065138000000001</v>
      </c>
      <c r="J142" s="107">
        <f t="shared" si="29"/>
        <v>20.222797</v>
      </c>
      <c r="K142" s="107">
        <f t="shared" si="29"/>
        <v>32.125762000000002</v>
      </c>
      <c r="L142" s="107">
        <f t="shared" si="29"/>
        <v>29.890439000000001</v>
      </c>
      <c r="M142" s="107">
        <f t="shared" si="29"/>
        <v>30.462913</v>
      </c>
      <c r="N142" s="107">
        <f t="shared" si="29"/>
        <v>30.366741999999999</v>
      </c>
      <c r="O142" s="124">
        <f t="shared" si="29"/>
        <v>34.304943999999999</v>
      </c>
    </row>
    <row r="143" spans="1:15">
      <c r="A143" s="206"/>
      <c r="B143" s="105" t="s">
        <v>22</v>
      </c>
      <c r="C143" s="107">
        <f>HLOOKUP(C$117,$86:$115,26,FALSE)</f>
        <v>0.688222</v>
      </c>
      <c r="D143" s="107">
        <f t="shared" ref="D143:O143" si="30">HLOOKUP(D$117,$86:$115,26,FALSE)</f>
        <v>0.71531400000000001</v>
      </c>
      <c r="E143" s="107">
        <f t="shared" si="30"/>
        <v>0.714812</v>
      </c>
      <c r="F143" s="107">
        <f t="shared" si="30"/>
        <v>0.73132799999999998</v>
      </c>
      <c r="G143" s="107">
        <f t="shared" si="30"/>
        <v>0.76498500000000003</v>
      </c>
      <c r="H143" s="107">
        <f t="shared" si="30"/>
        <v>0.78453200000000001</v>
      </c>
      <c r="I143" s="107">
        <f t="shared" si="30"/>
        <v>0.78413299999999997</v>
      </c>
      <c r="J143" s="107">
        <f t="shared" si="30"/>
        <v>0.71108700000000002</v>
      </c>
      <c r="K143" s="107">
        <f t="shared" si="30"/>
        <v>0.73842799999999997</v>
      </c>
      <c r="L143" s="107">
        <f t="shared" si="30"/>
        <v>0.63095199999999996</v>
      </c>
      <c r="M143" s="107">
        <f t="shared" si="30"/>
        <v>0.65055600000000002</v>
      </c>
      <c r="N143" s="107">
        <f t="shared" si="30"/>
        <v>0.66513100000000003</v>
      </c>
      <c r="O143" s="124">
        <f t="shared" si="30"/>
        <v>0.64607300000000001</v>
      </c>
    </row>
    <row r="144" spans="1:15">
      <c r="A144" s="206"/>
      <c r="B144" s="117" t="s">
        <v>1</v>
      </c>
      <c r="C144" s="118">
        <f>HLOOKUP(C$117,$86:$115,28,FALSE)</f>
        <v>754.31223199999999</v>
      </c>
      <c r="D144" s="118">
        <f t="shared" ref="D144:O144" si="31">HLOOKUP(D$117,$86:$115,28,FALSE)</f>
        <v>757.16552300000001</v>
      </c>
      <c r="E144" s="118">
        <f t="shared" si="31"/>
        <v>724.22376499999996</v>
      </c>
      <c r="F144" s="118">
        <f t="shared" si="31"/>
        <v>728.54527199999995</v>
      </c>
      <c r="G144" s="118">
        <f t="shared" si="31"/>
        <v>709.22855300000003</v>
      </c>
      <c r="H144" s="118">
        <f t="shared" si="31"/>
        <v>718.89893700000005</v>
      </c>
      <c r="I144" s="118">
        <f t="shared" si="31"/>
        <v>719.36431300000004</v>
      </c>
      <c r="J144" s="118">
        <f t="shared" si="31"/>
        <v>650.24016300000005</v>
      </c>
      <c r="K144" s="118">
        <f t="shared" si="31"/>
        <v>712.83775600000001</v>
      </c>
      <c r="L144" s="118">
        <f t="shared" si="31"/>
        <v>675.69969500000002</v>
      </c>
      <c r="M144" s="118">
        <f t="shared" si="31"/>
        <v>700.77768100000003</v>
      </c>
      <c r="N144" s="118">
        <f t="shared" si="31"/>
        <v>712.30902100000003</v>
      </c>
      <c r="O144" s="118">
        <f t="shared" si="31"/>
        <v>760.84376299999997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238.315326</v>
      </c>
      <c r="D146" s="130">
        <f t="shared" ref="D146:N146" si="32">SUM(D136:D138)</f>
        <v>264.80231099999997</v>
      </c>
      <c r="E146" s="130">
        <f t="shared" si="32"/>
        <v>286.046403</v>
      </c>
      <c r="F146" s="130">
        <f t="shared" si="32"/>
        <v>308.95133199999998</v>
      </c>
      <c r="G146" s="130">
        <f t="shared" si="32"/>
        <v>271.88252899999998</v>
      </c>
      <c r="H146" s="130">
        <f t="shared" si="32"/>
        <v>312.87680900000004</v>
      </c>
      <c r="I146" s="130">
        <f t="shared" si="32"/>
        <v>282.44358199999999</v>
      </c>
      <c r="J146" s="130">
        <f t="shared" si="32"/>
        <v>296.20417700000002</v>
      </c>
      <c r="K146" s="130">
        <f t="shared" si="32"/>
        <v>261.84115199999997</v>
      </c>
      <c r="L146" s="130">
        <f t="shared" si="32"/>
        <v>260.1001</v>
      </c>
      <c r="M146" s="130">
        <f t="shared" si="32"/>
        <v>261.00792300000001</v>
      </c>
      <c r="N146" s="130">
        <f t="shared" si="32"/>
        <v>265.32891099999995</v>
      </c>
      <c r="O146" s="131">
        <f>SUM(O136:O138)</f>
        <v>263.81693800000005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124</v>
      </c>
      <c r="B152" s="159" t="s">
        <v>125</v>
      </c>
      <c r="C152" s="177">
        <v>4.4110000000000003E-2</v>
      </c>
      <c r="D152" s="177">
        <v>-1.6100000000000001E-3</v>
      </c>
      <c r="E152" s="177">
        <v>2.7900000000000001E-2</v>
      </c>
      <c r="F152" s="177">
        <v>1.7819999999999999E-2</v>
      </c>
      <c r="G152" s="177">
        <v>-1.546E-2</v>
      </c>
      <c r="H152" s="177">
        <v>1.2800000000000001E-3</v>
      </c>
      <c r="I152" s="177">
        <v>3.4499999999999999E-3</v>
      </c>
      <c r="J152" s="177">
        <v>-2.019E-2</v>
      </c>
      <c r="K152" s="177">
        <v>5.3699999999999998E-3</v>
      </c>
      <c r="L152" s="177">
        <v>1.25E-3</v>
      </c>
      <c r="M152" s="177">
        <v>-5.4799999999999996E-3</v>
      </c>
      <c r="N152" s="177">
        <v>9.5999999999999992E-3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124</v>
      </c>
      <c r="B158" s="159" t="s">
        <v>125</v>
      </c>
      <c r="C158" s="177">
        <v>8.6599999999999993E-3</v>
      </c>
      <c r="D158" s="177">
        <v>7.5000000000000002E-4</v>
      </c>
      <c r="E158" s="177">
        <v>-8.3400000000000002E-3</v>
      </c>
      <c r="F158" s="177">
        <v>1.6250000000000001E-2</v>
      </c>
      <c r="G158" s="177">
        <v>7.1000000000000004E-3</v>
      </c>
      <c r="H158" s="177">
        <v>1.58E-3</v>
      </c>
      <c r="I158" s="177">
        <v>-7.5000000000000002E-4</v>
      </c>
      <c r="J158" s="177">
        <v>6.2700000000000004E-3</v>
      </c>
      <c r="K158" s="177">
        <v>7.3200000000000001E-3</v>
      </c>
      <c r="L158" s="177">
        <v>2.0500000000000002E-3</v>
      </c>
      <c r="M158" s="177">
        <v>-6.4999999999999997E-4</v>
      </c>
      <c r="N158" s="177">
        <v>5.9199999999999999E-3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V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H25" sqref="H25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Julio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Julio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733.34894599999996</v>
      </c>
      <c r="G9" s="147">
        <f>Dat_01!T24*100</f>
        <v>4.4110628700000003</v>
      </c>
      <c r="H9" s="75">
        <f>Dat_01!U24/1000</f>
        <v>3435.8350449999998</v>
      </c>
      <c r="I9" s="147">
        <f>Dat_01!W24*100</f>
        <v>-1.54557678</v>
      </c>
      <c r="J9" s="75">
        <f>Dat_01!X24/1000</f>
        <v>5987.0108460000001</v>
      </c>
      <c r="K9" s="147">
        <f>Dat_01!Y24*100</f>
        <v>0.53660304999999997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-0.161</v>
      </c>
      <c r="H12" s="94"/>
      <c r="I12" s="94">
        <f>Dat_01!H152*100</f>
        <v>0.128</v>
      </c>
      <c r="J12" s="94"/>
      <c r="K12" s="94">
        <f>Dat_01!L152*100</f>
        <v>0.125</v>
      </c>
    </row>
    <row r="13" spans="3:12">
      <c r="E13" s="77" t="s">
        <v>42</v>
      </c>
      <c r="F13" s="76"/>
      <c r="G13" s="94">
        <f>Dat_01!E152*100</f>
        <v>2.79</v>
      </c>
      <c r="H13" s="94"/>
      <c r="I13" s="94">
        <f>Dat_01!I152*100</f>
        <v>0.34499999999999997</v>
      </c>
      <c r="J13" s="94"/>
      <c r="K13" s="94">
        <f>Dat_01!M152*100</f>
        <v>-0.54799999999999993</v>
      </c>
    </row>
    <row r="14" spans="3:12">
      <c r="E14" s="78" t="s">
        <v>43</v>
      </c>
      <c r="F14" s="79"/>
      <c r="G14" s="95">
        <f>Dat_01!F152*100</f>
        <v>1.7819999999999998</v>
      </c>
      <c r="H14" s="95"/>
      <c r="I14" s="95">
        <f>Dat_01!J152*100</f>
        <v>-2.0190000000000001</v>
      </c>
      <c r="J14" s="95"/>
      <c r="K14" s="95">
        <f>Dat_01!N152*100</f>
        <v>0.96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F9" sqref="F9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Julio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Julio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760.84376300000008</v>
      </c>
      <c r="G9" s="147">
        <f>Dat_01!AB24*100</f>
        <v>0.86589223000000004</v>
      </c>
      <c r="H9" s="75">
        <f>Dat_01!AC24/1000</f>
        <v>4932.072392</v>
      </c>
      <c r="I9" s="147">
        <f>Dat_01!AE24*100</f>
        <v>0.71010899000000005</v>
      </c>
      <c r="J9" s="75">
        <f>Dat_01!AF24/1000</f>
        <v>8570.1344420000005</v>
      </c>
      <c r="K9" s="147">
        <f>Dat_01!AG24*100</f>
        <v>0.73237732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7.4999999999999997E-2</v>
      </c>
      <c r="H12" s="94"/>
      <c r="I12" s="94">
        <f>Dat_01!H158*100</f>
        <v>0.158</v>
      </c>
      <c r="J12" s="94"/>
      <c r="K12" s="94">
        <f>Dat_01!L158*100</f>
        <v>0.20500000000000002</v>
      </c>
    </row>
    <row r="13" spans="3:12">
      <c r="E13" s="77" t="s">
        <v>42</v>
      </c>
      <c r="F13" s="76"/>
      <c r="G13" s="94">
        <f>Dat_01!E158*100</f>
        <v>-0.83400000000000007</v>
      </c>
      <c r="H13" s="94"/>
      <c r="I13" s="94">
        <f>Dat_01!I158*100</f>
        <v>-7.4999999999999997E-2</v>
      </c>
      <c r="J13" s="94"/>
      <c r="K13" s="94">
        <f>Dat_01!M158*100</f>
        <v>-6.5000000000000002E-2</v>
      </c>
    </row>
    <row r="14" spans="3:12">
      <c r="E14" s="78" t="s">
        <v>43</v>
      </c>
      <c r="F14" s="79"/>
      <c r="G14" s="95">
        <f>Dat_01!F158*100</f>
        <v>1.625</v>
      </c>
      <c r="H14" s="95"/>
      <c r="I14" s="95">
        <f>Dat_01!J158*100</f>
        <v>0.627</v>
      </c>
      <c r="J14" s="95"/>
      <c r="K14" s="95">
        <f>Dat_01!N158*100</f>
        <v>0.59199999999999997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131</v>
      </c>
    </row>
    <row r="2" spans="1:2">
      <c r="A2" t="s">
        <v>126</v>
      </c>
    </row>
    <row r="3" spans="1:2">
      <c r="A3" t="s">
        <v>129</v>
      </c>
    </row>
    <row r="4" spans="1:2">
      <c r="A4" t="s">
        <v>132</v>
      </c>
    </row>
    <row r="5" spans="1:2">
      <c r="A5" t="s">
        <v>127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Julio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0.30199000000000004</v>
      </c>
      <c r="I9" s="14">
        <f>IF(Dat_01!AB8*100=-100,"-",Dat_01!AB8*100)</f>
        <v>2.5917156100000001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2.7590569999999999</v>
      </c>
      <c r="I10" s="14">
        <f>Dat_01!AB15*100</f>
        <v>-22.562415399999999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0.118565</v>
      </c>
      <c r="G11" s="14">
        <f>Dat_01!T16*100</f>
        <v>291.44573937999996</v>
      </c>
      <c r="H11" s="138">
        <f>Dat_01!Z16/1000</f>
        <v>208.493673</v>
      </c>
      <c r="I11" s="14">
        <f>Dat_01!AB16*100</f>
        <v>14.873136349999999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40.355165999999997</v>
      </c>
      <c r="G12" s="14">
        <f>Dat_01!T17*100</f>
        <v>22.031110649999999</v>
      </c>
      <c r="H12" s="138">
        <f>Dat_01!Z17/1000</f>
        <v>34.304944000000006</v>
      </c>
      <c r="I12" s="14">
        <f>Dat_01!AB17*100</f>
        <v>-0.37715028</v>
      </c>
      <c r="J12" s="138" t="s">
        <v>3</v>
      </c>
      <c r="K12" s="14" t="s">
        <v>3</v>
      </c>
      <c r="L12" s="138">
        <f>Dat_01!J17/1000</f>
        <v>8.1359999999999991E-3</v>
      </c>
      <c r="M12" s="14">
        <f>IF(Dat_01!L17*100=-100,"-",Dat_01!L17*100)</f>
        <v>1.26960418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3.7238E-2</v>
      </c>
      <c r="G13" s="14">
        <f>Dat_01!T18*100</f>
        <v>-60.854848199999999</v>
      </c>
      <c r="H13" s="138">
        <f>Dat_01!Z18/1000</f>
        <v>0.64607300000000001</v>
      </c>
      <c r="I13" s="14">
        <f>IF(Dat_01!AB18*100=-100,"-",Dat_01!AB18*100)</f>
        <v>-6.1243319700000001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12.5411815</v>
      </c>
      <c r="G14" s="14">
        <f>Dat_01!T21*100</f>
        <v>-22.39687468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0.42359399999999997</v>
      </c>
      <c r="M14" s="14">
        <f>Dat_01!L21*100</f>
        <v>-21.51495332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53.052150499999996</v>
      </c>
      <c r="G15" s="156">
        <f>((SUM(Dat_01!R8,Dat_01!R15:R18,Dat_01!R20)/SUM(Dat_01!S8,Dat_01!S15:S18,Dat_01!S20))-1)*100</f>
        <v>7.4895086235762687</v>
      </c>
      <c r="H15" s="155">
        <f>SUM(H9:H14)</f>
        <v>246.50573700000001</v>
      </c>
      <c r="I15" s="156">
        <f>((SUM(Dat_01!Z8,Dat_01!Z15:Z18,Dat_01!Z20)/SUM(Dat_01!AA8,Dat_01!AA15:AA18,Dat_01!AA20))-1)*100</f>
        <v>11.804425184192935</v>
      </c>
      <c r="J15" s="155" t="s">
        <v>3</v>
      </c>
      <c r="K15" s="156" t="s">
        <v>3</v>
      </c>
      <c r="L15" s="156">
        <f>SUM(L9:L14)</f>
        <v>0.43172999999999995</v>
      </c>
      <c r="M15" s="156">
        <f>((SUM(Dat_01!J8,Dat_01!J15:J18,Dat_01!J21)/SUM(Dat_01!K8,Dat_01!K15:K18,Dat_01!K20))-1)*100</f>
        <v>-21.180764111898366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54.925434000000003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57.618448999999998</v>
      </c>
      <c r="G17" s="20">
        <f>((SUM(Dat_01!R10,Dat_01!R14)/SUM(Dat_01!S10,Dat_01!S14))-1)*100</f>
        <v>-6.6551365430563392</v>
      </c>
      <c r="H17" s="139">
        <f>SUM(Dat_01!Z10,Dat_01!Z14)/1000</f>
        <v>147.37140500000001</v>
      </c>
      <c r="I17" s="20">
        <f>((SUM(Dat_01!Z10,Dat_01!Z14)/SUM(Dat_01!AA10,Dat_01!AA14))-1)*100</f>
        <v>1.5267194083886215</v>
      </c>
      <c r="J17" s="139">
        <f>Dat_01!B10/1000</f>
        <v>17.019673999999998</v>
      </c>
      <c r="K17" s="20">
        <f>Dat_01!D10*100</f>
        <v>-4.6397569000000001</v>
      </c>
      <c r="L17" s="139">
        <f>Dat_01!J10/1000</f>
        <v>21.083268</v>
      </c>
      <c r="M17" s="20">
        <f>Dat_01!L10*100</f>
        <v>16.870113680000003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67.064257999999995</v>
      </c>
      <c r="G18" s="20">
        <f>Dat_01!T11*100</f>
        <v>12.203361960000001</v>
      </c>
      <c r="H18" s="139">
        <f>Dat_01!Z11/1000</f>
        <v>15.379734000000001</v>
      </c>
      <c r="I18" s="20">
        <f>Dat_01!AB11*100</f>
        <v>-22.900671289999998</v>
      </c>
      <c r="J18" s="139">
        <f>Dat_01!B11/1000</f>
        <v>7.038E-3</v>
      </c>
      <c r="K18" s="20">
        <f>IF(Dat_01!D11=-100%,"-",Dat_01!D11*100)</f>
        <v>-11.749216300000001</v>
      </c>
      <c r="L18" s="139">
        <f>Dat_01!J11/1000</f>
        <v>9.3460000000000001E-3</v>
      </c>
      <c r="M18" s="20">
        <f>IF(Dat_01!L11*100=-100,"-",Dat_01!L11*100)</f>
        <v>153.48521833000001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101.065799</v>
      </c>
      <c r="I19" s="20">
        <f>Dat_01!AB12*100</f>
        <v>38.045236980000006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124.68270699999999</v>
      </c>
      <c r="G20" s="14">
        <f>((SUM(Dat_01!R10:R12,Dat_01!R14)/SUM(Dat_01!S10:S12,Dat_01!S14))-1)*100</f>
        <v>2.6222975171786844</v>
      </c>
      <c r="H20" s="138">
        <f>SUM(H17:H19)</f>
        <v>263.81693800000005</v>
      </c>
      <c r="I20" s="14">
        <f>(H20/(H17/(I17/100+1)+H18/(I18/100+1)+H19/(I19/100+1))-1)*100</f>
        <v>10.700785562102123</v>
      </c>
      <c r="J20" s="138">
        <f>SUM(J17:J19)</f>
        <v>17.026712</v>
      </c>
      <c r="K20" s="14">
        <f>((SUM(Dat_01!B10:B12)/SUM(Dat_01!C10:C12))-1)*100</f>
        <v>-4.6429322287474761</v>
      </c>
      <c r="L20" s="138">
        <f>SUM(L17:L19)</f>
        <v>21.092614000000001</v>
      </c>
      <c r="M20" s="14">
        <f>((SUM(Dat_01!J10:J12)/SUM(Dat_01!K10:K12))-1)*100</f>
        <v>16.8980293900314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316.35504599999996</v>
      </c>
      <c r="G21" s="14">
        <f>Dat_01!T13*100</f>
        <v>-20.305518800000002</v>
      </c>
      <c r="H21" s="138">
        <f>Dat_01!Z13/1000</f>
        <v>250.52108799999999</v>
      </c>
      <c r="I21" s="14">
        <f>Dat_01!AB13*100</f>
        <v>-15.22630931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3.2446030000000001</v>
      </c>
      <c r="G22" s="14">
        <f>Dat_01!T19*100</f>
        <v>176.84963732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12.5411815</v>
      </c>
      <c r="G23" s="14">
        <f>Dat_01!T20*100</f>
        <v>-22.39687468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0.42359399999999997</v>
      </c>
      <c r="M23" s="14">
        <f>Dat_01!L20*100</f>
        <v>-21.51495332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511.74897149999993</v>
      </c>
      <c r="G24" s="156">
        <f>((SUM(Dat_01!R9:R14,Dat_01!R19,Dat_01!R21)/SUM(Dat_01!S9:S14,Dat_01!S19,Dat_01!S21))-1)*100</f>
        <v>-12.667589919855038</v>
      </c>
      <c r="H24" s="140">
        <f>SUM(H16,H20:H23)</f>
        <v>514.33802600000001</v>
      </c>
      <c r="I24" s="156">
        <f>((SUM(Dat_01!Z9:Z14,Dat_01!Z19,Dat_01!Z21)/SUM(Dat_01!AA9:AA14,Dat_01!AA19,Dat_01!AA21))-1)*100</f>
        <v>-3.6518541379608083</v>
      </c>
      <c r="J24" s="140">
        <f>SUM(J16,J20:J23)</f>
        <v>17.026712</v>
      </c>
      <c r="K24" s="156">
        <f>((SUM(Dat_01!B9:B14,Dat_01!B19,Dat_01!B21)/SUM(Dat_01!C9:C14,Dat_01!C19,Dat_01!C21))-1)*100</f>
        <v>-4.6429322287474761</v>
      </c>
      <c r="L24" s="140">
        <f>SUM(L16,L20:L23)</f>
        <v>21.516208000000002</v>
      </c>
      <c r="M24" s="156">
        <f>((SUM(Dat_01!J9:J14,Dat_01!J19,Dat_01!J21)/SUM(Dat_01!K9:K14,Dat_01!K19,Dat_01!K21))-1)*100</f>
        <v>15.782405657031884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168.54782399999999</v>
      </c>
      <c r="G25" s="11">
        <f>Dat_01!T23*100</f>
        <v>151.43955516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733.34894599999996</v>
      </c>
      <c r="G26" s="8">
        <f>Dat_01!T24*100</f>
        <v>4.4110628700000003</v>
      </c>
      <c r="H26" s="142">
        <f>Dat_01!Z24/1000</f>
        <v>760.84376300000008</v>
      </c>
      <c r="I26" s="8">
        <f>Dat_01!AB24*100</f>
        <v>0.86589223000000004</v>
      </c>
      <c r="J26" s="142">
        <f>Dat_01!B24/1000</f>
        <v>17.026712</v>
      </c>
      <c r="K26" s="8">
        <f>Dat_01!D24*100</f>
        <v>-4.6429322299999995</v>
      </c>
      <c r="L26" s="142">
        <f>Dat_01!J24/1000</f>
        <v>21.947937999999997</v>
      </c>
      <c r="M26" s="8">
        <f>Dat_01!L24*100</f>
        <v>14.72410234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29" sqref="H29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Julio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Julio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28" sqref="I28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Julio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L32" sqref="L3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Julio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2023-08-16T08:18:09Z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