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3\FEB\INF_ELABORADA\"/>
    </mc:Choice>
  </mc:AlternateContent>
  <xr:revisionPtr revIDLastSave="0" documentId="13_ncr:1_{543643F2-1CC0-446A-A967-8DA273088D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Dat_01!$A$85:$Q$114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8" l="1"/>
  <c r="G68" i="18" l="1"/>
  <c r="B26" i="18"/>
  <c r="I17" i="22"/>
  <c r="G17" i="22"/>
  <c r="H17" i="22"/>
  <c r="I13" i="22"/>
  <c r="M20" i="22"/>
  <c r="K20" i="22"/>
  <c r="M18" i="22"/>
  <c r="M12" i="22"/>
  <c r="I9" i="22"/>
  <c r="C47" i="18" l="1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4" i="18" s="1"/>
  <c r="O136" i="18" l="1"/>
  <c r="O135" i="18"/>
  <c r="O140" i="18"/>
  <c r="O142" i="18"/>
  <c r="O141" i="18"/>
  <c r="O143" i="18"/>
  <c r="O119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J20" i="22" l="1"/>
  <c r="J24" i="22" s="1"/>
  <c r="L20" i="22"/>
  <c r="L24" i="22" s="1"/>
  <c r="L15" i="22"/>
  <c r="H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O146" i="18" s="1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N140" i="18" l="1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4" i="18" l="1"/>
  <c r="C119" i="18"/>
  <c r="C135" i="18"/>
  <c r="C132" i="18"/>
  <c r="C130" i="18"/>
  <c r="C141" i="18"/>
  <c r="C120" i="18"/>
  <c r="C136" i="18"/>
  <c r="C142" i="18"/>
  <c r="C139" i="18"/>
  <c r="C140" i="18"/>
  <c r="C122" i="18"/>
  <c r="C143" i="18"/>
  <c r="D133" i="18"/>
  <c r="C123" i="18"/>
  <c r="D146" i="18"/>
  <c r="C131" i="18"/>
  <c r="C125" i="18"/>
  <c r="C121" i="18"/>
  <c r="C138" i="18"/>
  <c r="C137" i="18"/>
  <c r="C127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<sst xmlns="http://schemas.openxmlformats.org/spreadsheetml/2006/main" count="424" uniqueCount="128">
  <si>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</si>
  <si>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</si>
  <si>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</si>
  <si>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</si>
  <si>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</si>
  <si>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</si>
  <si>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</si>
  <si>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</si>
  <si>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</si>
  <si>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</si>
  <si>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</si>
  <si>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</si>
  <si>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</si>
  <si>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</si>
  <si>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</si>
  <si>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</si>
  <si>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</si>
  <si>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</si>
  <si>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</si>
  <si>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</si>
  <si>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</si>
  <si>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</si>
  <si>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</si>
  <si>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</si>
  <si>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</si>
  <si>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</si>
  <si>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</si>
  <si>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</si>
  <si>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</si>
  <si>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</si>
  <si>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</si>
  <si>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</si>
  <si>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</si>
  <si>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</si>
  <si>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</si>
  <si>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</si>
  <si>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</si>
  <si>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</si>
  <si>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</si>
  <si>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</si>
  <si>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</si>
  <si>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</si>
  <si>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</si>
  <si>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</si>
  <si>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</si>
  <si>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</si>
  <si>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</si>
  <si>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</si>
  <si>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</si>
  <si>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</si>
  <si>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</si>
  <si>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</si>
  <si>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</si>
  <si>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</si>
  <si>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</si>
  <si>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</si>
  <si>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</si>
  <si>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</si>
  <si>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</si>
  <si>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</si>
  <si>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</si>
  <si>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</si>
  <si>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</si>
  <si>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</si>
  <si>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</si>
  <si>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</si>
  <si>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</si>
  <si>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</si>
  <si>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</si>
  <si>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</si>
  <si>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</si>
  <si>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</si>
  <si>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</si>
  <si>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</si>
  <si>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</si>
  <si>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</si>
  <si>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</si>
  <si>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</si>
  <si>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</si>
  <si>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</si>
  <si>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</si>
  <si>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</si>
  <si>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</si>
  <si>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</si>
  <si>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</si>
  <si>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</si>
  <si>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</si>
  <si>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</si>
  <si>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</si>
  <si>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</si>
  <si>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</si>
  <si>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</si>
  <si>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</si>
  <si>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</si>
  <si>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</si>
  <si>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</si>
  <si>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</si>
  <si>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</si>
  <si>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</si>
  <si>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</si>
  <si>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</si>
  <si>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</si>
  <si>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</si>
  <si>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</si>
  <si>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</si>
  <si>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</si>
  <si>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</si>
  <si>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</si>
  <si>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</si>
  <si>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</si>
  <si>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</si>
  <si>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</si>
  <si>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</si>
  <si>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</si>
  <si>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</si>
  <si>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</si>
  <si>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</si>
  <si>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</si>
  <si>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</si>
  <si>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</si>
  <si>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28/02/2023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</si>
  <si>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ut="03/10/2023 08:04:07" si="2.00000001a898656c766fe46b92ae753f6dc8ab4c12cea8f9b2e8a648dc22c45f5d2befcb31446c95c1a85664d8114946d802b45d4a6fdab87e331afa40187a6c7727285afc0ec99eb06683387615995599f186f10444feec2aa6fe9d0a24d4a96d8d374552d6e95888825e465f5c471d6127c793ad2f5d5d017f9d65ecce0316ede3f7c82018eaded4a554cebaf6b02c4095be75eb61ca472c5a23c4495294366c66.p.3082.0.1.Europe/Madrid.upriv*_1*_pidn2*_7*_session*-lat*_1.0000000152a7a8995a6525c489f689aede0e3dddbc6025e0fe7e6d362b05ff3ac978bf538264d9b21caf4aa4937c3881b7c83ee5d646aa03.000000016e9d9600562452daffc6f0de489431f1bc6025e0559951f8742e65e44410f77226cebf6af6ce5cffd61af639316f45c8e8fe2257.0.1.1.BDEbi.D066E1C611E6257C10D00080EF253B44.0-3082.1.1_-0.1.0_-3082.1.1_5.5.0.*0.00000001fdfa2cb9ee1eef11532fa7155988ba9ec911585aba4d285786c2672c0e4aeee760d023f2.0.23.11*.2*.0400*.31152J.e.00000001fadfda9747955af360fbd52faf24876fc911585a961a534770e07389f6343d1974ad513a.0.10*.131*.122*.122.0.0" msgID="1716E28611EDBF1A0A500080EF75AD9D"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</si>
  <si>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ut="03/10/2023 08:06:58" si="2.00000001a898656c766fe46b92ae753f6dc8ab4c12cea8f9b2e8a648dc22c45f5d2befcb31446c95c1a85664d8114946d802b45d4a6fdab87e331afa40187a6c7727285afc0ec99eb06683387615995599f186f10444feec2aa6fe9d0a24d4a96d8d374552d6e95888825e465f5c471d6127c793ad2f5d5d017f9d65ecce0316ede3f7c82018eaded4a554cebaf6b02c4095be75eb61ca472c5a23c4495294366c66.p.3082.0.1.Europe/Madrid.upriv*_1*_pidn2*_7*_session*-lat*_1.0000000152a7a8995a6525c489f689aede0e3dddbc6025e0fe7e6d362b05ff3ac978bf538264d9b21caf4aa4937c3881b7c83ee5d646aa03.000000016e9d9600562452daffc6f0de489431f1bc6025e0559951f8742e65e44410f77226cebf6af6ce5cffd61af639316f45c8e8fe2257.0.1.1.BDEbi.D066E1C611E6257C10D00080EF253B44.0-3082.1.1_-0.1.0_-3082.1.1_5.5.0.*0.00000001fdfa2cb9ee1eef11532fa7155988ba9ec911585aba4d285786c2672c0e4aeee760d023f2.0.23.11*.2*.0400*.31152J.e.00000001fadfda9747955af360fbd52faf24876fc911585a961a534770e07389f6343d1974ad513a.0.10*.131*.122*.122.0.0" msgID="28843B4011EDBF1A0A500080EFD56E9D"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nrr="1275" nrc="2400"&gt;&lt;pg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</si>
  <si>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Marzo 2023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</si>
  <si>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ut="03/10/2023 08:17:57" si="2.00000001a898656c766fe46b92ae753f6dc8ab4c12cea8f9b2e8a648dc22c45f5d2befcb31446c95c1a85664d8114946d802b45d4a6fdab87e331afa40187a6c7727285afc0ec99eb06683387615995599f186f10444feec2aa6fe9d0a24d4a96d8d374552d6e95888825e465f5c471d6127c793ad2f5d5d017f9d65ecce0316ede3f7c82018eaded4a554cebaf6b02c4095be75eb61ca472c5a23c4495294366c66.p.3082.0.1.Europe/Madrid.upriv*_1*_pidn2*_7*_session*-lat*_1.0000000152a7a8995a6525c489f689aede0e3dddbc6025e0fe7e6d362b05ff3ac978bf538264d9b21caf4aa4937c3881b7c83ee5d646aa03.000000016e9d9600562452daffc6f0de489431f1bc6025e0559951f8742e65e44410f77226cebf6af6ce5cffd61af639316f45c8e8fe2257.0.1.1.BDEbi.D066E1C611E6257C10D00080EF253B44.0-3082.1.1_-0.1.0_-3082.1.1_5.5.0.*0.00000001fdfa2cb9ee1eef11532fa7155988ba9ec911585aba4d285786c2672c0e4aeee760d023f2.0.23.11*.2*.0400*.31152J.e.00000001fadfda9747955af360fbd52faf24876fc911585a961a534770e07389f6343d1974ad513a.0.10*.131*.122*.122.0.0" msgID="91801E4211EDBF1B0A500080EFE58E9E"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rows="30" cols="17" /&gt;&lt;esdo ews="" ece="" ptn="" /&gt;&lt;/excel&gt;&lt;pgs&gt;&lt;pg rows="27" cols="15" nrr="1818" nrc="1412"&gt;&lt;pg /&gt;&lt;bls&gt;&lt;bl sr="1" sc="1" rfetch="27" cfetch="15" posid="1" darows="0" dacols="1"&gt;&lt;excel&gt;&lt;epo ews="Dat_01" ece="A85" enr="MSTR.Serie_Balance_B.C._Mensual_Baleares_y_Canarias" ptn="" qtn="" rows="30" cols="17" /&gt;&lt;esdo ews="" ece="" ptn="" /&gt;&lt;/excel&gt;&lt;gridRng&gt;&lt;sect id="TITLE_AREA" rngprop="1:1:3:2" /&gt;&lt;sect id="ROWHEADERS_AREA" rngprop="4:1:27:2" /&gt;&lt;sect id="COLUMNHEADERS_AREA" rngprop="1:3:3:15" /&gt;&lt;sect id="DATA_AREA" rngprop="4:3:27:15"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</si>
  <si>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ut="03/10/2023 08:22:57" si="2.0000000163f725d799ad94c4d7d12de0f3ba84f807d1a5152ba412a3d25faa9279bf98bdc4d9fdf6229ec39a0f4bf491d6f57c06718e2f42e0eae4e7d31eff342c7d7b1d723be028619fdadc4b8c01fc596eff8ef752d71be6a616ec235990e16d3fb9a756dc79652c95fe7dfa78d07aa95432bcfa5fa1091fa4846da2796029ac0ae2bf21d8a929399f80af801e70a46927e8c3041db6a052832a5f616fdfef13ef.p.3082.0.1.Europe/Madrid.upriv*_1*_pidn2*_7*_session*-lat*_1.000000016e099b8620b91553a393e3338631ada4bc6025e01642b222da43c49cb09a61f30f4bd917b65998d576553e09ff6e1cefc22f1def.0000000175160ecaf84f34aad60acd6024fd015abc6025e0c6b840185d58bd8b7bd4add302f30e2d52ec8bd338b3dfc4a10dba8c8ce6380f.0.1.1.BDEbi.D066E1C611E6257C10D00080EF253B44.0-3082.1.1_-0.1.0_-3082.1.1_5.5.0.*0.000000014e80830b1bac2f8ceb954b019216011cc911585aa2c5c8374d8f1fe3fb062d5a53677d8d.0.23.11*.2*.0400*.31152J.e.000000019221cd533bf05ae28f095231cc06f749c911585a95e025a8f1f7f1492b1c085a2c5bbcea.0.10*.131*.122*.122.0.0" msgID="7DD4BDFC11EDBF1CCD200080EFB5DC39"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nrr="101" nrc="648"&gt;&lt;pg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</si>
  <si>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ec30850fad0c4854b481b1e3eaaa307f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</si>
  <si>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ut="03/10/2023 08:27:26" si="2.0000000163f725d799ad94c4d7d12de0f3ba84f807d1a5152ba412a3d25faa9279bf98bdc4d9fdf6229ec39a0f4bf491d6f57c06718e2f42e0eae4e7d31eff342c7d7b1d723be028619fdadc4b8c01fc596eff8ef752d71be6a616ec235990e16d3fb9a756dc79652c95fe7dfa78d07aa95432bcfa5fa1091fa4846da2796029ac0ae2bf21d8a929399f80af801e70a46927e8c3041db6a052832a5f616fdfef13ef.p.3082.0.1.Europe/Madrid.upriv*_1*_pidn2*_7*_session*-lat*_1.000000016e099b8620b91553a393e3338631ada4bc6025e01642b222da43c49cb09a61f30f4bd917b65998d576553e09ff6e1cefc22f1def.0000000175160ecaf84f34aad60acd6024fd015abc6025e0c6b840185d58bd8b7bd4add302f30e2d52ec8bd338b3dfc4a10dba8c8ce6380f.0.1.1.BDEbi.D066E1C611E6257C10D00080EF253B44.0-3082.1.1_-0.1.0_-3082.1.1_5.5.0.*0.000000014e80830b1bac2f8ceb954b019216011cc911585aa2c5c8374d8f1fe3fb062d5a53677d8d.0.23.11*.2*.0400*.31152J.e.000000019221cd533bf05ae28f095231cc06f749c911585a95e025a8f1f7f1492b1c085a2c5bbcea.0.10*.131*.122*.122.0.0" msgID="5C265C6F11EDBF1DCD200080EF159C38"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nrr="56" nrc="684"&gt;&lt;pg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</si>
</sst>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16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164" fontId="45" fillId="0" borderId="0" xfId="0" applyNumberFormat="1" applyFont="1"/>
    <xf numFmtId="164" fontId="34" fillId="5" borderId="10" xfId="28" applyAlignment="1">
      <alignment horizontal="right" vertical="center"/>
    </xf>
    <xf numFmtId="10" fontId="34" fillId="5" borderId="10" xfId="17" applyAlignment="1">
      <alignment horizontal="right" vertical="center"/>
    </xf>
    <xf numFmtId="164" fontId="32" fillId="6" borderId="10" xfId="29" applyAlignment="1">
      <alignment horizontal="right" vertical="center"/>
    </xf>
    <xf numFmtId="10" fontId="32" fillId="6" borderId="10" xfId="15" applyAlignment="1">
      <alignment horizontal="right" vertical="center"/>
    </xf>
    <xf numFmtId="165" fontId="34" fillId="5" borderId="10" xfId="16" applyAlignment="1">
      <alignment horizontal="right" vertical="center"/>
    </xf>
    <xf numFmtId="165" fontId="32" fillId="6" borderId="10" xfId="13" applyAlignment="1">
      <alignment horizontal="right" vertical="center"/>
    </xf>
    <xf numFmtId="10" fontId="19" fillId="5" borderId="10" xfId="33" applyAlignment="1">
      <alignment horizontal="right" vertical="center"/>
    </xf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73" fontId="34" fillId="5" borderId="10" xfId="16" applyNumberFormat="1">
      <alignment horizontal="right" vertical="center"/>
    </xf>
    <xf numFmtId="173" fontId="32" fillId="6" borderId="10" xfId="13" applyNumberFormat="1">
      <alignment horizontal="right" vertical="center"/>
    </xf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5934959349593483"/>
                  <c:y val="-8.0691732283464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51219512195122"/>
                  <c:y val="-3.2222244094488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8279418731195175"/>
                  <c:y val="3.0680118110236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5609743294283338"/>
                  <c:y val="0.171568627450980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951219512195122"/>
                  <c:y val="6.0049999999999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8099212598425196"/>
                  <c:y val="-7.27724409448819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1219512195121957"/>
                  <c:y val="-0.157824803149606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6565802445426034"/>
                  <c:y val="-0.136998224486645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3.472378529783597</c:v>
                </c:pt>
                <c:pt idx="2">
                  <c:v>7.479417529313201</c:v>
                </c:pt>
                <c:pt idx="3">
                  <c:v>57.956736324030523</c:v>
                </c:pt>
                <c:pt idx="4">
                  <c:v>0</c:v>
                </c:pt>
                <c:pt idx="5">
                  <c:v>0.70601085695020915</c:v>
                </c:pt>
                <c:pt idx="6">
                  <c:v>2.2742158676495592</c:v>
                </c:pt>
                <c:pt idx="7">
                  <c:v>2.2742158676495592</c:v>
                </c:pt>
                <c:pt idx="8">
                  <c:v>4.2393911342217518E-2</c:v>
                </c:pt>
                <c:pt idx="9">
                  <c:v>5.0024905613163009</c:v>
                </c:pt>
                <c:pt idx="10">
                  <c:v>3.1464129855484052E-2</c:v>
                </c:pt>
                <c:pt idx="11">
                  <c:v>20.760676422109356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2032520325203253"/>
                  <c:y val="-0.11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4390243902439024"/>
                  <c:y val="0.2548039370078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5691056910569104"/>
                  <c:y val="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8373996543115037"/>
                  <c:y val="-0.113264242704956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8.6178861788617889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11.337930489663005</c:v>
                </c:pt>
                <c:pt idx="1">
                  <c:v>6.5526845367289521</c:v>
                </c:pt>
                <c:pt idx="2">
                  <c:v>28.349526858688883</c:v>
                </c:pt>
                <c:pt idx="3">
                  <c:v>38.681521558638835</c:v>
                </c:pt>
                <c:pt idx="4">
                  <c:v>0</c:v>
                </c:pt>
                <c:pt idx="5">
                  <c:v>0.54165411704969657</c:v>
                </c:pt>
                <c:pt idx="6">
                  <c:v>1.7580373147321575</c:v>
                </c:pt>
                <c:pt idx="7">
                  <c:v>1.7580373147321575</c:v>
                </c:pt>
                <c:pt idx="8">
                  <c:v>0.16957539071915131</c:v>
                </c:pt>
                <c:pt idx="9">
                  <c:v>10.750908903528977</c:v>
                </c:pt>
                <c:pt idx="10">
                  <c:v>0.10012351551816834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feb.-22</c:v>
                </c:pt>
                <c:pt idx="1">
                  <c:v>mar.-22</c:v>
                </c:pt>
                <c:pt idx="2">
                  <c:v>abr.-22</c:v>
                </c:pt>
                <c:pt idx="3">
                  <c:v>may.-22</c:v>
                </c:pt>
                <c:pt idx="4">
                  <c:v>jun.-22</c:v>
                </c:pt>
                <c:pt idx="5">
                  <c:v>jul.-22</c:v>
                </c:pt>
                <c:pt idx="6">
                  <c:v>ago.-22</c:v>
                </c:pt>
                <c:pt idx="7">
                  <c:v>sep.-22</c:v>
                </c:pt>
                <c:pt idx="8">
                  <c:v>oct.-22</c:v>
                </c:pt>
                <c:pt idx="9">
                  <c:v>nov.-22</c:v>
                </c:pt>
                <c:pt idx="10">
                  <c:v>dic.-22</c:v>
                </c:pt>
                <c:pt idx="11">
                  <c:v>ene.-23</c:v>
                </c:pt>
                <c:pt idx="12">
                  <c:v>feb.-23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-0.58012699999999995</c:v>
                </c:pt>
                <c:pt idx="1">
                  <c:v>-0.66887300000000005</c:v>
                </c:pt>
                <c:pt idx="2">
                  <c:v>-0.60548299999999999</c:v>
                </c:pt>
                <c:pt idx="3">
                  <c:v>-1.0302370000000001</c:v>
                </c:pt>
                <c:pt idx="4">
                  <c:v>29.141857000000002</c:v>
                </c:pt>
                <c:pt idx="5">
                  <c:v>50.189168000000002</c:v>
                </c:pt>
                <c:pt idx="6">
                  <c:v>5.2653150000000002</c:v>
                </c:pt>
                <c:pt idx="7">
                  <c:v>-0.60380599999999995</c:v>
                </c:pt>
                <c:pt idx="8">
                  <c:v>-0.613232</c:v>
                </c:pt>
                <c:pt idx="9">
                  <c:v>-0.58811800000000003</c:v>
                </c:pt>
                <c:pt idx="10">
                  <c:v>-0.62679200000000002</c:v>
                </c:pt>
                <c:pt idx="11">
                  <c:v>-0.72771799999999998</c:v>
                </c:pt>
                <c:pt idx="12">
                  <c:v>-0.70697299999999996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feb.-22</c:v>
                </c:pt>
                <c:pt idx="1">
                  <c:v>mar.-22</c:v>
                </c:pt>
                <c:pt idx="2">
                  <c:v>abr.-22</c:v>
                </c:pt>
                <c:pt idx="3">
                  <c:v>may.-22</c:v>
                </c:pt>
                <c:pt idx="4">
                  <c:v>jun.-22</c:v>
                </c:pt>
                <c:pt idx="5">
                  <c:v>jul.-22</c:v>
                </c:pt>
                <c:pt idx="6">
                  <c:v>ago.-22</c:v>
                </c:pt>
                <c:pt idx="7">
                  <c:v>sep.-22</c:v>
                </c:pt>
                <c:pt idx="8">
                  <c:v>oct.-22</c:v>
                </c:pt>
                <c:pt idx="9">
                  <c:v>nov.-22</c:v>
                </c:pt>
                <c:pt idx="10">
                  <c:v>dic.-22</c:v>
                </c:pt>
                <c:pt idx="11">
                  <c:v>ene.-23</c:v>
                </c:pt>
                <c:pt idx="12">
                  <c:v>feb.-23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39.304194000000003</c:v>
                </c:pt>
                <c:pt idx="1">
                  <c:v>43.217820000000003</c:v>
                </c:pt>
                <c:pt idx="2">
                  <c:v>55.506872999999999</c:v>
                </c:pt>
                <c:pt idx="3">
                  <c:v>70.042819000000009</c:v>
                </c:pt>
                <c:pt idx="4">
                  <c:v>85.898263999999998</c:v>
                </c:pt>
                <c:pt idx="5">
                  <c:v>121.496702</c:v>
                </c:pt>
                <c:pt idx="6">
                  <c:v>132.46422999999999</c:v>
                </c:pt>
                <c:pt idx="7">
                  <c:v>93.246324000000001</c:v>
                </c:pt>
                <c:pt idx="8">
                  <c:v>60.668753000000002</c:v>
                </c:pt>
                <c:pt idx="9">
                  <c:v>32.393524999999997</c:v>
                </c:pt>
                <c:pt idx="10">
                  <c:v>28.980339000000001</c:v>
                </c:pt>
                <c:pt idx="11">
                  <c:v>54.403029000000004</c:v>
                </c:pt>
                <c:pt idx="12">
                  <c:v>47.337153999999998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feb.-22</c:v>
                </c:pt>
                <c:pt idx="1">
                  <c:v>mar.-22</c:v>
                </c:pt>
                <c:pt idx="2">
                  <c:v>abr.-22</c:v>
                </c:pt>
                <c:pt idx="3">
                  <c:v>may.-22</c:v>
                </c:pt>
                <c:pt idx="4">
                  <c:v>jun.-22</c:v>
                </c:pt>
                <c:pt idx="5">
                  <c:v>jul.-22</c:v>
                </c:pt>
                <c:pt idx="6">
                  <c:v>ago.-22</c:v>
                </c:pt>
                <c:pt idx="7">
                  <c:v>sep.-22</c:v>
                </c:pt>
                <c:pt idx="8">
                  <c:v>oct.-22</c:v>
                </c:pt>
                <c:pt idx="9">
                  <c:v>nov.-22</c:v>
                </c:pt>
                <c:pt idx="10">
                  <c:v>dic.-22</c:v>
                </c:pt>
                <c:pt idx="11">
                  <c:v>ene.-23</c:v>
                </c:pt>
                <c:pt idx="12">
                  <c:v>feb.-23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298.62258500000002</c:v>
                </c:pt>
                <c:pt idx="1">
                  <c:v>331.00133499999998</c:v>
                </c:pt>
                <c:pt idx="2">
                  <c:v>307.42903200000001</c:v>
                </c:pt>
                <c:pt idx="3">
                  <c:v>317.55595499999998</c:v>
                </c:pt>
                <c:pt idx="4">
                  <c:v>367.58788099999998</c:v>
                </c:pt>
                <c:pt idx="5">
                  <c:v>396.959791</c:v>
                </c:pt>
                <c:pt idx="6">
                  <c:v>456.377207</c:v>
                </c:pt>
                <c:pt idx="7">
                  <c:v>377.07382699999999</c:v>
                </c:pt>
                <c:pt idx="8">
                  <c:v>297.32130999999998</c:v>
                </c:pt>
                <c:pt idx="9">
                  <c:v>234.47985499999999</c:v>
                </c:pt>
                <c:pt idx="10">
                  <c:v>251.18496099999999</c:v>
                </c:pt>
                <c:pt idx="11">
                  <c:v>236.33414099999999</c:v>
                </c:pt>
                <c:pt idx="12">
                  <c:v>250.50749099999999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feb.-22</c:v>
                </c:pt>
                <c:pt idx="1">
                  <c:v>mar.-22</c:v>
                </c:pt>
                <c:pt idx="2">
                  <c:v>abr.-22</c:v>
                </c:pt>
                <c:pt idx="3">
                  <c:v>may.-22</c:v>
                </c:pt>
                <c:pt idx="4">
                  <c:v>jun.-22</c:v>
                </c:pt>
                <c:pt idx="5">
                  <c:v>jul.-22</c:v>
                </c:pt>
                <c:pt idx="6">
                  <c:v>ago.-22</c:v>
                </c:pt>
                <c:pt idx="7">
                  <c:v>sep.-22</c:v>
                </c:pt>
                <c:pt idx="8">
                  <c:v>oct.-22</c:v>
                </c:pt>
                <c:pt idx="9">
                  <c:v>nov.-22</c:v>
                </c:pt>
                <c:pt idx="10">
                  <c:v>dic.-22</c:v>
                </c:pt>
                <c:pt idx="11">
                  <c:v>ene.-23</c:v>
                </c:pt>
                <c:pt idx="12">
                  <c:v>feb.-23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0.22824</c:v>
                </c:pt>
                <c:pt idx="1">
                  <c:v>0.33845999999999998</c:v>
                </c:pt>
                <c:pt idx="2">
                  <c:v>0.239788</c:v>
                </c:pt>
                <c:pt idx="3">
                  <c:v>0.16079099999999999</c:v>
                </c:pt>
                <c:pt idx="4">
                  <c:v>6.1122000000000003E-2</c:v>
                </c:pt>
                <c:pt idx="5">
                  <c:v>3.0289E-2</c:v>
                </c:pt>
                <c:pt idx="6">
                  <c:v>3.2219999999999999E-2</c:v>
                </c:pt>
                <c:pt idx="7">
                  <c:v>1.2760000000000001E-2</c:v>
                </c:pt>
                <c:pt idx="8">
                  <c:v>2.8530000000000001E-3</c:v>
                </c:pt>
                <c:pt idx="9">
                  <c:v>2.5883E-2</c:v>
                </c:pt>
                <c:pt idx="10">
                  <c:v>0.100989</c:v>
                </c:pt>
                <c:pt idx="11">
                  <c:v>0.21573000000000001</c:v>
                </c:pt>
                <c:pt idx="12">
                  <c:v>0.18323999999999999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feb.-22</c:v>
                </c:pt>
                <c:pt idx="1">
                  <c:v>mar.-22</c:v>
                </c:pt>
                <c:pt idx="2">
                  <c:v>abr.-22</c:v>
                </c:pt>
                <c:pt idx="3">
                  <c:v>may.-22</c:v>
                </c:pt>
                <c:pt idx="4">
                  <c:v>jun.-22</c:v>
                </c:pt>
                <c:pt idx="5">
                  <c:v>jul.-22</c:v>
                </c:pt>
                <c:pt idx="6">
                  <c:v>ago.-22</c:v>
                </c:pt>
                <c:pt idx="7">
                  <c:v>sep.-22</c:v>
                </c:pt>
                <c:pt idx="8">
                  <c:v>oct.-22</c:v>
                </c:pt>
                <c:pt idx="9">
                  <c:v>nov.-22</c:v>
                </c:pt>
                <c:pt idx="10">
                  <c:v>dic.-22</c:v>
                </c:pt>
                <c:pt idx="11">
                  <c:v>ene.-23</c:v>
                </c:pt>
                <c:pt idx="12">
                  <c:v>feb.-23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17.860306999999999</c:v>
                </c:pt>
                <c:pt idx="1">
                  <c:v>13.718277</c:v>
                </c:pt>
                <c:pt idx="2">
                  <c:v>22.443795999999999</c:v>
                </c:pt>
                <c:pt idx="3">
                  <c:v>27.347473999999998</c:v>
                </c:pt>
                <c:pt idx="4">
                  <c:v>29.225943999999998</c:v>
                </c:pt>
                <c:pt idx="5">
                  <c:v>33.049954</c:v>
                </c:pt>
                <c:pt idx="6">
                  <c:v>29.653044000000001</c:v>
                </c:pt>
                <c:pt idx="7">
                  <c:v>25.055993000000001</c:v>
                </c:pt>
                <c:pt idx="8">
                  <c:v>23.236149000000001</c:v>
                </c:pt>
                <c:pt idx="9">
                  <c:v>17.029163</c:v>
                </c:pt>
                <c:pt idx="10">
                  <c:v>14.799557</c:v>
                </c:pt>
                <c:pt idx="11">
                  <c:v>18.141887000000001</c:v>
                </c:pt>
                <c:pt idx="12">
                  <c:v>21.622358999999999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feb.-22</c:v>
                </c:pt>
                <c:pt idx="1">
                  <c:v>mar.-22</c:v>
                </c:pt>
                <c:pt idx="2">
                  <c:v>abr.-22</c:v>
                </c:pt>
                <c:pt idx="3">
                  <c:v>may.-22</c:v>
                </c:pt>
                <c:pt idx="4">
                  <c:v>jun.-22</c:v>
                </c:pt>
                <c:pt idx="5">
                  <c:v>jul.-22</c:v>
                </c:pt>
                <c:pt idx="6">
                  <c:v>ago.-22</c:v>
                </c:pt>
                <c:pt idx="7">
                  <c:v>sep.-22</c:v>
                </c:pt>
                <c:pt idx="8">
                  <c:v>oct.-22</c:v>
                </c:pt>
                <c:pt idx="9">
                  <c:v>nov.-22</c:v>
                </c:pt>
                <c:pt idx="10">
                  <c:v>dic.-22</c:v>
                </c:pt>
                <c:pt idx="11">
                  <c:v>ene.-23</c:v>
                </c:pt>
                <c:pt idx="12">
                  <c:v>feb.-23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0.28095199999999998</c:v>
                </c:pt>
                <c:pt idx="1">
                  <c:v>0.29118100000000002</c:v>
                </c:pt>
                <c:pt idx="2">
                  <c:v>0.16531499999999999</c:v>
                </c:pt>
                <c:pt idx="3">
                  <c:v>0.166327</c:v>
                </c:pt>
                <c:pt idx="4">
                  <c:v>0.111179</c:v>
                </c:pt>
                <c:pt idx="5">
                  <c:v>9.5128000000000004E-2</c:v>
                </c:pt>
                <c:pt idx="6">
                  <c:v>5.6752999999999998E-2</c:v>
                </c:pt>
                <c:pt idx="7">
                  <c:v>7.1822999999999998E-2</c:v>
                </c:pt>
                <c:pt idx="8">
                  <c:v>9.6991999999999995E-2</c:v>
                </c:pt>
                <c:pt idx="9">
                  <c:v>8.4503999999999996E-2</c:v>
                </c:pt>
                <c:pt idx="10">
                  <c:v>7.7099000000000001E-2</c:v>
                </c:pt>
                <c:pt idx="11">
                  <c:v>9.3608999999999998E-2</c:v>
                </c:pt>
                <c:pt idx="12">
                  <c:v>0.13599800000000001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feb.-22</c:v>
                </c:pt>
                <c:pt idx="1">
                  <c:v>mar.-22</c:v>
                </c:pt>
                <c:pt idx="2">
                  <c:v>abr.-22</c:v>
                </c:pt>
                <c:pt idx="3">
                  <c:v>may.-22</c:v>
                </c:pt>
                <c:pt idx="4">
                  <c:v>jun.-22</c:v>
                </c:pt>
                <c:pt idx="5">
                  <c:v>jul.-22</c:v>
                </c:pt>
                <c:pt idx="6">
                  <c:v>ago.-22</c:v>
                </c:pt>
                <c:pt idx="7">
                  <c:v>sep.-22</c:v>
                </c:pt>
                <c:pt idx="8">
                  <c:v>oct.-22</c:v>
                </c:pt>
                <c:pt idx="9">
                  <c:v>nov.-22</c:v>
                </c:pt>
                <c:pt idx="10">
                  <c:v>dic.-22</c:v>
                </c:pt>
                <c:pt idx="11">
                  <c:v>ene.-23</c:v>
                </c:pt>
                <c:pt idx="12">
                  <c:v>feb.-23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3.0684070000000001</c:v>
                </c:pt>
                <c:pt idx="1">
                  <c:v>3.993204</c:v>
                </c:pt>
                <c:pt idx="2">
                  <c:v>1.8386769999999999</c:v>
                </c:pt>
                <c:pt idx="3">
                  <c:v>1.9461250000000001</c:v>
                </c:pt>
                <c:pt idx="4">
                  <c:v>1.5363420000000001</c:v>
                </c:pt>
                <c:pt idx="5">
                  <c:v>1.1719729999999999</c:v>
                </c:pt>
                <c:pt idx="6">
                  <c:v>5.1333999999999998E-2</c:v>
                </c:pt>
                <c:pt idx="7">
                  <c:v>2.0373130000000002</c:v>
                </c:pt>
                <c:pt idx="8">
                  <c:v>1.826864</c:v>
                </c:pt>
                <c:pt idx="9">
                  <c:v>2.5541079999999998</c:v>
                </c:pt>
                <c:pt idx="10">
                  <c:v>2.6199620000000001</c:v>
                </c:pt>
                <c:pt idx="11">
                  <c:v>3.055609</c:v>
                </c:pt>
                <c:pt idx="12">
                  <c:v>3.0516040000000002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feb.-22</c:v>
                </c:pt>
                <c:pt idx="1">
                  <c:v>mar.-22</c:v>
                </c:pt>
                <c:pt idx="2">
                  <c:v>abr.-22</c:v>
                </c:pt>
                <c:pt idx="3">
                  <c:v>may.-22</c:v>
                </c:pt>
                <c:pt idx="4">
                  <c:v>jun.-22</c:v>
                </c:pt>
                <c:pt idx="5">
                  <c:v>jul.-22</c:v>
                </c:pt>
                <c:pt idx="6">
                  <c:v>ago.-22</c:v>
                </c:pt>
                <c:pt idx="7">
                  <c:v>sep.-22</c:v>
                </c:pt>
                <c:pt idx="8">
                  <c:v>oct.-22</c:v>
                </c:pt>
                <c:pt idx="9">
                  <c:v>nov.-22</c:v>
                </c:pt>
                <c:pt idx="10">
                  <c:v>dic.-22</c:v>
                </c:pt>
                <c:pt idx="11">
                  <c:v>ene.-23</c:v>
                </c:pt>
                <c:pt idx="12">
                  <c:v>feb.-23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5.4414375000000001</c:v>
                </c:pt>
                <c:pt idx="1">
                  <c:v>9.6633200000000006</c:v>
                </c:pt>
                <c:pt idx="2">
                  <c:v>7.8050050000000004</c:v>
                </c:pt>
                <c:pt idx="3">
                  <c:v>11.846197500000001</c:v>
                </c:pt>
                <c:pt idx="4">
                  <c:v>13.186323</c:v>
                </c:pt>
                <c:pt idx="5">
                  <c:v>16.1606655</c:v>
                </c:pt>
                <c:pt idx="6">
                  <c:v>13.6723105</c:v>
                </c:pt>
                <c:pt idx="7">
                  <c:v>13.5816645</c:v>
                </c:pt>
                <c:pt idx="8">
                  <c:v>11.230755</c:v>
                </c:pt>
                <c:pt idx="9">
                  <c:v>10.188828000000001</c:v>
                </c:pt>
                <c:pt idx="10">
                  <c:v>10.4136255</c:v>
                </c:pt>
                <c:pt idx="11">
                  <c:v>7.3618245</c:v>
                </c:pt>
                <c:pt idx="12">
                  <c:v>9.8298860000000001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5.4414375000000001</c:v>
                </c:pt>
                <c:pt idx="1">
                  <c:v>9.6633200000000006</c:v>
                </c:pt>
                <c:pt idx="2">
                  <c:v>7.8050050000000004</c:v>
                </c:pt>
                <c:pt idx="3">
                  <c:v>11.846197500000001</c:v>
                </c:pt>
                <c:pt idx="4">
                  <c:v>13.186323</c:v>
                </c:pt>
                <c:pt idx="5">
                  <c:v>16.1606655</c:v>
                </c:pt>
                <c:pt idx="6">
                  <c:v>13.6723105</c:v>
                </c:pt>
                <c:pt idx="7">
                  <c:v>13.5816645</c:v>
                </c:pt>
                <c:pt idx="8">
                  <c:v>11.230755</c:v>
                </c:pt>
                <c:pt idx="9">
                  <c:v>10.188828000000001</c:v>
                </c:pt>
                <c:pt idx="10">
                  <c:v>10.4136255</c:v>
                </c:pt>
                <c:pt idx="11">
                  <c:v>7.3618245</c:v>
                </c:pt>
                <c:pt idx="12">
                  <c:v>9.8298860000000001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feb.-22</c:v>
                </c:pt>
                <c:pt idx="1">
                  <c:v>mar.-22</c:v>
                </c:pt>
                <c:pt idx="2">
                  <c:v>abr.-22</c:v>
                </c:pt>
                <c:pt idx="3">
                  <c:v>may.-22</c:v>
                </c:pt>
                <c:pt idx="4">
                  <c:v>jun.-22</c:v>
                </c:pt>
                <c:pt idx="5">
                  <c:v>jul.-22</c:v>
                </c:pt>
                <c:pt idx="6">
                  <c:v>ago.-22</c:v>
                </c:pt>
                <c:pt idx="7">
                  <c:v>sep.-22</c:v>
                </c:pt>
                <c:pt idx="8">
                  <c:v>oct.-22</c:v>
                </c:pt>
                <c:pt idx="9">
                  <c:v>nov.-22</c:v>
                </c:pt>
                <c:pt idx="10">
                  <c:v>dic.-22</c:v>
                </c:pt>
                <c:pt idx="11">
                  <c:v>ene.-23</c:v>
                </c:pt>
                <c:pt idx="12">
                  <c:v>feb.-23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27.502502</c:v>
                </c:pt>
                <c:pt idx="1">
                  <c:v>30.689281000000001</c:v>
                </c:pt>
                <c:pt idx="2">
                  <c:v>33.641058999999998</c:v>
                </c:pt>
                <c:pt idx="3">
                  <c:v>32.047055999999998</c:v>
                </c:pt>
                <c:pt idx="4">
                  <c:v>35.225064000000003</c:v>
                </c:pt>
                <c:pt idx="5">
                  <c:v>67.033137999999994</c:v>
                </c:pt>
                <c:pt idx="6">
                  <c:v>77.653036</c:v>
                </c:pt>
                <c:pt idx="7">
                  <c:v>70.647335999999996</c:v>
                </c:pt>
                <c:pt idx="8">
                  <c:v>61.365385000000003</c:v>
                </c:pt>
                <c:pt idx="9">
                  <c:v>55.991686000000001</c:v>
                </c:pt>
                <c:pt idx="10">
                  <c:v>79.778822000000005</c:v>
                </c:pt>
                <c:pt idx="11">
                  <c:v>123.950131</c:v>
                </c:pt>
                <c:pt idx="12">
                  <c:v>89.734262000000001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7.333346456692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4.9019607843137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7235772357723578"/>
                  <c:y val="-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0.13983739837398373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15.25473913564738</c:v>
                </c:pt>
                <c:pt idx="1">
                  <c:v>16.290512273169497</c:v>
                </c:pt>
                <c:pt idx="2">
                  <c:v>15.098325191593903</c:v>
                </c:pt>
                <c:pt idx="3">
                  <c:v>27.072125436775579</c:v>
                </c:pt>
                <c:pt idx="4">
                  <c:v>1.1950025325685545</c:v>
                </c:pt>
                <c:pt idx="5">
                  <c:v>4.7549838992256621E-2</c:v>
                </c:pt>
                <c:pt idx="6">
                  <c:v>0.35412116933706905</c:v>
                </c:pt>
                <c:pt idx="7">
                  <c:v>17.934892067003688</c:v>
                </c:pt>
                <c:pt idx="8">
                  <c:v>6.6371111674677508</c:v>
                </c:pt>
                <c:pt idx="9">
                  <c:v>0.11562118744432925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9837398373983739"/>
                  <c:y val="-3.0825999691215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4959349593495938"/>
                  <c:y val="-0.106711826462868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6.0162729658792651E-2"/>
                  <c:y val="-0.138400301065308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6260175404903654"/>
                  <c:y val="-0.142156669754515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23.268630265612316</c:v>
                </c:pt>
                <c:pt idx="1">
                  <c:v>4.1547016204008322</c:v>
                </c:pt>
                <c:pt idx="2">
                  <c:v>18.171990587795737</c:v>
                </c:pt>
                <c:pt idx="3">
                  <c:v>44.537633693232046</c:v>
                </c:pt>
                <c:pt idx="4">
                  <c:v>0</c:v>
                </c:pt>
                <c:pt idx="5">
                  <c:v>3.9164154662829534E-2</c:v>
                </c:pt>
                <c:pt idx="6">
                  <c:v>0.12766213694497675</c:v>
                </c:pt>
                <c:pt idx="7">
                  <c:v>6.508262816945841</c:v>
                </c:pt>
                <c:pt idx="8">
                  <c:v>3.082495664773985</c:v>
                </c:pt>
                <c:pt idx="9">
                  <c:v>0.10945905963143349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feb.-22</c:v>
                </c:pt>
                <c:pt idx="1">
                  <c:v>mar.-22</c:v>
                </c:pt>
                <c:pt idx="2">
                  <c:v>abr.-22</c:v>
                </c:pt>
                <c:pt idx="3">
                  <c:v>may.-22</c:v>
                </c:pt>
                <c:pt idx="4">
                  <c:v>jun.-22</c:v>
                </c:pt>
                <c:pt idx="5">
                  <c:v>jul.-22</c:v>
                </c:pt>
                <c:pt idx="6">
                  <c:v>ago.-22</c:v>
                </c:pt>
                <c:pt idx="7">
                  <c:v>sep.-22</c:v>
                </c:pt>
                <c:pt idx="8">
                  <c:v>oct.-22</c:v>
                </c:pt>
                <c:pt idx="9">
                  <c:v>nov.-22</c:v>
                </c:pt>
                <c:pt idx="10">
                  <c:v>dic.-22</c:v>
                </c:pt>
                <c:pt idx="11">
                  <c:v>ene.-23</c:v>
                </c:pt>
                <c:pt idx="12">
                  <c:v>feb.-23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0.25058200000000003</c:v>
                </c:pt>
                <c:pt idx="1">
                  <c:v>0.29644599999999999</c:v>
                </c:pt>
                <c:pt idx="2">
                  <c:v>0.27407199999999998</c:v>
                </c:pt>
                <c:pt idx="3">
                  <c:v>0.29880499999999999</c:v>
                </c:pt>
                <c:pt idx="4">
                  <c:v>0.28138299999999999</c:v>
                </c:pt>
                <c:pt idx="5">
                  <c:v>0.29436099999999998</c:v>
                </c:pt>
                <c:pt idx="6">
                  <c:v>0.29274699999999998</c:v>
                </c:pt>
                <c:pt idx="7">
                  <c:v>0.28892499999999999</c:v>
                </c:pt>
                <c:pt idx="8">
                  <c:v>0.29362700000000003</c:v>
                </c:pt>
                <c:pt idx="9">
                  <c:v>0.27748800000000001</c:v>
                </c:pt>
                <c:pt idx="10">
                  <c:v>0.28889599999999999</c:v>
                </c:pt>
                <c:pt idx="11">
                  <c:v>0.27497500000000002</c:v>
                </c:pt>
                <c:pt idx="12">
                  <c:v>0.25442500000000001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feb.-22</c:v>
                </c:pt>
                <c:pt idx="1">
                  <c:v>mar.-22</c:v>
                </c:pt>
                <c:pt idx="2">
                  <c:v>abr.-22</c:v>
                </c:pt>
                <c:pt idx="3">
                  <c:v>may.-22</c:v>
                </c:pt>
                <c:pt idx="4">
                  <c:v>jun.-22</c:v>
                </c:pt>
                <c:pt idx="5">
                  <c:v>jul.-22</c:v>
                </c:pt>
                <c:pt idx="6">
                  <c:v>ago.-22</c:v>
                </c:pt>
                <c:pt idx="7">
                  <c:v>sep.-22</c:v>
                </c:pt>
                <c:pt idx="8">
                  <c:v>oct.-22</c:v>
                </c:pt>
                <c:pt idx="9">
                  <c:v>nov.-22</c:v>
                </c:pt>
                <c:pt idx="10">
                  <c:v>dic.-22</c:v>
                </c:pt>
                <c:pt idx="11">
                  <c:v>ene.-23</c:v>
                </c:pt>
                <c:pt idx="12">
                  <c:v>feb.-23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254.21433599999997</c:v>
                </c:pt>
                <c:pt idx="1">
                  <c:v>285.51521100000002</c:v>
                </c:pt>
                <c:pt idx="2">
                  <c:v>258.29193100000003</c:v>
                </c:pt>
                <c:pt idx="3">
                  <c:v>244.42555600000003</c:v>
                </c:pt>
                <c:pt idx="4">
                  <c:v>215.54716999999999</c:v>
                </c:pt>
                <c:pt idx="5">
                  <c:v>238.316866</c:v>
                </c:pt>
                <c:pt idx="6">
                  <c:v>264.80307199999999</c:v>
                </c:pt>
                <c:pt idx="7">
                  <c:v>286.04636799999997</c:v>
                </c:pt>
                <c:pt idx="8">
                  <c:v>308.95148699999999</c:v>
                </c:pt>
                <c:pt idx="9">
                  <c:v>271.88263999999998</c:v>
                </c:pt>
                <c:pt idx="10">
                  <c:v>312.87707</c:v>
                </c:pt>
                <c:pt idx="11">
                  <c:v>282.44370800000002</c:v>
                </c:pt>
                <c:pt idx="12">
                  <c:v>296.204272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feb.-22</c:v>
                </c:pt>
                <c:pt idx="1">
                  <c:v>mar.-22</c:v>
                </c:pt>
                <c:pt idx="2">
                  <c:v>abr.-22</c:v>
                </c:pt>
                <c:pt idx="3">
                  <c:v>may.-22</c:v>
                </c:pt>
                <c:pt idx="4">
                  <c:v>jun.-22</c:v>
                </c:pt>
                <c:pt idx="5">
                  <c:v>jul.-22</c:v>
                </c:pt>
                <c:pt idx="6">
                  <c:v>ago.-22</c:v>
                </c:pt>
                <c:pt idx="7">
                  <c:v>sep.-22</c:v>
                </c:pt>
                <c:pt idx="8">
                  <c:v>oct.-22</c:v>
                </c:pt>
                <c:pt idx="9">
                  <c:v>nov.-22</c:v>
                </c:pt>
                <c:pt idx="10">
                  <c:v>dic.-22</c:v>
                </c:pt>
                <c:pt idx="11">
                  <c:v>ene.-23</c:v>
                </c:pt>
                <c:pt idx="12">
                  <c:v>feb.-23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285.34500700000001</c:v>
                </c:pt>
                <c:pt idx="1">
                  <c:v>288.52109999999999</c:v>
                </c:pt>
                <c:pt idx="2">
                  <c:v>265.37271800000002</c:v>
                </c:pt>
                <c:pt idx="3">
                  <c:v>303.45663500000001</c:v>
                </c:pt>
                <c:pt idx="4">
                  <c:v>283.58392400000002</c:v>
                </c:pt>
                <c:pt idx="5">
                  <c:v>295.51749599999999</c:v>
                </c:pt>
                <c:pt idx="6">
                  <c:v>269.79137200000002</c:v>
                </c:pt>
                <c:pt idx="7">
                  <c:v>285.29845599999999</c:v>
                </c:pt>
                <c:pt idx="8">
                  <c:v>305.38632699999999</c:v>
                </c:pt>
                <c:pt idx="9">
                  <c:v>309.74341800000002</c:v>
                </c:pt>
                <c:pt idx="10">
                  <c:v>347.66188299999999</c:v>
                </c:pt>
                <c:pt idx="11">
                  <c:v>279.418815</c:v>
                </c:pt>
                <c:pt idx="12">
                  <c:v>289.33312999999998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feb.-22</c:v>
                </c:pt>
                <c:pt idx="1">
                  <c:v>mar.-22</c:v>
                </c:pt>
                <c:pt idx="2">
                  <c:v>abr.-22</c:v>
                </c:pt>
                <c:pt idx="3">
                  <c:v>may.-22</c:v>
                </c:pt>
                <c:pt idx="4">
                  <c:v>jun.-22</c:v>
                </c:pt>
                <c:pt idx="5">
                  <c:v>jul.-22</c:v>
                </c:pt>
                <c:pt idx="6">
                  <c:v>ago.-22</c:v>
                </c:pt>
                <c:pt idx="7">
                  <c:v>sep.-22</c:v>
                </c:pt>
                <c:pt idx="8">
                  <c:v>oct.-22</c:v>
                </c:pt>
                <c:pt idx="9">
                  <c:v>nov.-22</c:v>
                </c:pt>
                <c:pt idx="10">
                  <c:v>dic.-22</c:v>
                </c:pt>
                <c:pt idx="11">
                  <c:v>ene.-23</c:v>
                </c:pt>
                <c:pt idx="12">
                  <c:v>feb.-23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1.4820450000000001</c:v>
                </c:pt>
                <c:pt idx="1">
                  <c:v>2.1263230000000002</c:v>
                </c:pt>
                <c:pt idx="2">
                  <c:v>1.7525280000000001</c:v>
                </c:pt>
                <c:pt idx="3">
                  <c:v>1.9171739999999999</c:v>
                </c:pt>
                <c:pt idx="4">
                  <c:v>2.44956</c:v>
                </c:pt>
                <c:pt idx="5">
                  <c:v>3.5629430000000002</c:v>
                </c:pt>
                <c:pt idx="6">
                  <c:v>3.5176750000000001</c:v>
                </c:pt>
                <c:pt idx="7">
                  <c:v>2.0750950000000001</c:v>
                </c:pt>
                <c:pt idx="8">
                  <c:v>1.3500719999999999</c:v>
                </c:pt>
                <c:pt idx="9">
                  <c:v>1.1694089999999999</c:v>
                </c:pt>
                <c:pt idx="10">
                  <c:v>0.36710399999999999</c:v>
                </c:pt>
                <c:pt idx="11">
                  <c:v>1.6495040000000001</c:v>
                </c:pt>
                <c:pt idx="12">
                  <c:v>0.82934099999999999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feb.-22</c:v>
                </c:pt>
                <c:pt idx="1">
                  <c:v>mar.-22</c:v>
                </c:pt>
                <c:pt idx="2">
                  <c:v>abr.-22</c:v>
                </c:pt>
                <c:pt idx="3">
                  <c:v>may.-22</c:v>
                </c:pt>
                <c:pt idx="4">
                  <c:v>jun.-22</c:v>
                </c:pt>
                <c:pt idx="5">
                  <c:v>jul.-22</c:v>
                </c:pt>
                <c:pt idx="6">
                  <c:v>ago.-22</c:v>
                </c:pt>
                <c:pt idx="7">
                  <c:v>sep.-22</c:v>
                </c:pt>
                <c:pt idx="8">
                  <c:v>oct.-22</c:v>
                </c:pt>
                <c:pt idx="9">
                  <c:v>nov.-22</c:v>
                </c:pt>
                <c:pt idx="10">
                  <c:v>dic.-22</c:v>
                </c:pt>
                <c:pt idx="11">
                  <c:v>ene.-23</c:v>
                </c:pt>
                <c:pt idx="12">
                  <c:v>feb.-23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88.964033999999998</c:v>
                </c:pt>
                <c:pt idx="1">
                  <c:v>109.414616</c:v>
                </c:pt>
                <c:pt idx="2">
                  <c:v>120.73900500000001</c:v>
                </c:pt>
                <c:pt idx="3">
                  <c:v>116.77421</c:v>
                </c:pt>
                <c:pt idx="4">
                  <c:v>159.50470799999999</c:v>
                </c:pt>
                <c:pt idx="5">
                  <c:v>180.96485300000001</c:v>
                </c:pt>
                <c:pt idx="6">
                  <c:v>183.70770899999999</c:v>
                </c:pt>
                <c:pt idx="7">
                  <c:v>123.26133799999999</c:v>
                </c:pt>
                <c:pt idx="8">
                  <c:v>85.114315000000005</c:v>
                </c:pt>
                <c:pt idx="9">
                  <c:v>102.415227</c:v>
                </c:pt>
                <c:pt idx="10">
                  <c:v>37.762255000000003</c:v>
                </c:pt>
                <c:pt idx="11">
                  <c:v>131.99994699999999</c:v>
                </c:pt>
                <c:pt idx="12">
                  <c:v>42.280110000000001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feb.-22</c:v>
                </c:pt>
                <c:pt idx="1">
                  <c:v>mar.-22</c:v>
                </c:pt>
                <c:pt idx="2">
                  <c:v>abr.-22</c:v>
                </c:pt>
                <c:pt idx="3">
                  <c:v>may.-22</c:v>
                </c:pt>
                <c:pt idx="4">
                  <c:v>jun.-22</c:v>
                </c:pt>
                <c:pt idx="5">
                  <c:v>jul.-22</c:v>
                </c:pt>
                <c:pt idx="6">
                  <c:v>ago.-22</c:v>
                </c:pt>
                <c:pt idx="7">
                  <c:v>sep.-22</c:v>
                </c:pt>
                <c:pt idx="8">
                  <c:v>oct.-22</c:v>
                </c:pt>
                <c:pt idx="9">
                  <c:v>nov.-22</c:v>
                </c:pt>
                <c:pt idx="10">
                  <c:v>dic.-22</c:v>
                </c:pt>
                <c:pt idx="11">
                  <c:v>ene.-23</c:v>
                </c:pt>
                <c:pt idx="12">
                  <c:v>feb.-23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18.872744999999998</c:v>
                </c:pt>
                <c:pt idx="1">
                  <c:v>25.047723999999999</c:v>
                </c:pt>
                <c:pt idx="2">
                  <c:v>26.389223999999999</c:v>
                </c:pt>
                <c:pt idx="3">
                  <c:v>32.969079000000001</c:v>
                </c:pt>
                <c:pt idx="4">
                  <c:v>30.72391</c:v>
                </c:pt>
                <c:pt idx="5">
                  <c:v>34.258988000000002</c:v>
                </c:pt>
                <c:pt idx="6">
                  <c:v>32.216773000000003</c:v>
                </c:pt>
                <c:pt idx="7">
                  <c:v>26.500267000000001</c:v>
                </c:pt>
                <c:pt idx="8">
                  <c:v>26.61814</c:v>
                </c:pt>
                <c:pt idx="9">
                  <c:v>23.099277000000001</c:v>
                </c:pt>
                <c:pt idx="10">
                  <c:v>18.862687999999999</c:v>
                </c:pt>
                <c:pt idx="11">
                  <c:v>22.058796999999998</c:v>
                </c:pt>
                <c:pt idx="12">
                  <c:v>20.025044999999999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feb.-22</c:v>
                </c:pt>
                <c:pt idx="1">
                  <c:v>mar.-22</c:v>
                </c:pt>
                <c:pt idx="2">
                  <c:v>abr.-22</c:v>
                </c:pt>
                <c:pt idx="3">
                  <c:v>may.-22</c:v>
                </c:pt>
                <c:pt idx="4">
                  <c:v>jun.-22</c:v>
                </c:pt>
                <c:pt idx="5">
                  <c:v>jul.-22</c:v>
                </c:pt>
                <c:pt idx="6">
                  <c:v>ago.-22</c:v>
                </c:pt>
                <c:pt idx="7">
                  <c:v>sep.-22</c:v>
                </c:pt>
                <c:pt idx="8">
                  <c:v>oct.-22</c:v>
                </c:pt>
                <c:pt idx="9">
                  <c:v>nov.-22</c:v>
                </c:pt>
                <c:pt idx="10">
                  <c:v>dic.-22</c:v>
                </c:pt>
                <c:pt idx="11">
                  <c:v>ene.-23</c:v>
                </c:pt>
                <c:pt idx="12">
                  <c:v>feb.-23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0.72069799999999995</c:v>
                </c:pt>
                <c:pt idx="1">
                  <c:v>0.90984399999999999</c:v>
                </c:pt>
                <c:pt idx="2">
                  <c:v>0.61352399999999996</c:v>
                </c:pt>
                <c:pt idx="3">
                  <c:v>0.72146399999999999</c:v>
                </c:pt>
                <c:pt idx="4">
                  <c:v>0.696106</c:v>
                </c:pt>
                <c:pt idx="5">
                  <c:v>0.688222</c:v>
                </c:pt>
                <c:pt idx="6">
                  <c:v>0.71531400000000001</c:v>
                </c:pt>
                <c:pt idx="7">
                  <c:v>0.714812</c:v>
                </c:pt>
                <c:pt idx="8">
                  <c:v>0.73132799999999998</c:v>
                </c:pt>
                <c:pt idx="9">
                  <c:v>0.76498500000000003</c:v>
                </c:pt>
                <c:pt idx="10">
                  <c:v>0.78453200000000001</c:v>
                </c:pt>
                <c:pt idx="11">
                  <c:v>0.78413299999999997</c:v>
                </c:pt>
                <c:pt idx="12">
                  <c:v>0.71108700000000002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33" sqref="E33"/>
    </sheetView>
  </sheetViews>
  <sheetFormatPr baseColWidth="10" defaultColWidth="11.42578125" defaultRowHeight="12.75"/>
  <cols>
    <col min="1" max="1" width="0.140625" style="84" customWidth="1"/>
    <col min="2" max="2" width="2.5703125" style="84" customWidth="1"/>
    <col min="3" max="3" width="16.42578125" style="84" customWidth="1"/>
    <col min="4" max="4" width="4.5703125" style="84" customWidth="1"/>
    <col min="5" max="5" width="95.5703125" style="84" customWidth="1"/>
    <col min="6" max="16384" width="11.425781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Febrero 2023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A58" zoomScaleNormal="100" workbookViewId="0">
      <selection activeCell="D68" sqref="D68:D78"/>
    </sheetView>
  </sheetViews>
  <sheetFormatPr baseColWidth="10" defaultColWidth="11.42578125" defaultRowHeight="12"/>
  <cols>
    <col min="1" max="1" width="10.28515625" style="102" bestFit="1" customWidth="1"/>
    <col min="2" max="2" width="14.5703125" style="102" bestFit="1" customWidth="1"/>
    <col min="3" max="3" width="26.5703125" style="102" bestFit="1" customWidth="1"/>
    <col min="4" max="4" width="22.42578125" style="102" bestFit="1" customWidth="1"/>
    <col min="5" max="5" width="23.5703125" style="102" bestFit="1" customWidth="1"/>
    <col min="6" max="6" width="36.140625" style="102" bestFit="1" customWidth="1"/>
    <col min="7" max="7" width="26.140625" style="102" bestFit="1" customWidth="1"/>
    <col min="8" max="8" width="22.140625" style="102" bestFit="1" customWidth="1"/>
    <col min="9" max="9" width="23.28515625" style="102" bestFit="1" customWidth="1"/>
    <col min="10" max="10" width="31.140625" style="102" bestFit="1" customWidth="1"/>
    <col min="11" max="11" width="30.85546875" style="102" bestFit="1" customWidth="1"/>
    <col min="12" max="12" width="26.85546875" style="102" bestFit="1" customWidth="1"/>
    <col min="13" max="13" width="28" style="102" bestFit="1" customWidth="1"/>
    <col min="14" max="14" width="35.85546875" style="102" bestFit="1" customWidth="1"/>
    <col min="15" max="33" width="14.7109375" style="102" customWidth="1"/>
    <col min="34" max="16384" width="11.42578125" style="102"/>
  </cols>
  <sheetData>
    <row r="1" spans="1:33">
      <c r="A1" s="132" t="s">
        <v>67</v>
      </c>
      <c r="B1" s="132" t="s">
        <v>71</v>
      </c>
    </row>
    <row r="2" spans="1:33">
      <c r="A2" s="133" t="s">
        <v>119</v>
      </c>
      <c r="B2" s="133" t="s">
        <v>120</v>
      </c>
    </row>
    <row r="4" spans="1:33" ht="15">
      <c r="A4" s="134" t="s">
        <v>67</v>
      </c>
      <c r="B4" s="197" t="s">
        <v>119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</row>
    <row r="5" spans="1:33" ht="15">
      <c r="A5" s="134" t="s">
        <v>68</v>
      </c>
      <c r="B5" s="199" t="s">
        <v>15</v>
      </c>
      <c r="C5" s="200"/>
      <c r="D5" s="200"/>
      <c r="E5" s="200"/>
      <c r="F5" s="200"/>
      <c r="G5" s="200"/>
      <c r="H5" s="200"/>
      <c r="I5" s="201"/>
      <c r="J5" s="199" t="s">
        <v>14</v>
      </c>
      <c r="K5" s="200"/>
      <c r="L5" s="200"/>
      <c r="M5" s="200"/>
      <c r="N5" s="200"/>
      <c r="O5" s="200"/>
      <c r="P5" s="200"/>
      <c r="Q5" s="201"/>
      <c r="R5" s="199" t="s">
        <v>57</v>
      </c>
      <c r="S5" s="200"/>
      <c r="T5" s="200"/>
      <c r="U5" s="200"/>
      <c r="V5" s="200"/>
      <c r="W5" s="200"/>
      <c r="X5" s="200"/>
      <c r="Y5" s="201"/>
      <c r="Z5" s="199" t="s">
        <v>58</v>
      </c>
      <c r="AA5" s="200"/>
      <c r="AB5" s="200"/>
      <c r="AC5" s="200"/>
      <c r="AD5" s="200"/>
      <c r="AE5" s="200"/>
      <c r="AF5" s="200"/>
      <c r="AG5" s="200"/>
    </row>
    <row r="6" spans="1:33">
      <c r="A6" s="134" t="s">
        <v>69</v>
      </c>
      <c r="B6" s="180" t="s">
        <v>59</v>
      </c>
      <c r="C6" s="180" t="s">
        <v>60</v>
      </c>
      <c r="D6" s="180" t="s">
        <v>61</v>
      </c>
      <c r="E6" s="180" t="s">
        <v>62</v>
      </c>
      <c r="F6" s="180" t="s">
        <v>63</v>
      </c>
      <c r="G6" s="180" t="s">
        <v>64</v>
      </c>
      <c r="H6" s="180" t="s">
        <v>65</v>
      </c>
      <c r="I6" s="180" t="s">
        <v>66</v>
      </c>
      <c r="J6" s="180" t="s">
        <v>59</v>
      </c>
      <c r="K6" s="180" t="s">
        <v>60</v>
      </c>
      <c r="L6" s="180" t="s">
        <v>61</v>
      </c>
      <c r="M6" s="180" t="s">
        <v>62</v>
      </c>
      <c r="N6" s="180" t="s">
        <v>63</v>
      </c>
      <c r="O6" s="180" t="s">
        <v>64</v>
      </c>
      <c r="P6" s="180" t="s">
        <v>65</v>
      </c>
      <c r="Q6" s="180" t="s">
        <v>66</v>
      </c>
      <c r="R6" s="180" t="s">
        <v>59</v>
      </c>
      <c r="S6" s="180" t="s">
        <v>60</v>
      </c>
      <c r="T6" s="180" t="s">
        <v>61</v>
      </c>
      <c r="U6" s="180" t="s">
        <v>62</v>
      </c>
      <c r="V6" s="180" t="s">
        <v>63</v>
      </c>
      <c r="W6" s="180" t="s">
        <v>64</v>
      </c>
      <c r="X6" s="180" t="s">
        <v>65</v>
      </c>
      <c r="Y6" s="180" t="s">
        <v>66</v>
      </c>
      <c r="Z6" s="180" t="s">
        <v>59</v>
      </c>
      <c r="AA6" s="180" t="s">
        <v>60</v>
      </c>
      <c r="AB6" s="180" t="s">
        <v>61</v>
      </c>
      <c r="AC6" s="180" t="s">
        <v>62</v>
      </c>
      <c r="AD6" s="180" t="s">
        <v>63</v>
      </c>
      <c r="AE6" s="180" t="s">
        <v>64</v>
      </c>
      <c r="AF6" s="180" t="s">
        <v>65</v>
      </c>
      <c r="AG6" s="180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71">
        <v>0</v>
      </c>
      <c r="C8" s="171">
        <v>0</v>
      </c>
      <c r="D8" s="172">
        <v>0</v>
      </c>
      <c r="E8" s="171">
        <v>0</v>
      </c>
      <c r="F8" s="171">
        <v>0</v>
      </c>
      <c r="G8" s="172">
        <v>0</v>
      </c>
      <c r="H8" s="171">
        <v>0</v>
      </c>
      <c r="I8" s="172">
        <v>0</v>
      </c>
      <c r="J8" s="171">
        <v>0</v>
      </c>
      <c r="K8" s="171">
        <v>0</v>
      </c>
      <c r="L8" s="172">
        <v>0</v>
      </c>
      <c r="M8" s="171">
        <v>0</v>
      </c>
      <c r="N8" s="171">
        <v>0</v>
      </c>
      <c r="O8" s="172">
        <v>0</v>
      </c>
      <c r="P8" s="171">
        <v>0</v>
      </c>
      <c r="Q8" s="172">
        <v>0</v>
      </c>
      <c r="R8" s="171">
        <v>0</v>
      </c>
      <c r="S8" s="171">
        <v>0</v>
      </c>
      <c r="T8" s="172">
        <v>0</v>
      </c>
      <c r="U8" s="171">
        <v>0</v>
      </c>
      <c r="V8" s="171">
        <v>0</v>
      </c>
      <c r="W8" s="172">
        <v>0</v>
      </c>
      <c r="X8" s="171">
        <v>0</v>
      </c>
      <c r="Y8" s="172">
        <v>0</v>
      </c>
      <c r="Z8" s="171">
        <v>254.42500000000001</v>
      </c>
      <c r="AA8" s="171">
        <v>250.58199999999999</v>
      </c>
      <c r="AB8" s="172">
        <v>1.53362971E-2</v>
      </c>
      <c r="AC8" s="171">
        <v>529.4</v>
      </c>
      <c r="AD8" s="171">
        <v>544.79499999999996</v>
      </c>
      <c r="AE8" s="172">
        <v>-2.8258335700000001E-2</v>
      </c>
      <c r="AF8" s="171">
        <v>3416.15</v>
      </c>
      <c r="AG8" s="172">
        <v>0.12673236560000001</v>
      </c>
    </row>
    <row r="9" spans="1:33">
      <c r="A9" s="133" t="s">
        <v>11</v>
      </c>
      <c r="B9" s="171">
        <v>0</v>
      </c>
      <c r="C9" s="171">
        <v>0</v>
      </c>
      <c r="D9" s="172">
        <v>0</v>
      </c>
      <c r="E9" s="171">
        <v>0</v>
      </c>
      <c r="F9" s="171">
        <v>0</v>
      </c>
      <c r="G9" s="172">
        <v>0</v>
      </c>
      <c r="H9" s="171">
        <v>0</v>
      </c>
      <c r="I9" s="172">
        <v>0</v>
      </c>
      <c r="J9" s="171">
        <v>0</v>
      </c>
      <c r="K9" s="171">
        <v>0</v>
      </c>
      <c r="L9" s="172">
        <v>0</v>
      </c>
      <c r="M9" s="171">
        <v>0</v>
      </c>
      <c r="N9" s="171">
        <v>0</v>
      </c>
      <c r="O9" s="172">
        <v>0</v>
      </c>
      <c r="P9" s="171">
        <v>0</v>
      </c>
      <c r="Q9" s="172">
        <v>0</v>
      </c>
      <c r="R9" s="171">
        <v>-706.97299999999996</v>
      </c>
      <c r="S9" s="171">
        <v>-580.12699999999995</v>
      </c>
      <c r="T9" s="172">
        <v>0.21865212270000001</v>
      </c>
      <c r="U9" s="171">
        <v>-1434.691</v>
      </c>
      <c r="V9" s="171">
        <v>-1207.5940000000001</v>
      </c>
      <c r="W9" s="172">
        <v>0.18805741000000001</v>
      </c>
      <c r="X9" s="171">
        <v>78425.107999999993</v>
      </c>
      <c r="Y9" s="172">
        <v>0.75707531299999997</v>
      </c>
      <c r="Z9" s="171">
        <v>0</v>
      </c>
      <c r="AA9" s="171">
        <v>0</v>
      </c>
      <c r="AB9" s="172">
        <v>0</v>
      </c>
      <c r="AC9" s="171">
        <v>0</v>
      </c>
      <c r="AD9" s="171">
        <v>0</v>
      </c>
      <c r="AE9" s="172">
        <v>0</v>
      </c>
      <c r="AF9" s="171">
        <v>0</v>
      </c>
      <c r="AG9" s="172">
        <v>0</v>
      </c>
    </row>
    <row r="10" spans="1:33">
      <c r="A10" s="133" t="s">
        <v>78</v>
      </c>
      <c r="B10" s="171">
        <v>15689.355</v>
      </c>
      <c r="C10" s="171">
        <v>15284.855</v>
      </c>
      <c r="D10" s="172">
        <v>2.6464104499999998E-2</v>
      </c>
      <c r="E10" s="171">
        <v>32327.862000000001</v>
      </c>
      <c r="F10" s="171">
        <v>32503.344000000001</v>
      </c>
      <c r="G10" s="172">
        <v>-5.3988906000000001E-3</v>
      </c>
      <c r="H10" s="171">
        <v>194745.299</v>
      </c>
      <c r="I10" s="172">
        <v>-3.5177873999999998E-3</v>
      </c>
      <c r="J10" s="171">
        <v>14004.79</v>
      </c>
      <c r="K10" s="171">
        <v>13723.647000000001</v>
      </c>
      <c r="L10" s="172">
        <v>2.0486026800000001E-2</v>
      </c>
      <c r="M10" s="171">
        <v>29327.356</v>
      </c>
      <c r="N10" s="171">
        <v>29725.492999999999</v>
      </c>
      <c r="O10" s="172">
        <v>-1.3393789600000001E-2</v>
      </c>
      <c r="P10" s="171">
        <v>184175.61799999999</v>
      </c>
      <c r="Q10" s="172">
        <v>-3.9624744099999998E-2</v>
      </c>
      <c r="R10" s="171">
        <v>15008.727000000001</v>
      </c>
      <c r="S10" s="171">
        <v>27287.795999999998</v>
      </c>
      <c r="T10" s="172">
        <v>-0.44998390490000001</v>
      </c>
      <c r="U10" s="171">
        <v>20026.655999999999</v>
      </c>
      <c r="V10" s="171">
        <v>59216.46</v>
      </c>
      <c r="W10" s="172">
        <v>-0.66180592360000001</v>
      </c>
      <c r="X10" s="171">
        <v>362226.00099999999</v>
      </c>
      <c r="Y10" s="172">
        <v>-0.1207241902</v>
      </c>
      <c r="Z10" s="171">
        <v>151171.696</v>
      </c>
      <c r="AA10" s="171">
        <v>129279.228</v>
      </c>
      <c r="AB10" s="172">
        <v>0.1693425026</v>
      </c>
      <c r="AC10" s="171">
        <v>300838.37199999997</v>
      </c>
      <c r="AD10" s="171">
        <v>274255.39399999997</v>
      </c>
      <c r="AE10" s="172">
        <v>9.6927821999999997E-2</v>
      </c>
      <c r="AF10" s="171">
        <v>1781824.38</v>
      </c>
      <c r="AG10" s="172">
        <v>2.53606735E-2</v>
      </c>
    </row>
    <row r="11" spans="1:33">
      <c r="A11" s="133" t="s">
        <v>9</v>
      </c>
      <c r="B11" s="171">
        <v>10.888</v>
      </c>
      <c r="C11" s="171">
        <v>5.024</v>
      </c>
      <c r="D11" s="172">
        <v>1.1671974521999999</v>
      </c>
      <c r="E11" s="171">
        <v>14.613</v>
      </c>
      <c r="F11" s="171">
        <v>39.731999999999999</v>
      </c>
      <c r="G11" s="172">
        <v>-0.63221081239999999</v>
      </c>
      <c r="H11" s="171">
        <v>453.41199999999998</v>
      </c>
      <c r="I11" s="172">
        <v>0.87170839440000003</v>
      </c>
      <c r="J11" s="171">
        <v>2.0529999999999999</v>
      </c>
      <c r="K11" s="171">
        <v>2.1349999999999998</v>
      </c>
      <c r="L11" s="172">
        <v>-3.8407494100000002E-2</v>
      </c>
      <c r="M11" s="171">
        <v>5.5350000000000001</v>
      </c>
      <c r="N11" s="171">
        <v>2.6389999999999998</v>
      </c>
      <c r="O11" s="172">
        <v>1.0973853732000001</v>
      </c>
      <c r="P11" s="171">
        <v>102.788</v>
      </c>
      <c r="Q11" s="172">
        <v>2.8313702101999998</v>
      </c>
      <c r="R11" s="171">
        <v>32328.427</v>
      </c>
      <c r="S11" s="171">
        <v>12016.397999999999</v>
      </c>
      <c r="T11" s="172">
        <v>1.6903592075</v>
      </c>
      <c r="U11" s="171">
        <v>81713.527000000002</v>
      </c>
      <c r="V11" s="171">
        <v>26304.35</v>
      </c>
      <c r="W11" s="172">
        <v>2.1064644061000002</v>
      </c>
      <c r="X11" s="171">
        <v>451312.33</v>
      </c>
      <c r="Y11" s="172">
        <v>1.0116233171</v>
      </c>
      <c r="Z11" s="171">
        <v>26990.495999999999</v>
      </c>
      <c r="AA11" s="171">
        <v>22304.445</v>
      </c>
      <c r="AB11" s="172">
        <v>0.21009493849999999</v>
      </c>
      <c r="AC11" s="171">
        <v>41750.987000000001</v>
      </c>
      <c r="AD11" s="171">
        <v>42428.044999999998</v>
      </c>
      <c r="AE11" s="172">
        <v>-1.5957794000000001E-2</v>
      </c>
      <c r="AF11" s="171">
        <v>260313.91099999999</v>
      </c>
      <c r="AG11" s="172">
        <v>0.17820613020000001</v>
      </c>
    </row>
    <row r="12" spans="1:33">
      <c r="A12" s="133" t="s">
        <v>8</v>
      </c>
      <c r="B12" s="171">
        <v>0</v>
      </c>
      <c r="C12" s="171">
        <v>0</v>
      </c>
      <c r="D12" s="172">
        <v>0</v>
      </c>
      <c r="E12" s="171">
        <v>0</v>
      </c>
      <c r="F12" s="171">
        <v>0</v>
      </c>
      <c r="G12" s="172">
        <v>0</v>
      </c>
      <c r="H12" s="171">
        <v>0</v>
      </c>
      <c r="I12" s="172">
        <v>0</v>
      </c>
      <c r="J12" s="171">
        <v>0</v>
      </c>
      <c r="K12" s="171">
        <v>0</v>
      </c>
      <c r="L12" s="172">
        <v>0</v>
      </c>
      <c r="M12" s="171">
        <v>0</v>
      </c>
      <c r="N12" s="171">
        <v>0</v>
      </c>
      <c r="O12" s="172">
        <v>0</v>
      </c>
      <c r="P12" s="171">
        <v>0</v>
      </c>
      <c r="Q12" s="172">
        <v>0</v>
      </c>
      <c r="R12" s="171">
        <v>0</v>
      </c>
      <c r="S12" s="171">
        <v>0</v>
      </c>
      <c r="T12" s="172">
        <v>0</v>
      </c>
      <c r="U12" s="171">
        <v>0</v>
      </c>
      <c r="V12" s="171">
        <v>0</v>
      </c>
      <c r="W12" s="172">
        <v>0</v>
      </c>
      <c r="X12" s="171">
        <v>0</v>
      </c>
      <c r="Y12" s="172">
        <v>0</v>
      </c>
      <c r="Z12" s="171">
        <v>118052.049</v>
      </c>
      <c r="AA12" s="171">
        <v>102630.663</v>
      </c>
      <c r="AB12" s="172">
        <v>0.15026099949999999</v>
      </c>
      <c r="AC12" s="171">
        <v>236082.43799999999</v>
      </c>
      <c r="AD12" s="171">
        <v>220060.465</v>
      </c>
      <c r="AE12" s="172">
        <v>7.2807139600000001E-2</v>
      </c>
      <c r="AF12" s="171">
        <v>1223256.5490000001</v>
      </c>
      <c r="AG12" s="172">
        <v>0.1051457323</v>
      </c>
    </row>
    <row r="13" spans="1:33">
      <c r="A13" s="133" t="s">
        <v>25</v>
      </c>
      <c r="B13" s="171">
        <v>0</v>
      </c>
      <c r="C13" s="171">
        <v>0</v>
      </c>
      <c r="D13" s="172">
        <v>0</v>
      </c>
      <c r="E13" s="171">
        <v>0</v>
      </c>
      <c r="F13" s="171">
        <v>0</v>
      </c>
      <c r="G13" s="172">
        <v>0</v>
      </c>
      <c r="H13" s="171">
        <v>0</v>
      </c>
      <c r="I13" s="172">
        <v>0</v>
      </c>
      <c r="J13" s="171">
        <v>0</v>
      </c>
      <c r="K13" s="171">
        <v>0</v>
      </c>
      <c r="L13" s="172">
        <v>0</v>
      </c>
      <c r="M13" s="171">
        <v>0</v>
      </c>
      <c r="N13" s="171">
        <v>0</v>
      </c>
      <c r="O13" s="172">
        <v>0</v>
      </c>
      <c r="P13" s="171">
        <v>0</v>
      </c>
      <c r="Q13" s="172">
        <v>0</v>
      </c>
      <c r="R13" s="171">
        <v>250507.49100000001</v>
      </c>
      <c r="S13" s="171">
        <v>298622.58500000002</v>
      </c>
      <c r="T13" s="172">
        <v>-0.16112342609999999</v>
      </c>
      <c r="U13" s="171">
        <v>486841.63199999998</v>
      </c>
      <c r="V13" s="171">
        <v>648709.196</v>
      </c>
      <c r="W13" s="172">
        <v>-0.24952253639999999</v>
      </c>
      <c r="X13" s="171">
        <v>3823812.7859999998</v>
      </c>
      <c r="Y13" s="172">
        <v>3.8170234599999998E-2</v>
      </c>
      <c r="Z13" s="171">
        <v>289333.13</v>
      </c>
      <c r="AA13" s="171">
        <v>285345.00699999998</v>
      </c>
      <c r="AB13" s="172">
        <v>1.3976494799999999E-2</v>
      </c>
      <c r="AC13" s="171">
        <v>568751.94499999995</v>
      </c>
      <c r="AD13" s="171">
        <v>635677.19799999997</v>
      </c>
      <c r="AE13" s="172">
        <v>-0.105281821</v>
      </c>
      <c r="AF13" s="171">
        <v>3523085.2740000002</v>
      </c>
      <c r="AG13" s="172">
        <v>2.1527367E-3</v>
      </c>
    </row>
    <row r="14" spans="1:33">
      <c r="A14" s="133" t="s">
        <v>24</v>
      </c>
      <c r="B14" s="171">
        <v>0</v>
      </c>
      <c r="C14" s="171">
        <v>0</v>
      </c>
      <c r="D14" s="172">
        <v>0</v>
      </c>
      <c r="E14" s="171">
        <v>0</v>
      </c>
      <c r="F14" s="171">
        <v>0</v>
      </c>
      <c r="G14" s="172">
        <v>0</v>
      </c>
      <c r="H14" s="171">
        <v>0</v>
      </c>
      <c r="I14" s="172">
        <v>0</v>
      </c>
      <c r="J14" s="171">
        <v>0</v>
      </c>
      <c r="K14" s="171">
        <v>0</v>
      </c>
      <c r="L14" s="172">
        <v>0</v>
      </c>
      <c r="M14" s="171">
        <v>0</v>
      </c>
      <c r="N14" s="171">
        <v>0</v>
      </c>
      <c r="O14" s="172">
        <v>0</v>
      </c>
      <c r="P14" s="171">
        <v>0</v>
      </c>
      <c r="Q14" s="172">
        <v>0</v>
      </c>
      <c r="R14" s="171">
        <v>0</v>
      </c>
      <c r="S14" s="171">
        <v>0</v>
      </c>
      <c r="T14" s="172">
        <v>0</v>
      </c>
      <c r="U14" s="171">
        <v>0</v>
      </c>
      <c r="V14" s="171">
        <v>0</v>
      </c>
      <c r="W14" s="172">
        <v>0</v>
      </c>
      <c r="X14" s="171">
        <v>12117.501</v>
      </c>
      <c r="Y14" s="172">
        <v>7.6034033000000004E-3</v>
      </c>
      <c r="Z14" s="171">
        <v>-9.9689999999999994</v>
      </c>
      <c r="AA14" s="171">
        <v>0</v>
      </c>
      <c r="AB14" s="172">
        <v>0</v>
      </c>
      <c r="AC14" s="171">
        <v>-23.817</v>
      </c>
      <c r="AD14" s="171">
        <v>0</v>
      </c>
      <c r="AE14" s="172">
        <v>0</v>
      </c>
      <c r="AF14" s="171">
        <v>-89.489000000000004</v>
      </c>
      <c r="AG14" s="172">
        <v>0</v>
      </c>
    </row>
    <row r="15" spans="1:33">
      <c r="A15" s="133" t="s">
        <v>6</v>
      </c>
      <c r="B15" s="171">
        <v>0</v>
      </c>
      <c r="C15" s="171">
        <v>0</v>
      </c>
      <c r="D15" s="172">
        <v>0</v>
      </c>
      <c r="E15" s="171">
        <v>0</v>
      </c>
      <c r="F15" s="171">
        <v>0</v>
      </c>
      <c r="G15" s="172">
        <v>0</v>
      </c>
      <c r="H15" s="171">
        <v>0</v>
      </c>
      <c r="I15" s="172">
        <v>0</v>
      </c>
      <c r="J15" s="171">
        <v>0</v>
      </c>
      <c r="K15" s="171">
        <v>0</v>
      </c>
      <c r="L15" s="172">
        <v>0</v>
      </c>
      <c r="M15" s="171">
        <v>0</v>
      </c>
      <c r="N15" s="171">
        <v>0</v>
      </c>
      <c r="O15" s="172">
        <v>0</v>
      </c>
      <c r="P15" s="171">
        <v>0</v>
      </c>
      <c r="Q15" s="172">
        <v>0</v>
      </c>
      <c r="R15" s="171">
        <v>0</v>
      </c>
      <c r="S15" s="171">
        <v>0</v>
      </c>
      <c r="T15" s="172">
        <v>0</v>
      </c>
      <c r="U15" s="171">
        <v>0</v>
      </c>
      <c r="V15" s="171">
        <v>0</v>
      </c>
      <c r="W15" s="172">
        <v>0</v>
      </c>
      <c r="X15" s="171">
        <v>0</v>
      </c>
      <c r="Y15" s="172">
        <v>0</v>
      </c>
      <c r="Z15" s="171">
        <v>829.34100000000001</v>
      </c>
      <c r="AA15" s="171">
        <v>1482.0450000000001</v>
      </c>
      <c r="AB15" s="172">
        <v>-0.44040767990000002</v>
      </c>
      <c r="AC15" s="171">
        <v>2478.8449999999998</v>
      </c>
      <c r="AD15" s="171">
        <v>2592.9609999999998</v>
      </c>
      <c r="AE15" s="172">
        <v>-4.4009917599999997E-2</v>
      </c>
      <c r="AF15" s="171">
        <v>22766.727999999999</v>
      </c>
      <c r="AG15" s="172">
        <v>-3.0028655500000001E-2</v>
      </c>
    </row>
    <row r="16" spans="1:33">
      <c r="A16" s="133" t="s">
        <v>5</v>
      </c>
      <c r="B16" s="171">
        <v>0</v>
      </c>
      <c r="C16" s="171">
        <v>0</v>
      </c>
      <c r="D16" s="172">
        <v>0</v>
      </c>
      <c r="E16" s="171">
        <v>0</v>
      </c>
      <c r="F16" s="171">
        <v>0</v>
      </c>
      <c r="G16" s="172">
        <v>0</v>
      </c>
      <c r="H16" s="171">
        <v>0</v>
      </c>
      <c r="I16" s="172">
        <v>0</v>
      </c>
      <c r="J16" s="171">
        <v>0</v>
      </c>
      <c r="K16" s="171">
        <v>0</v>
      </c>
      <c r="L16" s="172">
        <v>0</v>
      </c>
      <c r="M16" s="171">
        <v>0</v>
      </c>
      <c r="N16" s="171">
        <v>0</v>
      </c>
      <c r="O16" s="172">
        <v>0</v>
      </c>
      <c r="P16" s="171">
        <v>0</v>
      </c>
      <c r="Q16" s="172">
        <v>0</v>
      </c>
      <c r="R16" s="171">
        <v>183.24</v>
      </c>
      <c r="S16" s="171">
        <v>228.24</v>
      </c>
      <c r="T16" s="172">
        <v>-0.19716088330000001</v>
      </c>
      <c r="U16" s="171">
        <v>398.97</v>
      </c>
      <c r="V16" s="171">
        <v>443.87799999999999</v>
      </c>
      <c r="W16" s="172">
        <v>-0.10117194359999999</v>
      </c>
      <c r="X16" s="171">
        <v>1404.125</v>
      </c>
      <c r="Y16" s="172">
        <v>-0.40059747089999997</v>
      </c>
      <c r="Z16" s="171">
        <v>42280.11</v>
      </c>
      <c r="AA16" s="171">
        <v>88964.034</v>
      </c>
      <c r="AB16" s="172">
        <v>-0.52475053009999995</v>
      </c>
      <c r="AC16" s="171">
        <v>174280.057</v>
      </c>
      <c r="AD16" s="171">
        <v>149089.774</v>
      </c>
      <c r="AE16" s="172">
        <v>0.16896050160000001</v>
      </c>
      <c r="AF16" s="171">
        <v>1393938.2930000001</v>
      </c>
      <c r="AG16" s="172">
        <v>5.0382169900000003E-2</v>
      </c>
    </row>
    <row r="17" spans="1:33">
      <c r="A17" s="133" t="s">
        <v>4</v>
      </c>
      <c r="B17" s="171">
        <v>0</v>
      </c>
      <c r="C17" s="171">
        <v>0</v>
      </c>
      <c r="D17" s="172">
        <v>0</v>
      </c>
      <c r="E17" s="171">
        <v>0</v>
      </c>
      <c r="F17" s="171">
        <v>0</v>
      </c>
      <c r="G17" s="172">
        <v>0</v>
      </c>
      <c r="H17" s="171">
        <v>0</v>
      </c>
      <c r="I17" s="172">
        <v>0</v>
      </c>
      <c r="J17" s="171">
        <v>4.2869999999999999</v>
      </c>
      <c r="K17" s="171">
        <v>4.593</v>
      </c>
      <c r="L17" s="172">
        <v>-6.6623122100000001E-2</v>
      </c>
      <c r="M17" s="171">
        <v>8.6300000000000008</v>
      </c>
      <c r="N17" s="171">
        <v>9.4130000000000003</v>
      </c>
      <c r="O17" s="172">
        <v>-8.3182832299999995E-2</v>
      </c>
      <c r="P17" s="171">
        <v>71.435000000000002</v>
      </c>
      <c r="Q17" s="172">
        <v>0.1802755932</v>
      </c>
      <c r="R17" s="171">
        <v>21622.359</v>
      </c>
      <c r="S17" s="171">
        <v>17860.307000000001</v>
      </c>
      <c r="T17" s="172">
        <v>0.21063758869999999</v>
      </c>
      <c r="U17" s="171">
        <v>39764.245999999999</v>
      </c>
      <c r="V17" s="171">
        <v>32297.651000000002</v>
      </c>
      <c r="W17" s="172">
        <v>0.2311807444</v>
      </c>
      <c r="X17" s="171">
        <v>275323.59700000001</v>
      </c>
      <c r="Y17" s="172">
        <v>0.35942172839999997</v>
      </c>
      <c r="Z17" s="171">
        <v>20025.044999999998</v>
      </c>
      <c r="AA17" s="171">
        <v>18872.744999999999</v>
      </c>
      <c r="AB17" s="172">
        <v>6.1056301E-2</v>
      </c>
      <c r="AC17" s="171">
        <v>42083.841999999997</v>
      </c>
      <c r="AD17" s="171">
        <v>36929.447999999997</v>
      </c>
      <c r="AE17" s="172">
        <v>0.13957408730000001</v>
      </c>
      <c r="AF17" s="171">
        <v>318769.91200000001</v>
      </c>
      <c r="AG17" s="172">
        <v>0.2033298767</v>
      </c>
    </row>
    <row r="18" spans="1:33">
      <c r="A18" s="133" t="s">
        <v>22</v>
      </c>
      <c r="B18" s="171">
        <v>0</v>
      </c>
      <c r="C18" s="171">
        <v>0</v>
      </c>
      <c r="D18" s="172">
        <v>0</v>
      </c>
      <c r="E18" s="171">
        <v>0</v>
      </c>
      <c r="F18" s="171">
        <v>0</v>
      </c>
      <c r="G18" s="172">
        <v>0</v>
      </c>
      <c r="H18" s="171">
        <v>0</v>
      </c>
      <c r="I18" s="172">
        <v>0</v>
      </c>
      <c r="J18" s="171">
        <v>0</v>
      </c>
      <c r="K18" s="171">
        <v>0</v>
      </c>
      <c r="L18" s="172">
        <v>0</v>
      </c>
      <c r="M18" s="171">
        <v>0</v>
      </c>
      <c r="N18" s="171">
        <v>0</v>
      </c>
      <c r="O18" s="172">
        <v>0</v>
      </c>
      <c r="P18" s="171">
        <v>0</v>
      </c>
      <c r="Q18" s="172">
        <v>0</v>
      </c>
      <c r="R18" s="171">
        <v>135.99799999999999</v>
      </c>
      <c r="S18" s="171">
        <v>280.952</v>
      </c>
      <c r="T18" s="172">
        <v>-0.51593866570000002</v>
      </c>
      <c r="U18" s="171">
        <v>229.607</v>
      </c>
      <c r="V18" s="171">
        <v>566.19600000000003</v>
      </c>
      <c r="W18" s="172">
        <v>-0.59447435159999995</v>
      </c>
      <c r="X18" s="171">
        <v>1445.9079999999999</v>
      </c>
      <c r="Y18" s="172">
        <v>-0.27858117929999998</v>
      </c>
      <c r="Z18" s="171">
        <v>711.08699999999999</v>
      </c>
      <c r="AA18" s="171">
        <v>720.69799999999998</v>
      </c>
      <c r="AB18" s="172">
        <v>-1.33356829E-2</v>
      </c>
      <c r="AC18" s="171">
        <v>1495.22</v>
      </c>
      <c r="AD18" s="171">
        <v>1581.229</v>
      </c>
      <c r="AE18" s="172">
        <v>-5.4393765900000002E-2</v>
      </c>
      <c r="AF18" s="171">
        <v>8835.3510000000006</v>
      </c>
      <c r="AG18" s="172">
        <v>2.9592710000000001E-2</v>
      </c>
    </row>
    <row r="19" spans="1:33">
      <c r="A19" s="133" t="s">
        <v>23</v>
      </c>
      <c r="B19" s="171">
        <v>0</v>
      </c>
      <c r="C19" s="171">
        <v>0</v>
      </c>
      <c r="D19" s="172">
        <v>0</v>
      </c>
      <c r="E19" s="171">
        <v>0</v>
      </c>
      <c r="F19" s="171">
        <v>0</v>
      </c>
      <c r="G19" s="172">
        <v>0</v>
      </c>
      <c r="H19" s="171">
        <v>0</v>
      </c>
      <c r="I19" s="172">
        <v>0</v>
      </c>
      <c r="J19" s="171">
        <v>0</v>
      </c>
      <c r="K19" s="171">
        <v>0</v>
      </c>
      <c r="L19" s="172">
        <v>0</v>
      </c>
      <c r="M19" s="171">
        <v>0</v>
      </c>
      <c r="N19" s="171">
        <v>0</v>
      </c>
      <c r="O19" s="172">
        <v>0</v>
      </c>
      <c r="P19" s="171">
        <v>0</v>
      </c>
      <c r="Q19" s="172">
        <v>0</v>
      </c>
      <c r="R19" s="171">
        <v>3051.6039999999998</v>
      </c>
      <c r="S19" s="171">
        <v>3068.4070000000002</v>
      </c>
      <c r="T19" s="172">
        <v>-5.4761313999999997E-3</v>
      </c>
      <c r="U19" s="171">
        <v>6107.2129999999997</v>
      </c>
      <c r="V19" s="171">
        <v>6469.4120000000003</v>
      </c>
      <c r="W19" s="172">
        <v>-5.5986386399999997E-2</v>
      </c>
      <c r="X19" s="171">
        <v>25683.115000000002</v>
      </c>
      <c r="Y19" s="172">
        <v>-0.36895664379999998</v>
      </c>
      <c r="Z19" s="171">
        <v>0</v>
      </c>
      <c r="AA19" s="171">
        <v>0</v>
      </c>
      <c r="AB19" s="172">
        <v>0</v>
      </c>
      <c r="AC19" s="171">
        <v>0</v>
      </c>
      <c r="AD19" s="171">
        <v>0</v>
      </c>
      <c r="AE19" s="172">
        <v>0</v>
      </c>
      <c r="AF19" s="171">
        <v>0</v>
      </c>
      <c r="AG19" s="172">
        <v>0</v>
      </c>
    </row>
    <row r="20" spans="1:33">
      <c r="A20" s="133" t="s">
        <v>54</v>
      </c>
      <c r="B20" s="171">
        <v>0</v>
      </c>
      <c r="C20" s="171">
        <v>0</v>
      </c>
      <c r="D20" s="172">
        <v>0</v>
      </c>
      <c r="E20" s="171">
        <v>0</v>
      </c>
      <c r="F20" s="171">
        <v>0</v>
      </c>
      <c r="G20" s="172">
        <v>0</v>
      </c>
      <c r="H20" s="171">
        <v>0</v>
      </c>
      <c r="I20" s="172">
        <v>0</v>
      </c>
      <c r="J20" s="171">
        <v>444.8725</v>
      </c>
      <c r="K20" s="171">
        <v>582.50149999999996</v>
      </c>
      <c r="L20" s="172">
        <v>-0.23627235290000001</v>
      </c>
      <c r="M20" s="171">
        <v>908.63549999999998</v>
      </c>
      <c r="N20" s="171">
        <v>1101.5145</v>
      </c>
      <c r="O20" s="172">
        <v>-0.1751034598</v>
      </c>
      <c r="P20" s="171">
        <v>5654.4485000000004</v>
      </c>
      <c r="Q20" s="172">
        <v>-6.3404894200000006E-2</v>
      </c>
      <c r="R20" s="171">
        <v>9829.8860000000004</v>
      </c>
      <c r="S20" s="171">
        <v>5441.4375</v>
      </c>
      <c r="T20" s="172">
        <v>0.80648698070000002</v>
      </c>
      <c r="U20" s="171">
        <v>17191.710500000001</v>
      </c>
      <c r="V20" s="171">
        <v>15312.5875</v>
      </c>
      <c r="W20" s="172">
        <v>0.1227175355</v>
      </c>
      <c r="X20" s="171">
        <v>134940.405</v>
      </c>
      <c r="Y20" s="172">
        <v>0.14003472359999999</v>
      </c>
      <c r="Z20" s="171">
        <v>0</v>
      </c>
      <c r="AA20" s="171">
        <v>0</v>
      </c>
      <c r="AB20" s="172">
        <v>0</v>
      </c>
      <c r="AC20" s="171">
        <v>0</v>
      </c>
      <c r="AD20" s="171">
        <v>0</v>
      </c>
      <c r="AE20" s="172">
        <v>0</v>
      </c>
      <c r="AF20" s="171">
        <v>0</v>
      </c>
      <c r="AG20" s="172">
        <v>0</v>
      </c>
    </row>
    <row r="21" spans="1:33">
      <c r="A21" s="133" t="s">
        <v>55</v>
      </c>
      <c r="B21" s="171">
        <v>0</v>
      </c>
      <c r="C21" s="171">
        <v>0</v>
      </c>
      <c r="D21" s="172">
        <v>0</v>
      </c>
      <c r="E21" s="171">
        <v>0</v>
      </c>
      <c r="F21" s="171">
        <v>0</v>
      </c>
      <c r="G21" s="172">
        <v>0</v>
      </c>
      <c r="H21" s="171">
        <v>0</v>
      </c>
      <c r="I21" s="172">
        <v>0</v>
      </c>
      <c r="J21" s="171">
        <v>444.8725</v>
      </c>
      <c r="K21" s="171">
        <v>582.50149999999996</v>
      </c>
      <c r="L21" s="172">
        <v>-0.23627235290000001</v>
      </c>
      <c r="M21" s="171">
        <v>908.63549999999998</v>
      </c>
      <c r="N21" s="171">
        <v>1101.5145</v>
      </c>
      <c r="O21" s="172">
        <v>-0.1751034598</v>
      </c>
      <c r="P21" s="171">
        <v>5654.4485000000004</v>
      </c>
      <c r="Q21" s="172">
        <v>-6.3404894200000006E-2</v>
      </c>
      <c r="R21" s="171">
        <v>9829.8860000000004</v>
      </c>
      <c r="S21" s="171">
        <v>5441.4375</v>
      </c>
      <c r="T21" s="172">
        <v>0.80648698070000002</v>
      </c>
      <c r="U21" s="171">
        <v>17191.710500000001</v>
      </c>
      <c r="V21" s="171">
        <v>15312.5875</v>
      </c>
      <c r="W21" s="172">
        <v>0.1227175355</v>
      </c>
      <c r="X21" s="171">
        <v>134940.405</v>
      </c>
      <c r="Y21" s="172">
        <v>0.14003472359999999</v>
      </c>
      <c r="Z21" s="171">
        <v>0</v>
      </c>
      <c r="AA21" s="171">
        <v>0</v>
      </c>
      <c r="AB21" s="172">
        <v>0</v>
      </c>
      <c r="AC21" s="171">
        <v>0</v>
      </c>
      <c r="AD21" s="171">
        <v>0</v>
      </c>
      <c r="AE21" s="172">
        <v>0</v>
      </c>
      <c r="AF21" s="171">
        <v>0</v>
      </c>
      <c r="AG21" s="172">
        <v>0</v>
      </c>
    </row>
    <row r="22" spans="1:33">
      <c r="A22" s="137" t="s">
        <v>2</v>
      </c>
      <c r="B22" s="173">
        <v>15700.243</v>
      </c>
      <c r="C22" s="173">
        <v>15289.879000000001</v>
      </c>
      <c r="D22" s="174">
        <v>2.68389305E-2</v>
      </c>
      <c r="E22" s="173">
        <v>32342.474999999999</v>
      </c>
      <c r="F22" s="173">
        <v>32543.076000000001</v>
      </c>
      <c r="G22" s="174">
        <v>-6.1641684000000004E-3</v>
      </c>
      <c r="H22" s="173">
        <v>195198.71100000001</v>
      </c>
      <c r="I22" s="174">
        <v>-2.4342604999999999E-3</v>
      </c>
      <c r="J22" s="173">
        <v>14900.875</v>
      </c>
      <c r="K22" s="173">
        <v>14895.378000000001</v>
      </c>
      <c r="L22" s="174">
        <v>3.6904070000000003E-4</v>
      </c>
      <c r="M22" s="173">
        <v>31158.792000000001</v>
      </c>
      <c r="N22" s="173">
        <v>31940.574000000001</v>
      </c>
      <c r="O22" s="174">
        <v>-2.4476141199999999E-2</v>
      </c>
      <c r="P22" s="173">
        <v>195658.73800000001</v>
      </c>
      <c r="Q22" s="174">
        <v>-4.0589753499999999E-2</v>
      </c>
      <c r="R22" s="173">
        <v>341790.64500000002</v>
      </c>
      <c r="S22" s="173">
        <v>369667.43300000002</v>
      </c>
      <c r="T22" s="174">
        <v>-7.5410451399999995E-2</v>
      </c>
      <c r="U22" s="173">
        <v>668030.58100000001</v>
      </c>
      <c r="V22" s="173">
        <v>803424.72400000005</v>
      </c>
      <c r="W22" s="174">
        <v>-0.16852125530000001</v>
      </c>
      <c r="X22" s="173">
        <v>5301631.2810000004</v>
      </c>
      <c r="Y22" s="174">
        <v>9.0758069299999994E-2</v>
      </c>
      <c r="Z22" s="173">
        <v>649637.41</v>
      </c>
      <c r="AA22" s="173">
        <v>649849.44700000004</v>
      </c>
      <c r="AB22" s="174">
        <v>-3.2628630000000001E-4</v>
      </c>
      <c r="AC22" s="173">
        <v>1368267.2890000001</v>
      </c>
      <c r="AD22" s="173">
        <v>1363159.3089999999</v>
      </c>
      <c r="AE22" s="174">
        <v>3.7471628999999999E-3</v>
      </c>
      <c r="AF22" s="173">
        <v>8536117.0590000004</v>
      </c>
      <c r="AG22" s="174">
        <v>3.9955750300000002E-2</v>
      </c>
    </row>
    <row r="23" spans="1:33">
      <c r="A23" s="133" t="s">
        <v>21</v>
      </c>
      <c r="B23" s="171">
        <v>0</v>
      </c>
      <c r="C23" s="171">
        <v>0</v>
      </c>
      <c r="D23" s="172">
        <v>0</v>
      </c>
      <c r="E23" s="171">
        <v>0</v>
      </c>
      <c r="F23" s="171">
        <v>0</v>
      </c>
      <c r="G23" s="172">
        <v>0</v>
      </c>
      <c r="H23" s="171">
        <v>0</v>
      </c>
      <c r="I23" s="172">
        <v>0</v>
      </c>
      <c r="J23" s="171">
        <v>0</v>
      </c>
      <c r="K23" s="171">
        <v>0</v>
      </c>
      <c r="L23" s="172">
        <v>0</v>
      </c>
      <c r="M23" s="171">
        <v>0</v>
      </c>
      <c r="N23" s="171">
        <v>0</v>
      </c>
      <c r="O23" s="172">
        <v>0</v>
      </c>
      <c r="P23" s="171">
        <v>0</v>
      </c>
      <c r="Q23" s="172">
        <v>0</v>
      </c>
      <c r="R23" s="171">
        <v>89734.262000000002</v>
      </c>
      <c r="S23" s="171">
        <v>27502.502</v>
      </c>
      <c r="T23" s="172">
        <v>2.2627672202000002</v>
      </c>
      <c r="U23" s="171">
        <v>213684.39300000001</v>
      </c>
      <c r="V23" s="171">
        <v>58661.841</v>
      </c>
      <c r="W23" s="172">
        <v>2.6426472364000002</v>
      </c>
      <c r="X23" s="171">
        <v>757756.25600000005</v>
      </c>
      <c r="Y23" s="172">
        <v>8.6812112299999994E-2</v>
      </c>
      <c r="Z23" s="171">
        <v>0</v>
      </c>
      <c r="AA23" s="171">
        <v>0</v>
      </c>
      <c r="AB23" s="172">
        <v>0</v>
      </c>
      <c r="AC23" s="171">
        <v>0</v>
      </c>
      <c r="AD23" s="171">
        <v>0</v>
      </c>
      <c r="AE23" s="172">
        <v>0</v>
      </c>
      <c r="AF23" s="171">
        <v>0</v>
      </c>
      <c r="AG23" s="172">
        <v>0</v>
      </c>
    </row>
    <row r="24" spans="1:33">
      <c r="A24" s="137" t="s">
        <v>79</v>
      </c>
      <c r="B24" s="173">
        <v>15700.243</v>
      </c>
      <c r="C24" s="173">
        <v>15289.879000000001</v>
      </c>
      <c r="D24" s="174">
        <v>2.68389305E-2</v>
      </c>
      <c r="E24" s="173">
        <v>32342.474999999999</v>
      </c>
      <c r="F24" s="173">
        <v>32543.076000000001</v>
      </c>
      <c r="G24" s="174">
        <v>-6.1641684000000004E-3</v>
      </c>
      <c r="H24" s="173">
        <v>195198.71100000001</v>
      </c>
      <c r="I24" s="174">
        <v>-2.4342604999999999E-3</v>
      </c>
      <c r="J24" s="173">
        <v>14900.875</v>
      </c>
      <c r="K24" s="173">
        <v>14895.378000000001</v>
      </c>
      <c r="L24" s="174">
        <v>3.6904070000000003E-4</v>
      </c>
      <c r="M24" s="173">
        <v>31158.792000000001</v>
      </c>
      <c r="N24" s="173">
        <v>31940.574000000001</v>
      </c>
      <c r="O24" s="174">
        <v>-2.4476141199999999E-2</v>
      </c>
      <c r="P24" s="173">
        <v>195658.73800000001</v>
      </c>
      <c r="Q24" s="174">
        <v>-4.0589753499999999E-2</v>
      </c>
      <c r="R24" s="173">
        <v>431524.90700000001</v>
      </c>
      <c r="S24" s="173">
        <v>397169.935</v>
      </c>
      <c r="T24" s="174">
        <v>8.6499427500000003E-2</v>
      </c>
      <c r="U24" s="173">
        <v>881714.97400000005</v>
      </c>
      <c r="V24" s="173">
        <v>862086.56499999994</v>
      </c>
      <c r="W24" s="174">
        <v>2.27684896E-2</v>
      </c>
      <c r="X24" s="173">
        <v>6059387.5369999995</v>
      </c>
      <c r="Y24" s="174">
        <v>9.0263041099999997E-2</v>
      </c>
      <c r="Z24" s="173">
        <v>649637.41</v>
      </c>
      <c r="AA24" s="173">
        <v>649849.44700000004</v>
      </c>
      <c r="AB24" s="174">
        <v>-3.2628630000000001E-4</v>
      </c>
      <c r="AC24" s="173">
        <v>1368267.2890000001</v>
      </c>
      <c r="AD24" s="173">
        <v>1363159.3089999999</v>
      </c>
      <c r="AE24" s="174">
        <v>3.7471628999999999E-3</v>
      </c>
      <c r="AF24" s="173">
        <v>8536117.0590000004</v>
      </c>
      <c r="AG24" s="174">
        <v>3.9955750300000002E-2</v>
      </c>
    </row>
    <row r="26" spans="1:33">
      <c r="A26" s="102" t="s">
        <v>103</v>
      </c>
      <c r="B26" s="162">
        <f>SUM(B24,J24,R24,Z24)</f>
        <v>1111763.4350000001</v>
      </c>
      <c r="C26" s="162">
        <f>SUM(C24,K24,S24,AA24)</f>
        <v>1077204.639</v>
      </c>
      <c r="D26" s="163">
        <f>((B26/C26)-1)*100</f>
        <v>3.2081922736688195</v>
      </c>
      <c r="R26" s="163"/>
      <c r="Z26" s="163"/>
    </row>
    <row r="29" spans="1:33" ht="15">
      <c r="A29" s="134" t="s">
        <v>67</v>
      </c>
      <c r="B29" s="197" t="str">
        <f>A2</f>
        <v>Febrero 2023</v>
      </c>
      <c r="C29" s="198"/>
    </row>
    <row r="30" spans="1:33" ht="15">
      <c r="A30" s="134" t="s">
        <v>69</v>
      </c>
      <c r="B30" s="211" t="s">
        <v>72</v>
      </c>
      <c r="C30" s="212"/>
    </row>
    <row r="31" spans="1:33">
      <c r="A31" s="132" t="s">
        <v>68</v>
      </c>
      <c r="B31" s="161" t="s">
        <v>57</v>
      </c>
      <c r="C31" s="161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81"/>
      <c r="C33" s="181">
        <v>1.52</v>
      </c>
    </row>
    <row r="34" spans="1:4">
      <c r="A34" s="133" t="s">
        <v>11</v>
      </c>
      <c r="B34" s="181">
        <v>241.2</v>
      </c>
      <c r="C34" s="181"/>
    </row>
    <row r="35" spans="1:4">
      <c r="A35" s="133" t="s">
        <v>78</v>
      </c>
      <c r="B35" s="181">
        <v>139.4</v>
      </c>
      <c r="C35" s="181">
        <v>487.64</v>
      </c>
    </row>
    <row r="36" spans="1:4">
      <c r="A36" s="133" t="s">
        <v>9</v>
      </c>
      <c r="B36" s="181">
        <v>603.1</v>
      </c>
      <c r="C36" s="181">
        <v>520.75</v>
      </c>
    </row>
    <row r="37" spans="1:4">
      <c r="A37" s="133" t="s">
        <v>8</v>
      </c>
      <c r="B37" s="181"/>
      <c r="C37" s="181">
        <v>482.64</v>
      </c>
    </row>
    <row r="38" spans="1:4">
      <c r="A38" s="133" t="s">
        <v>25</v>
      </c>
      <c r="B38" s="181">
        <v>822.9</v>
      </c>
      <c r="C38" s="181">
        <v>865.4</v>
      </c>
    </row>
    <row r="39" spans="1:4">
      <c r="A39" s="133" t="s">
        <v>24</v>
      </c>
      <c r="B39" s="181"/>
      <c r="C39" s="181"/>
    </row>
    <row r="40" spans="1:4">
      <c r="A40" s="133" t="s">
        <v>6</v>
      </c>
      <c r="B40" s="181"/>
      <c r="C40" s="181">
        <v>11.32</v>
      </c>
    </row>
    <row r="41" spans="1:4">
      <c r="A41" s="133" t="s">
        <v>5</v>
      </c>
      <c r="B41" s="181">
        <v>3.6074999999999999</v>
      </c>
      <c r="C41" s="181">
        <v>573.31500000000005</v>
      </c>
      <c r="D41" s="167"/>
    </row>
    <row r="42" spans="1:4">
      <c r="A42" s="133" t="s">
        <v>4</v>
      </c>
      <c r="B42" s="181">
        <v>228.71186499999999</v>
      </c>
      <c r="C42" s="181">
        <v>212.16494499999999</v>
      </c>
      <c r="D42" s="167"/>
    </row>
    <row r="43" spans="1:4">
      <c r="A43" s="133" t="s">
        <v>22</v>
      </c>
      <c r="B43" s="181">
        <v>2.13</v>
      </c>
      <c r="C43" s="181">
        <v>3.6960000000000002</v>
      </c>
    </row>
    <row r="44" spans="1:4">
      <c r="A44" s="133" t="s">
        <v>23</v>
      </c>
      <c r="B44" s="181">
        <v>11.523</v>
      </c>
      <c r="C44" s="181">
        <v>38.200000000000003</v>
      </c>
    </row>
    <row r="45" spans="1:4">
      <c r="A45" s="133" t="s">
        <v>54</v>
      </c>
      <c r="B45" s="181">
        <v>37.4</v>
      </c>
      <c r="C45" s="181"/>
    </row>
    <row r="46" spans="1:4">
      <c r="A46" s="133" t="s">
        <v>55</v>
      </c>
      <c r="B46" s="181">
        <v>37.4</v>
      </c>
      <c r="C46" s="181"/>
    </row>
    <row r="47" spans="1:4">
      <c r="A47" s="137" t="s">
        <v>2</v>
      </c>
      <c r="B47" s="182">
        <f>SUM(B33:B46)</f>
        <v>2127.3723650000002</v>
      </c>
      <c r="C47" s="182">
        <f>SUM(C33:C46)</f>
        <v>3196.6459449999998</v>
      </c>
    </row>
    <row r="48" spans="1:4" ht="15">
      <c r="A48"/>
      <c r="B48" s="170"/>
      <c r="C48"/>
      <c r="D48" s="166"/>
    </row>
    <row r="49" spans="1:8" ht="15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11.337930489663005</v>
      </c>
      <c r="D52" s="165"/>
      <c r="F52" s="105" t="s">
        <v>10</v>
      </c>
      <c r="G52" s="106">
        <f>C35</f>
        <v>487.64</v>
      </c>
      <c r="H52" s="107">
        <f>G52/$G$62*100</f>
        <v>15.25473913564738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6.5526845367289521</v>
      </c>
      <c r="D53" s="165"/>
      <c r="F53" s="105" t="s">
        <v>9</v>
      </c>
      <c r="G53" s="106">
        <f>C36</f>
        <v>520.75</v>
      </c>
      <c r="H53" s="107">
        <f t="shared" ref="H53:H61" si="2">G53/$G$62*100</f>
        <v>16.290512273169497</v>
      </c>
    </row>
    <row r="54" spans="1:8">
      <c r="A54" s="105" t="s">
        <v>9</v>
      </c>
      <c r="B54" s="106">
        <f t="shared" si="1"/>
        <v>603.1</v>
      </c>
      <c r="C54" s="107">
        <f t="shared" si="0"/>
        <v>28.349526858688883</v>
      </c>
      <c r="D54" s="165"/>
      <c r="F54" s="105" t="s">
        <v>8</v>
      </c>
      <c r="G54" s="106">
        <f>C37</f>
        <v>482.64</v>
      </c>
      <c r="H54" s="107">
        <f t="shared" si="2"/>
        <v>15.098325191593903</v>
      </c>
    </row>
    <row r="55" spans="1:8">
      <c r="A55" s="105" t="s">
        <v>25</v>
      </c>
      <c r="B55" s="106">
        <f>B38</f>
        <v>822.9</v>
      </c>
      <c r="C55" s="107">
        <f t="shared" si="0"/>
        <v>38.681521558638835</v>
      </c>
      <c r="D55" s="165"/>
      <c r="F55" s="105" t="s">
        <v>25</v>
      </c>
      <c r="G55" s="106">
        <f>C38</f>
        <v>865.4</v>
      </c>
      <c r="H55" s="107">
        <f t="shared" si="2"/>
        <v>27.072125436775579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65"/>
      <c r="F56" s="105" t="s">
        <v>23</v>
      </c>
      <c r="G56" s="106">
        <f>C44</f>
        <v>38.200000000000003</v>
      </c>
      <c r="H56" s="107">
        <f t="shared" si="2"/>
        <v>1.1950025325685545</v>
      </c>
    </row>
    <row r="57" spans="1:8">
      <c r="A57" s="105" t="s">
        <v>23</v>
      </c>
      <c r="B57" s="106">
        <f>B44</f>
        <v>11.523</v>
      </c>
      <c r="C57" s="107">
        <f t="shared" si="0"/>
        <v>0.54165411704969657</v>
      </c>
      <c r="D57" s="165"/>
      <c r="F57" s="105" t="s">
        <v>12</v>
      </c>
      <c r="G57" s="107">
        <f>C33</f>
        <v>1.52</v>
      </c>
      <c r="H57" s="107">
        <f t="shared" si="2"/>
        <v>4.7549838992256621E-2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1.7580373147321575</v>
      </c>
      <c r="D58" s="165"/>
      <c r="F58" s="105" t="s">
        <v>6</v>
      </c>
      <c r="G58" s="106">
        <f>C40</f>
        <v>11.32</v>
      </c>
      <c r="H58" s="107">
        <f t="shared" si="2"/>
        <v>0.35412116933706905</v>
      </c>
    </row>
    <row r="59" spans="1:8">
      <c r="A59" s="105" t="s">
        <v>54</v>
      </c>
      <c r="B59" s="106">
        <f>B45</f>
        <v>37.4</v>
      </c>
      <c r="C59" s="107">
        <f t="shared" si="3"/>
        <v>1.7580373147321575</v>
      </c>
      <c r="D59" s="165"/>
      <c r="F59" s="105" t="s">
        <v>5</v>
      </c>
      <c r="G59" s="106">
        <f>C41</f>
        <v>573.31500000000005</v>
      </c>
      <c r="H59" s="107">
        <f t="shared" si="2"/>
        <v>17.934892067003688</v>
      </c>
    </row>
    <row r="60" spans="1:8">
      <c r="A60" s="105" t="s">
        <v>5</v>
      </c>
      <c r="B60" s="106">
        <f>B41</f>
        <v>3.6074999999999999</v>
      </c>
      <c r="C60" s="107">
        <f t="shared" si="3"/>
        <v>0.16957539071915131</v>
      </c>
      <c r="D60" s="165"/>
      <c r="F60" s="105" t="s">
        <v>4</v>
      </c>
      <c r="G60" s="106">
        <f>C42</f>
        <v>212.16494499999999</v>
      </c>
      <c r="H60" s="107">
        <f t="shared" si="2"/>
        <v>6.6371111674677508</v>
      </c>
    </row>
    <row r="61" spans="1:8">
      <c r="A61" s="105" t="s">
        <v>4</v>
      </c>
      <c r="B61" s="106">
        <f>B42</f>
        <v>228.71186499999999</v>
      </c>
      <c r="C61" s="107">
        <f t="shared" si="3"/>
        <v>10.750908903528977</v>
      </c>
      <c r="D61" s="165"/>
      <c r="F61" s="105" t="s">
        <v>22</v>
      </c>
      <c r="G61" s="106">
        <f>C43</f>
        <v>3.6960000000000002</v>
      </c>
      <c r="H61" s="107">
        <f t="shared" si="2"/>
        <v>0.11562118744432925</v>
      </c>
    </row>
    <row r="62" spans="1:8">
      <c r="A62" s="105" t="s">
        <v>22</v>
      </c>
      <c r="B62" s="106">
        <f>B43</f>
        <v>2.13</v>
      </c>
      <c r="C62" s="107">
        <f t="shared" si="3"/>
        <v>0.10012351551816834</v>
      </c>
      <c r="D62" s="165"/>
      <c r="F62" s="108" t="s">
        <v>20</v>
      </c>
      <c r="G62" s="109">
        <f>SUM(G52:G61)</f>
        <v>3196.6459449999998</v>
      </c>
      <c r="H62" s="110">
        <f>SUM(H52:H61)</f>
        <v>100</v>
      </c>
    </row>
    <row r="63" spans="1:8">
      <c r="A63" s="108" t="s">
        <v>20</v>
      </c>
      <c r="B63" s="109">
        <f>SUM(B52:B62)</f>
        <v>2127.3723650000002</v>
      </c>
      <c r="C63" s="110">
        <f>SUM(C52:C62)</f>
        <v>99.999999999999986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65"/>
      <c r="F67" s="103"/>
      <c r="G67" s="104" t="s">
        <v>26</v>
      </c>
    </row>
    <row r="68" spans="1:7">
      <c r="A68" s="105" t="s">
        <v>11</v>
      </c>
      <c r="B68" s="107">
        <f>C68/$C$80*100</f>
        <v>0</v>
      </c>
      <c r="C68" s="106">
        <f>IF(R9&lt;0,0,R9)</f>
        <v>0</v>
      </c>
      <c r="D68" s="168">
        <f>(C68/SUM($C$68:$C$78))*100</f>
        <v>0</v>
      </c>
      <c r="F68" s="105" t="s">
        <v>10</v>
      </c>
      <c r="G68" s="107">
        <f>SUM(Z10,Z14)/Z$24*100</f>
        <v>23.268630265612316</v>
      </c>
    </row>
    <row r="69" spans="1:7">
      <c r="A69" s="105" t="s">
        <v>10</v>
      </c>
      <c r="B69" s="107">
        <f t="shared" ref="B69:B78" si="4">C69/$C$80*100</f>
        <v>3.472378529783597</v>
      </c>
      <c r="C69" s="106">
        <f>R10</f>
        <v>15008.727000000001</v>
      </c>
      <c r="D69" s="168">
        <f t="shared" ref="D69:D78" si="5">(C69/SUM($C$68:$C$78))*100</f>
        <v>4.3821405496606989</v>
      </c>
      <c r="F69" s="105" t="s">
        <v>9</v>
      </c>
      <c r="G69" s="107">
        <f>Z11/Z$24*100</f>
        <v>4.1547016204008322</v>
      </c>
    </row>
    <row r="70" spans="1:7">
      <c r="A70" s="105" t="s">
        <v>9</v>
      </c>
      <c r="B70" s="107">
        <f t="shared" si="4"/>
        <v>7.479417529313201</v>
      </c>
      <c r="C70" s="106">
        <f>R11</f>
        <v>32328.427</v>
      </c>
      <c r="D70" s="168">
        <f t="shared" si="5"/>
        <v>9.4390224343107683</v>
      </c>
      <c r="F70" s="105" t="s">
        <v>8</v>
      </c>
      <c r="G70" s="107">
        <f>Z12/Z$24*100</f>
        <v>18.171990587795737</v>
      </c>
    </row>
    <row r="71" spans="1:7">
      <c r="A71" s="105" t="s">
        <v>25</v>
      </c>
      <c r="B71" s="107">
        <f t="shared" si="4"/>
        <v>57.956736324030523</v>
      </c>
      <c r="C71" s="106">
        <f>R13</f>
        <v>250507.49100000001</v>
      </c>
      <c r="D71" s="168">
        <f>(C71/SUM($C$68:$C$78))*100</f>
        <v>73.141381964297338</v>
      </c>
      <c r="F71" s="105" t="s">
        <v>25</v>
      </c>
      <c r="G71" s="107">
        <f>Z13/Z$24*100</f>
        <v>44.537633693232046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69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0.70601085695020915</v>
      </c>
      <c r="C73" s="106">
        <f>R19</f>
        <v>3051.6039999999998</v>
      </c>
      <c r="D73" s="168">
        <f t="shared" si="5"/>
        <v>0.89098546664928902</v>
      </c>
      <c r="F73" s="105" t="s">
        <v>12</v>
      </c>
      <c r="G73" s="107">
        <f>Z8/Z$24*100</f>
        <v>3.9164154662829534E-2</v>
      </c>
    </row>
    <row r="74" spans="1:7">
      <c r="A74" s="105" t="s">
        <v>55</v>
      </c>
      <c r="B74" s="107">
        <f t="shared" si="4"/>
        <v>2.2742158676495592</v>
      </c>
      <c r="C74" s="106">
        <f>R21</f>
        <v>9829.8860000000004</v>
      </c>
      <c r="D74" s="168">
        <f t="shared" si="5"/>
        <v>2.8700596685609652</v>
      </c>
      <c r="F74" s="105" t="s">
        <v>6</v>
      </c>
      <c r="G74" s="107">
        <f>Z15/Z$24*100</f>
        <v>0.12766213694497675</v>
      </c>
    </row>
    <row r="75" spans="1:7">
      <c r="A75" s="105" t="s">
        <v>54</v>
      </c>
      <c r="B75" s="107">
        <f t="shared" si="4"/>
        <v>2.2742158676495592</v>
      </c>
      <c r="C75" s="106">
        <f>R20</f>
        <v>9829.8860000000004</v>
      </c>
      <c r="D75" s="168">
        <f t="shared" si="5"/>
        <v>2.8700596685609652</v>
      </c>
      <c r="F75" s="105" t="s">
        <v>5</v>
      </c>
      <c r="G75" s="107">
        <f>Z16/Z$24*100</f>
        <v>6.508262816945841</v>
      </c>
    </row>
    <row r="76" spans="1:7">
      <c r="A76" s="105" t="s">
        <v>5</v>
      </c>
      <c r="B76" s="107">
        <f t="shared" si="4"/>
        <v>4.2393911342217518E-2</v>
      </c>
      <c r="C76" s="106">
        <f>R16</f>
        <v>183.24</v>
      </c>
      <c r="D76" s="168">
        <f t="shared" si="5"/>
        <v>5.3501102013503637E-2</v>
      </c>
      <c r="F76" s="105" t="s">
        <v>4</v>
      </c>
      <c r="G76" s="107">
        <f>Z17/Z$24*100</f>
        <v>3.082495664773985</v>
      </c>
    </row>
    <row r="77" spans="1:7">
      <c r="A77" s="105" t="s">
        <v>4</v>
      </c>
      <c r="B77" s="107">
        <f t="shared" si="4"/>
        <v>5.0024905613163009</v>
      </c>
      <c r="C77" s="106">
        <f>R17</f>
        <v>21622.359</v>
      </c>
      <c r="D77" s="168">
        <f t="shared" si="5"/>
        <v>6.3131414245339359</v>
      </c>
      <c r="F77" s="105" t="s">
        <v>22</v>
      </c>
      <c r="G77" s="107">
        <f>Z18/Z$24*100</f>
        <v>0.10945905963143349</v>
      </c>
    </row>
    <row r="78" spans="1:7">
      <c r="A78" s="105" t="s">
        <v>22</v>
      </c>
      <c r="B78" s="107">
        <f t="shared" si="4"/>
        <v>3.1464129855484052E-2</v>
      </c>
      <c r="C78" s="106">
        <f>R18</f>
        <v>135.99799999999999</v>
      </c>
      <c r="D78" s="168">
        <f t="shared" si="5"/>
        <v>3.9707721412532565E-2</v>
      </c>
      <c r="F78" s="108" t="s">
        <v>20</v>
      </c>
      <c r="G78" s="110">
        <f>SUM(G68:G77)</f>
        <v>100</v>
      </c>
    </row>
    <row r="79" spans="1:7">
      <c r="A79" s="105" t="s">
        <v>21</v>
      </c>
      <c r="B79" s="107">
        <f>C79/$C$80*100</f>
        <v>20.760676422109356</v>
      </c>
      <c r="C79" s="106">
        <f>R23</f>
        <v>89734.262000000002</v>
      </c>
      <c r="D79" s="165"/>
    </row>
    <row r="80" spans="1:7">
      <c r="A80" s="108" t="s">
        <v>20</v>
      </c>
      <c r="B80" s="110">
        <f>SUM(B68:B79)</f>
        <v>100.00000000000001</v>
      </c>
      <c r="C80" s="109">
        <f>SUM(C68:C79)</f>
        <v>432231.88</v>
      </c>
      <c r="D80" s="165"/>
    </row>
    <row r="85" spans="1:26" ht="15">
      <c r="A85" s="134"/>
      <c r="B85" s="134" t="s">
        <v>69</v>
      </c>
      <c r="C85" s="214" t="s">
        <v>13</v>
      </c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  <c r="R85"/>
      <c r="S85"/>
      <c r="T85"/>
      <c r="U85"/>
      <c r="V85"/>
      <c r="W85"/>
      <c r="X85"/>
      <c r="Y85"/>
      <c r="Z85"/>
    </row>
    <row r="86" spans="1:26" ht="15">
      <c r="A86" s="134"/>
      <c r="B86" s="132" t="s">
        <v>67</v>
      </c>
      <c r="C86" s="178" t="s">
        <v>106</v>
      </c>
      <c r="D86" s="178" t="s">
        <v>107</v>
      </c>
      <c r="E86" s="178" t="s">
        <v>108</v>
      </c>
      <c r="F86" s="178" t="s">
        <v>109</v>
      </c>
      <c r="G86" s="178" t="s">
        <v>110</v>
      </c>
      <c r="H86" s="178" t="s">
        <v>111</v>
      </c>
      <c r="I86" s="178" t="s">
        <v>112</v>
      </c>
      <c r="J86" s="178" t="s">
        <v>113</v>
      </c>
      <c r="K86" s="178" t="s">
        <v>114</v>
      </c>
      <c r="L86" s="178" t="s">
        <v>115</v>
      </c>
      <c r="M86" s="178" t="s">
        <v>116</v>
      </c>
      <c r="N86" s="178" t="s">
        <v>117</v>
      </c>
      <c r="O86" s="178" t="s">
        <v>118</v>
      </c>
      <c r="P86" s="178" t="s">
        <v>119</v>
      </c>
      <c r="Q86" s="178" t="s">
        <v>123</v>
      </c>
      <c r="R86"/>
      <c r="S86"/>
      <c r="T86"/>
      <c r="U86"/>
      <c r="V86"/>
      <c r="W86"/>
      <c r="X86"/>
      <c r="Y86"/>
      <c r="Z86"/>
    </row>
    <row r="87" spans="1:26" ht="15">
      <c r="A87" s="134" t="s">
        <v>68</v>
      </c>
      <c r="B87" s="134" t="s">
        <v>70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/>
      <c r="S87"/>
      <c r="T87"/>
      <c r="U87"/>
      <c r="V87"/>
      <c r="W87"/>
      <c r="X87"/>
      <c r="Y87"/>
      <c r="Z87"/>
    </row>
    <row r="88" spans="1:26" ht="15">
      <c r="A88" s="208" t="s">
        <v>57</v>
      </c>
      <c r="B88" s="133" t="s">
        <v>11</v>
      </c>
      <c r="C88" s="175">
        <v>-0.627467</v>
      </c>
      <c r="D88" s="175">
        <v>-0.58012699999999995</v>
      </c>
      <c r="E88" s="175">
        <v>-0.66887300000000005</v>
      </c>
      <c r="F88" s="175">
        <v>-0.60548299999999999</v>
      </c>
      <c r="G88" s="175">
        <v>-1.0302370000000001</v>
      </c>
      <c r="H88" s="175">
        <v>29.141857000000002</v>
      </c>
      <c r="I88" s="175">
        <v>50.189168000000002</v>
      </c>
      <c r="J88" s="175">
        <v>5.2653150000000002</v>
      </c>
      <c r="K88" s="175">
        <v>-0.60380599999999995</v>
      </c>
      <c r="L88" s="175">
        <v>-0.613232</v>
      </c>
      <c r="M88" s="175">
        <v>-0.58811800000000003</v>
      </c>
      <c r="N88" s="175">
        <v>-0.62679200000000002</v>
      </c>
      <c r="O88" s="175">
        <v>-0.72771799999999998</v>
      </c>
      <c r="P88" s="175">
        <v>-0.70697299999999996</v>
      </c>
      <c r="Q88" s="175">
        <v>0</v>
      </c>
      <c r="R88"/>
      <c r="S88"/>
      <c r="T88"/>
      <c r="U88"/>
      <c r="V88"/>
      <c r="W88"/>
      <c r="X88"/>
      <c r="Y88"/>
      <c r="Z88"/>
    </row>
    <row r="89" spans="1:26" ht="15">
      <c r="A89" s="209"/>
      <c r="B89" s="133" t="s">
        <v>78</v>
      </c>
      <c r="C89" s="175">
        <v>31.928664000000001</v>
      </c>
      <c r="D89" s="175">
        <v>27.287796</v>
      </c>
      <c r="E89" s="175">
        <v>26.627289999999999</v>
      </c>
      <c r="F89" s="175">
        <v>38.583128000000002</v>
      </c>
      <c r="G89" s="175">
        <v>43.134307</v>
      </c>
      <c r="H89" s="175">
        <v>52.984195999999997</v>
      </c>
      <c r="I89" s="175">
        <v>59.042844000000002</v>
      </c>
      <c r="J89" s="175">
        <v>60.455578000000003</v>
      </c>
      <c r="K89" s="175">
        <v>32.713324999999998</v>
      </c>
      <c r="L89" s="175">
        <v>17.166284999999998</v>
      </c>
      <c r="M89" s="175">
        <v>9.2819520000000004</v>
      </c>
      <c r="N89" s="175">
        <v>2.2104400000000002</v>
      </c>
      <c r="O89" s="175">
        <v>5.0179289999999996</v>
      </c>
      <c r="P89" s="175">
        <v>15.008727</v>
      </c>
      <c r="Q89" s="175">
        <v>4.6755000000000004</v>
      </c>
      <c r="R89"/>
      <c r="S89"/>
      <c r="T89"/>
      <c r="U89"/>
      <c r="V89"/>
      <c r="W89"/>
      <c r="X89"/>
      <c r="Y89"/>
      <c r="Z89"/>
    </row>
    <row r="90" spans="1:26" ht="15">
      <c r="A90" s="209"/>
      <c r="B90" s="133" t="s">
        <v>9</v>
      </c>
      <c r="C90" s="175">
        <v>14.287952000000001</v>
      </c>
      <c r="D90" s="175">
        <v>12.016398000000001</v>
      </c>
      <c r="E90" s="175">
        <v>16.590530000000001</v>
      </c>
      <c r="F90" s="175">
        <v>16.923745</v>
      </c>
      <c r="G90" s="175">
        <v>26.908512000000002</v>
      </c>
      <c r="H90" s="175">
        <v>32.914068</v>
      </c>
      <c r="I90" s="175">
        <v>59.770274999999998</v>
      </c>
      <c r="J90" s="175">
        <v>67.567459999999997</v>
      </c>
      <c r="K90" s="175">
        <v>56.444971000000002</v>
      </c>
      <c r="L90" s="175">
        <v>42.597769999999997</v>
      </c>
      <c r="M90" s="175">
        <v>23.111573</v>
      </c>
      <c r="N90" s="175">
        <v>26.769898999999999</v>
      </c>
      <c r="O90" s="175">
        <v>49.385100000000001</v>
      </c>
      <c r="P90" s="175">
        <v>32.328426999999998</v>
      </c>
      <c r="Q90" s="175">
        <v>10.997624999999999</v>
      </c>
      <c r="R90"/>
      <c r="S90"/>
      <c r="T90"/>
      <c r="U90"/>
      <c r="V90"/>
      <c r="W90"/>
      <c r="X90"/>
      <c r="Y90"/>
      <c r="Z90"/>
    </row>
    <row r="91" spans="1:26" ht="15">
      <c r="A91" s="209"/>
      <c r="B91" s="133" t="s">
        <v>25</v>
      </c>
      <c r="C91" s="175">
        <v>350.086611</v>
      </c>
      <c r="D91" s="175">
        <v>298.62258500000002</v>
      </c>
      <c r="E91" s="175">
        <v>331.00133499999998</v>
      </c>
      <c r="F91" s="175">
        <v>307.42903200000001</v>
      </c>
      <c r="G91" s="175">
        <v>317.55595499999998</v>
      </c>
      <c r="H91" s="175">
        <v>367.58788099999998</v>
      </c>
      <c r="I91" s="175">
        <v>396.959791</v>
      </c>
      <c r="J91" s="175">
        <v>456.377207</v>
      </c>
      <c r="K91" s="175">
        <v>377.07382699999999</v>
      </c>
      <c r="L91" s="175">
        <v>297.32130999999998</v>
      </c>
      <c r="M91" s="175">
        <v>234.47985499999999</v>
      </c>
      <c r="N91" s="175">
        <v>251.18496099999999</v>
      </c>
      <c r="O91" s="175">
        <v>236.33414099999999</v>
      </c>
      <c r="P91" s="175">
        <v>250.50749099999999</v>
      </c>
      <c r="Q91" s="175">
        <v>93.459525999999997</v>
      </c>
      <c r="R91"/>
      <c r="S91"/>
      <c r="T91"/>
      <c r="U91"/>
      <c r="V91"/>
      <c r="W91"/>
      <c r="X91"/>
      <c r="Y91"/>
      <c r="Z91"/>
    </row>
    <row r="92" spans="1:26" ht="15">
      <c r="A92" s="209"/>
      <c r="B92" s="133" t="s">
        <v>24</v>
      </c>
      <c r="C92" s="175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2.6835830000000001</v>
      </c>
      <c r="J92" s="175">
        <v>4.441192</v>
      </c>
      <c r="K92" s="175">
        <v>4.0880280000000004</v>
      </c>
      <c r="L92" s="175">
        <v>0.904698</v>
      </c>
      <c r="M92" s="175">
        <v>0</v>
      </c>
      <c r="N92" s="175">
        <v>0</v>
      </c>
      <c r="O92" s="175">
        <v>0</v>
      </c>
      <c r="P92" s="175">
        <v>0</v>
      </c>
      <c r="Q92" s="175">
        <v>0</v>
      </c>
      <c r="R92"/>
      <c r="S92"/>
      <c r="T92"/>
      <c r="U92"/>
      <c r="V92"/>
      <c r="W92"/>
      <c r="X92"/>
      <c r="Y92"/>
      <c r="Z92"/>
    </row>
    <row r="93" spans="1:26" ht="15">
      <c r="A93" s="209"/>
      <c r="B93" s="133" t="s">
        <v>5</v>
      </c>
      <c r="C93" s="175">
        <v>0.215638</v>
      </c>
      <c r="D93" s="175">
        <v>0.22824</v>
      </c>
      <c r="E93" s="175">
        <v>0.33845999999999998</v>
      </c>
      <c r="F93" s="175">
        <v>0.239788</v>
      </c>
      <c r="G93" s="175">
        <v>0.16079099999999999</v>
      </c>
      <c r="H93" s="175">
        <v>6.1122000000000003E-2</v>
      </c>
      <c r="I93" s="175">
        <v>3.0289E-2</v>
      </c>
      <c r="J93" s="175">
        <v>3.2219999999999999E-2</v>
      </c>
      <c r="K93" s="175">
        <v>1.2760000000000001E-2</v>
      </c>
      <c r="L93" s="175">
        <v>2.8530000000000001E-3</v>
      </c>
      <c r="M93" s="175">
        <v>2.5883E-2</v>
      </c>
      <c r="N93" s="175">
        <v>0.100989</v>
      </c>
      <c r="O93" s="175">
        <v>0.21573000000000001</v>
      </c>
      <c r="P93" s="175">
        <v>0.18323999999999999</v>
      </c>
      <c r="Q93" s="175">
        <v>4.2939999999999999E-2</v>
      </c>
      <c r="R93"/>
      <c r="S93"/>
      <c r="T93"/>
      <c r="U93"/>
      <c r="V93"/>
      <c r="W93"/>
      <c r="X93"/>
      <c r="Y93"/>
      <c r="Z93"/>
    </row>
    <row r="94" spans="1:26" ht="15">
      <c r="A94" s="209"/>
      <c r="B94" s="133" t="s">
        <v>4</v>
      </c>
      <c r="C94" s="175">
        <v>14.437344</v>
      </c>
      <c r="D94" s="175">
        <v>17.860306999999999</v>
      </c>
      <c r="E94" s="175">
        <v>13.718277</v>
      </c>
      <c r="F94" s="175">
        <v>22.443795999999999</v>
      </c>
      <c r="G94" s="175">
        <v>27.347473999999998</v>
      </c>
      <c r="H94" s="175">
        <v>29.225943999999998</v>
      </c>
      <c r="I94" s="175">
        <v>33.049954</v>
      </c>
      <c r="J94" s="175">
        <v>29.653044000000001</v>
      </c>
      <c r="K94" s="175">
        <v>25.055993000000001</v>
      </c>
      <c r="L94" s="175">
        <v>23.236149000000001</v>
      </c>
      <c r="M94" s="175">
        <v>17.029163</v>
      </c>
      <c r="N94" s="175">
        <v>14.799557</v>
      </c>
      <c r="O94" s="175">
        <v>18.141887000000001</v>
      </c>
      <c r="P94" s="175">
        <v>21.622358999999999</v>
      </c>
      <c r="Q94" s="175">
        <v>9.6137300000000003</v>
      </c>
      <c r="R94"/>
      <c r="S94"/>
      <c r="T94"/>
      <c r="U94"/>
      <c r="V94"/>
      <c r="W94"/>
      <c r="X94"/>
      <c r="Y94"/>
      <c r="Z94"/>
    </row>
    <row r="95" spans="1:26" ht="15">
      <c r="A95" s="209"/>
      <c r="B95" s="133" t="s">
        <v>22</v>
      </c>
      <c r="C95" s="175">
        <v>0.285244</v>
      </c>
      <c r="D95" s="175">
        <v>0.28095199999999998</v>
      </c>
      <c r="E95" s="175">
        <v>0.29118100000000002</v>
      </c>
      <c r="F95" s="175">
        <v>0.16531499999999999</v>
      </c>
      <c r="G95" s="175">
        <v>0.166327</v>
      </c>
      <c r="H95" s="175">
        <v>0.111179</v>
      </c>
      <c r="I95" s="175">
        <v>9.5128000000000004E-2</v>
      </c>
      <c r="J95" s="175">
        <v>5.6752999999999998E-2</v>
      </c>
      <c r="K95" s="175">
        <v>7.1822999999999998E-2</v>
      </c>
      <c r="L95" s="175">
        <v>9.6991999999999995E-2</v>
      </c>
      <c r="M95" s="175">
        <v>8.4503999999999996E-2</v>
      </c>
      <c r="N95" s="175">
        <v>7.7099000000000001E-2</v>
      </c>
      <c r="O95" s="175">
        <v>9.3608999999999998E-2</v>
      </c>
      <c r="P95" s="175">
        <v>0.13599800000000001</v>
      </c>
      <c r="Q95" s="175">
        <v>3.7319999999999999E-2</v>
      </c>
      <c r="R95"/>
      <c r="S95"/>
      <c r="T95"/>
      <c r="U95"/>
      <c r="V95"/>
      <c r="W95"/>
      <c r="X95"/>
      <c r="Y95"/>
      <c r="Z95"/>
    </row>
    <row r="96" spans="1:26" ht="15">
      <c r="A96" s="209"/>
      <c r="B96" s="133" t="s">
        <v>23</v>
      </c>
      <c r="C96" s="175">
        <v>3.4010050000000001</v>
      </c>
      <c r="D96" s="175">
        <v>3.0684070000000001</v>
      </c>
      <c r="E96" s="175">
        <v>3.993204</v>
      </c>
      <c r="F96" s="175">
        <v>1.8386769999999999</v>
      </c>
      <c r="G96" s="175">
        <v>1.9461250000000001</v>
      </c>
      <c r="H96" s="175">
        <v>1.5363420000000001</v>
      </c>
      <c r="I96" s="175">
        <v>1.1719729999999999</v>
      </c>
      <c r="J96" s="175">
        <v>5.1333999999999998E-2</v>
      </c>
      <c r="K96" s="175">
        <v>2.0373130000000002</v>
      </c>
      <c r="L96" s="175">
        <v>1.826864</v>
      </c>
      <c r="M96" s="175">
        <v>2.5541079999999998</v>
      </c>
      <c r="N96" s="175">
        <v>2.6199620000000001</v>
      </c>
      <c r="O96" s="175">
        <v>3.055609</v>
      </c>
      <c r="P96" s="175">
        <v>3.0516040000000002</v>
      </c>
      <c r="Q96" s="175">
        <v>1.2463599999999999</v>
      </c>
      <c r="R96"/>
      <c r="S96"/>
      <c r="T96"/>
      <c r="U96"/>
      <c r="V96"/>
      <c r="W96"/>
      <c r="X96"/>
      <c r="Y96"/>
      <c r="Z96"/>
    </row>
    <row r="97" spans="1:26" ht="15">
      <c r="A97" s="209"/>
      <c r="B97" s="133" t="s">
        <v>54</v>
      </c>
      <c r="C97" s="175">
        <v>9.8711500000000001</v>
      </c>
      <c r="D97" s="175">
        <v>5.4414375000000001</v>
      </c>
      <c r="E97" s="175">
        <v>9.6633200000000006</v>
      </c>
      <c r="F97" s="175">
        <v>7.8050050000000004</v>
      </c>
      <c r="G97" s="175">
        <v>11.846197500000001</v>
      </c>
      <c r="H97" s="175">
        <v>13.186323</v>
      </c>
      <c r="I97" s="175">
        <v>16.1606655</v>
      </c>
      <c r="J97" s="175">
        <v>13.6723105</v>
      </c>
      <c r="K97" s="175">
        <v>13.5816645</v>
      </c>
      <c r="L97" s="175">
        <v>11.230755</v>
      </c>
      <c r="M97" s="175">
        <v>10.188828000000001</v>
      </c>
      <c r="N97" s="175">
        <v>10.4136255</v>
      </c>
      <c r="O97" s="175">
        <v>7.3618245</v>
      </c>
      <c r="P97" s="175">
        <v>9.8298860000000001</v>
      </c>
      <c r="Q97" s="175">
        <v>3.1807500000000002</v>
      </c>
      <c r="R97"/>
      <c r="S97"/>
      <c r="T97"/>
      <c r="U97"/>
      <c r="V97"/>
      <c r="W97"/>
      <c r="X97"/>
      <c r="Y97"/>
      <c r="Z97"/>
    </row>
    <row r="98" spans="1:26" ht="15">
      <c r="A98" s="209"/>
      <c r="B98" s="133" t="s">
        <v>55</v>
      </c>
      <c r="C98" s="175">
        <v>9.8711500000000001</v>
      </c>
      <c r="D98" s="175">
        <v>5.4414375000000001</v>
      </c>
      <c r="E98" s="175">
        <v>9.6633200000000006</v>
      </c>
      <c r="F98" s="175">
        <v>7.8050050000000004</v>
      </c>
      <c r="G98" s="175">
        <v>11.846197500000001</v>
      </c>
      <c r="H98" s="175">
        <v>13.186323</v>
      </c>
      <c r="I98" s="175">
        <v>16.1606655</v>
      </c>
      <c r="J98" s="175">
        <v>13.6723105</v>
      </c>
      <c r="K98" s="175">
        <v>13.5816645</v>
      </c>
      <c r="L98" s="175">
        <v>11.230755</v>
      </c>
      <c r="M98" s="175">
        <v>10.188828000000001</v>
      </c>
      <c r="N98" s="175">
        <v>10.4136255</v>
      </c>
      <c r="O98" s="175">
        <v>7.3618245</v>
      </c>
      <c r="P98" s="175">
        <v>9.8298860000000001</v>
      </c>
      <c r="Q98" s="175">
        <v>3.1807500000000002</v>
      </c>
      <c r="R98"/>
      <c r="S98"/>
      <c r="T98"/>
      <c r="U98"/>
      <c r="V98"/>
      <c r="W98"/>
      <c r="X98"/>
      <c r="Y98"/>
      <c r="Z98"/>
    </row>
    <row r="99" spans="1:26" ht="15">
      <c r="A99" s="209"/>
      <c r="B99" s="137" t="s">
        <v>2</v>
      </c>
      <c r="C99" s="176">
        <v>433.75729100000001</v>
      </c>
      <c r="D99" s="176">
        <v>369.66743300000002</v>
      </c>
      <c r="E99" s="176">
        <v>411.21804400000002</v>
      </c>
      <c r="F99" s="176">
        <v>402.62800800000002</v>
      </c>
      <c r="G99" s="176">
        <v>439.88164899999998</v>
      </c>
      <c r="H99" s="176">
        <v>539.93523500000003</v>
      </c>
      <c r="I99" s="176">
        <v>635.31433600000003</v>
      </c>
      <c r="J99" s="176">
        <v>651.24472400000002</v>
      </c>
      <c r="K99" s="176">
        <v>524.05756299999996</v>
      </c>
      <c r="L99" s="176">
        <v>405.00119899999999</v>
      </c>
      <c r="M99" s="176">
        <v>306.35657600000002</v>
      </c>
      <c r="N99" s="176">
        <v>317.96336600000001</v>
      </c>
      <c r="O99" s="176">
        <v>326.239936</v>
      </c>
      <c r="P99" s="176">
        <v>341.79064499999998</v>
      </c>
      <c r="Q99" s="176">
        <v>126.434501</v>
      </c>
      <c r="R99"/>
      <c r="S99"/>
      <c r="T99"/>
      <c r="U99"/>
      <c r="V99"/>
      <c r="W99"/>
      <c r="X99"/>
      <c r="Y99"/>
      <c r="Z99"/>
    </row>
    <row r="100" spans="1:26" ht="15">
      <c r="A100" s="209"/>
      <c r="B100" s="133" t="s">
        <v>21</v>
      </c>
      <c r="C100" s="175">
        <v>31.159338999999999</v>
      </c>
      <c r="D100" s="175">
        <v>27.502502</v>
      </c>
      <c r="E100" s="175">
        <v>30.689281000000001</v>
      </c>
      <c r="F100" s="175">
        <v>33.641058999999998</v>
      </c>
      <c r="G100" s="175">
        <v>32.047055999999998</v>
      </c>
      <c r="H100" s="175">
        <v>35.225064000000003</v>
      </c>
      <c r="I100" s="175">
        <v>67.033137999999994</v>
      </c>
      <c r="J100" s="175">
        <v>77.653036</v>
      </c>
      <c r="K100" s="175">
        <v>70.647335999999996</v>
      </c>
      <c r="L100" s="175">
        <v>61.365385000000003</v>
      </c>
      <c r="M100" s="175">
        <v>55.991686000000001</v>
      </c>
      <c r="N100" s="175">
        <v>79.778822000000005</v>
      </c>
      <c r="O100" s="175">
        <v>123.950131</v>
      </c>
      <c r="P100" s="175">
        <v>89.734262000000001</v>
      </c>
      <c r="Q100" s="175">
        <v>26.5215</v>
      </c>
      <c r="R100"/>
      <c r="S100"/>
      <c r="T100"/>
      <c r="U100"/>
      <c r="V100"/>
      <c r="W100"/>
      <c r="X100"/>
      <c r="Y100"/>
      <c r="Z100"/>
    </row>
    <row r="101" spans="1:26" ht="15">
      <c r="A101" s="210"/>
      <c r="B101" s="137" t="s">
        <v>79</v>
      </c>
      <c r="C101" s="176">
        <v>464.91663</v>
      </c>
      <c r="D101" s="176">
        <v>397.16993500000001</v>
      </c>
      <c r="E101" s="176">
        <v>441.90732500000001</v>
      </c>
      <c r="F101" s="176">
        <v>436.26906700000001</v>
      </c>
      <c r="G101" s="176">
        <v>471.92870499999998</v>
      </c>
      <c r="H101" s="176">
        <v>575.16029900000001</v>
      </c>
      <c r="I101" s="176">
        <v>702.34747400000003</v>
      </c>
      <c r="J101" s="176">
        <v>728.89775999999995</v>
      </c>
      <c r="K101" s="176">
        <v>594.70489899999995</v>
      </c>
      <c r="L101" s="176">
        <v>466.36658399999999</v>
      </c>
      <c r="M101" s="176">
        <v>362.34826199999998</v>
      </c>
      <c r="N101" s="176">
        <v>397.742188</v>
      </c>
      <c r="O101" s="176">
        <v>450.190067</v>
      </c>
      <c r="P101" s="176">
        <v>431.52490699999998</v>
      </c>
      <c r="Q101" s="176">
        <v>152.95600099999999</v>
      </c>
      <c r="R101"/>
      <c r="S101"/>
      <c r="T101"/>
      <c r="U101"/>
      <c r="V101"/>
      <c r="W101"/>
      <c r="X101"/>
      <c r="Y101"/>
      <c r="Z101"/>
    </row>
    <row r="102" spans="1:26" ht="15">
      <c r="A102" s="213" t="s">
        <v>58</v>
      </c>
      <c r="B102" s="133" t="s">
        <v>12</v>
      </c>
      <c r="C102" s="175">
        <v>0.294213</v>
      </c>
      <c r="D102" s="175">
        <v>0.25058200000000003</v>
      </c>
      <c r="E102" s="175">
        <v>0.29644599999999999</v>
      </c>
      <c r="F102" s="175">
        <v>0.27407199999999998</v>
      </c>
      <c r="G102" s="175">
        <v>0.29880499999999999</v>
      </c>
      <c r="H102" s="175">
        <v>0.28138299999999999</v>
      </c>
      <c r="I102" s="175">
        <v>0.29436099999999998</v>
      </c>
      <c r="J102" s="175">
        <v>0.29274699999999998</v>
      </c>
      <c r="K102" s="175">
        <v>0.28892499999999999</v>
      </c>
      <c r="L102" s="175">
        <v>0.29362700000000003</v>
      </c>
      <c r="M102" s="175">
        <v>0.27748800000000001</v>
      </c>
      <c r="N102" s="175">
        <v>0.28889599999999999</v>
      </c>
      <c r="O102" s="175">
        <v>0.27497500000000002</v>
      </c>
      <c r="P102" s="175">
        <v>0.25442500000000001</v>
      </c>
      <c r="Q102" s="175">
        <v>0</v>
      </c>
      <c r="R102"/>
      <c r="S102"/>
      <c r="T102"/>
      <c r="U102"/>
      <c r="V102"/>
      <c r="W102"/>
      <c r="X102"/>
      <c r="Y102"/>
      <c r="Z102"/>
    </row>
    <row r="103" spans="1:26" ht="15">
      <c r="A103" s="209"/>
      <c r="B103" s="133" t="s">
        <v>78</v>
      </c>
      <c r="C103" s="175">
        <v>144.97616600000001</v>
      </c>
      <c r="D103" s="175">
        <v>129.27922799999999</v>
      </c>
      <c r="E103" s="175">
        <v>148.837288</v>
      </c>
      <c r="F103" s="175">
        <v>137.06189800000001</v>
      </c>
      <c r="G103" s="175">
        <v>142.20013900000001</v>
      </c>
      <c r="H103" s="175">
        <v>140.17607899999999</v>
      </c>
      <c r="I103" s="175">
        <v>145.16309200000001</v>
      </c>
      <c r="J103" s="175">
        <v>144.446313</v>
      </c>
      <c r="K103" s="175">
        <v>147.14426599999999</v>
      </c>
      <c r="L103" s="175">
        <v>153.68743499999999</v>
      </c>
      <c r="M103" s="175">
        <v>154.15621999999999</v>
      </c>
      <c r="N103" s="175">
        <v>168.11327800000001</v>
      </c>
      <c r="O103" s="175">
        <v>149.666676</v>
      </c>
      <c r="P103" s="175">
        <v>151.171696</v>
      </c>
      <c r="Q103" s="175">
        <v>53.192464999999999</v>
      </c>
      <c r="R103"/>
      <c r="S103"/>
      <c r="T103"/>
      <c r="U103"/>
      <c r="V103"/>
      <c r="W103"/>
      <c r="X103"/>
      <c r="Y103"/>
      <c r="Z103"/>
    </row>
    <row r="104" spans="1:26" ht="15">
      <c r="A104" s="209"/>
      <c r="B104" s="133" t="s">
        <v>9</v>
      </c>
      <c r="C104" s="175">
        <v>20.1236</v>
      </c>
      <c r="D104" s="175">
        <v>22.304445000000001</v>
      </c>
      <c r="E104" s="175">
        <v>22.266978999999999</v>
      </c>
      <c r="F104" s="175">
        <v>17.593667</v>
      </c>
      <c r="G104" s="175">
        <v>15.375764</v>
      </c>
      <c r="H104" s="175">
        <v>14.745189</v>
      </c>
      <c r="I104" s="175">
        <v>19.947948</v>
      </c>
      <c r="J104" s="175">
        <v>17.951955999999999</v>
      </c>
      <c r="K104" s="175">
        <v>27.959973000000002</v>
      </c>
      <c r="L104" s="175">
        <v>36.672798</v>
      </c>
      <c r="M104" s="175">
        <v>23.967887999999999</v>
      </c>
      <c r="N104" s="175">
        <v>22.080762</v>
      </c>
      <c r="O104" s="175">
        <v>14.760491</v>
      </c>
      <c r="P104" s="175">
        <v>26.990496</v>
      </c>
      <c r="Q104" s="175">
        <v>5.9566049999999997</v>
      </c>
      <c r="R104"/>
      <c r="S104"/>
      <c r="T104"/>
      <c r="U104"/>
      <c r="V104"/>
      <c r="W104"/>
      <c r="X104"/>
      <c r="Y104"/>
      <c r="Z104"/>
    </row>
    <row r="105" spans="1:26" ht="15">
      <c r="A105" s="209"/>
      <c r="B105" s="133" t="s">
        <v>8</v>
      </c>
      <c r="C105" s="175">
        <v>117.429802</v>
      </c>
      <c r="D105" s="175">
        <v>102.630663</v>
      </c>
      <c r="E105" s="175">
        <v>114.410944</v>
      </c>
      <c r="F105" s="175">
        <v>103.636366</v>
      </c>
      <c r="G105" s="175">
        <v>86.849653000000004</v>
      </c>
      <c r="H105" s="175">
        <v>60.625902000000004</v>
      </c>
      <c r="I105" s="175">
        <v>73.213599000000002</v>
      </c>
      <c r="J105" s="175">
        <v>102.417012</v>
      </c>
      <c r="K105" s="175">
        <v>110.953991</v>
      </c>
      <c r="L105" s="175">
        <v>118.59882</v>
      </c>
      <c r="M105" s="175">
        <v>93.771169</v>
      </c>
      <c r="N105" s="175">
        <v>122.69665500000001</v>
      </c>
      <c r="O105" s="175">
        <v>118.030389</v>
      </c>
      <c r="P105" s="175">
        <v>118.052049</v>
      </c>
      <c r="Q105" s="175">
        <v>37.671379999999999</v>
      </c>
      <c r="R105"/>
      <c r="S105"/>
      <c r="T105"/>
      <c r="U105"/>
      <c r="V105"/>
      <c r="W105"/>
      <c r="X105"/>
      <c r="Y105"/>
      <c r="Z105"/>
    </row>
    <row r="106" spans="1:26" ht="15">
      <c r="A106" s="209"/>
      <c r="B106" s="133" t="s">
        <v>25</v>
      </c>
      <c r="C106" s="175">
        <v>350.33219100000002</v>
      </c>
      <c r="D106" s="175">
        <v>285.34500700000001</v>
      </c>
      <c r="E106" s="175">
        <v>288.52109999999999</v>
      </c>
      <c r="F106" s="175">
        <v>265.37271800000002</v>
      </c>
      <c r="G106" s="175">
        <v>303.45663500000001</v>
      </c>
      <c r="H106" s="175">
        <v>283.58392400000002</v>
      </c>
      <c r="I106" s="175">
        <v>295.51749599999999</v>
      </c>
      <c r="J106" s="175">
        <v>269.79137200000002</v>
      </c>
      <c r="K106" s="175">
        <v>285.29845599999999</v>
      </c>
      <c r="L106" s="175">
        <v>305.38632699999999</v>
      </c>
      <c r="M106" s="175">
        <v>309.74341800000002</v>
      </c>
      <c r="N106" s="175">
        <v>347.66188299999999</v>
      </c>
      <c r="O106" s="175">
        <v>279.418815</v>
      </c>
      <c r="P106" s="175">
        <v>289.33312999999998</v>
      </c>
      <c r="Q106" s="175">
        <v>113.36844600000001</v>
      </c>
      <c r="R106"/>
      <c r="S106"/>
      <c r="T106"/>
      <c r="U106"/>
      <c r="V106"/>
      <c r="W106"/>
      <c r="X106"/>
      <c r="Y106"/>
      <c r="Z106"/>
    </row>
    <row r="107" spans="1:26" ht="15">
      <c r="A107" s="209"/>
      <c r="B107" s="133" t="s">
        <v>24</v>
      </c>
      <c r="C107" s="175">
        <v>0</v>
      </c>
      <c r="D107" s="175">
        <v>0</v>
      </c>
      <c r="E107" s="175">
        <v>0</v>
      </c>
      <c r="F107" s="175">
        <v>0</v>
      </c>
      <c r="G107" s="175">
        <v>0</v>
      </c>
      <c r="H107" s="175">
        <v>0</v>
      </c>
      <c r="I107" s="175">
        <v>-7.7730000000000004E-3</v>
      </c>
      <c r="J107" s="175">
        <v>-1.2208999999999999E-2</v>
      </c>
      <c r="K107" s="175">
        <v>-1.1861999999999999E-2</v>
      </c>
      <c r="L107" s="175">
        <v>-7.5659999999999998E-3</v>
      </c>
      <c r="M107" s="175">
        <v>-1.2637000000000001E-2</v>
      </c>
      <c r="N107" s="175">
        <v>-1.3625E-2</v>
      </c>
      <c r="O107" s="175">
        <v>-1.3847999999999999E-2</v>
      </c>
      <c r="P107" s="175">
        <v>-9.9690000000000004E-3</v>
      </c>
      <c r="Q107" s="175">
        <v>0</v>
      </c>
      <c r="R107"/>
      <c r="S107"/>
      <c r="T107"/>
      <c r="U107"/>
      <c r="V107"/>
      <c r="W107"/>
      <c r="X107"/>
      <c r="Y107"/>
      <c r="Z107"/>
    </row>
    <row r="108" spans="1:26" ht="15">
      <c r="A108" s="209"/>
      <c r="B108" s="133" t="s">
        <v>6</v>
      </c>
      <c r="C108" s="175">
        <v>1.110916</v>
      </c>
      <c r="D108" s="175">
        <v>1.4820450000000001</v>
      </c>
      <c r="E108" s="175">
        <v>2.1263230000000002</v>
      </c>
      <c r="F108" s="175">
        <v>1.7525280000000001</v>
      </c>
      <c r="G108" s="175">
        <v>1.9171739999999999</v>
      </c>
      <c r="H108" s="175">
        <v>2.44956</v>
      </c>
      <c r="I108" s="175">
        <v>3.5629430000000002</v>
      </c>
      <c r="J108" s="175">
        <v>3.5176750000000001</v>
      </c>
      <c r="K108" s="175">
        <v>2.0750950000000001</v>
      </c>
      <c r="L108" s="175">
        <v>1.3500719999999999</v>
      </c>
      <c r="M108" s="175">
        <v>1.1694089999999999</v>
      </c>
      <c r="N108" s="175">
        <v>0.36710399999999999</v>
      </c>
      <c r="O108" s="175">
        <v>1.6495040000000001</v>
      </c>
      <c r="P108" s="175">
        <v>0.82934099999999999</v>
      </c>
      <c r="Q108" s="175">
        <v>0.13770399999999999</v>
      </c>
      <c r="R108"/>
      <c r="S108"/>
      <c r="T108"/>
      <c r="U108"/>
      <c r="V108"/>
      <c r="W108"/>
      <c r="X108"/>
      <c r="Y108"/>
      <c r="Z108"/>
    </row>
    <row r="109" spans="1:26" ht="15">
      <c r="A109" s="209"/>
      <c r="B109" s="133" t="s">
        <v>5</v>
      </c>
      <c r="C109" s="175">
        <v>60.12574</v>
      </c>
      <c r="D109" s="175">
        <v>88.964033999999998</v>
      </c>
      <c r="E109" s="175">
        <v>109.414616</v>
      </c>
      <c r="F109" s="175">
        <v>120.73900500000001</v>
      </c>
      <c r="G109" s="175">
        <v>116.77421</v>
      </c>
      <c r="H109" s="175">
        <v>159.50470799999999</v>
      </c>
      <c r="I109" s="175">
        <v>180.96485300000001</v>
      </c>
      <c r="J109" s="175">
        <v>183.70770899999999</v>
      </c>
      <c r="K109" s="175">
        <v>123.26133799999999</v>
      </c>
      <c r="L109" s="175">
        <v>85.114315000000005</v>
      </c>
      <c r="M109" s="175">
        <v>102.415227</v>
      </c>
      <c r="N109" s="175">
        <v>37.762255000000003</v>
      </c>
      <c r="O109" s="175">
        <v>131.99994699999999</v>
      </c>
      <c r="P109" s="175">
        <v>42.280110000000001</v>
      </c>
      <c r="Q109" s="175">
        <v>16.344729999999998</v>
      </c>
      <c r="R109"/>
      <c r="S109"/>
      <c r="T109"/>
      <c r="U109"/>
      <c r="V109"/>
      <c r="W109"/>
      <c r="X109"/>
      <c r="Y109"/>
      <c r="Z109"/>
    </row>
    <row r="110" spans="1:26" ht="15">
      <c r="A110" s="209"/>
      <c r="B110" s="133" t="s">
        <v>4</v>
      </c>
      <c r="C110" s="175">
        <v>18.056702999999999</v>
      </c>
      <c r="D110" s="175">
        <v>18.872744999999998</v>
      </c>
      <c r="E110" s="175">
        <v>25.047723999999999</v>
      </c>
      <c r="F110" s="175">
        <v>26.389223999999999</v>
      </c>
      <c r="G110" s="175">
        <v>32.969079000000001</v>
      </c>
      <c r="H110" s="175">
        <v>30.72391</v>
      </c>
      <c r="I110" s="175">
        <v>34.258988000000002</v>
      </c>
      <c r="J110" s="175">
        <v>32.216773000000003</v>
      </c>
      <c r="K110" s="175">
        <v>26.500267000000001</v>
      </c>
      <c r="L110" s="175">
        <v>26.61814</v>
      </c>
      <c r="M110" s="175">
        <v>23.099277000000001</v>
      </c>
      <c r="N110" s="175">
        <v>18.862687999999999</v>
      </c>
      <c r="O110" s="175">
        <v>22.058796999999998</v>
      </c>
      <c r="P110" s="175">
        <v>20.025044999999999</v>
      </c>
      <c r="Q110" s="175">
        <v>9.4728790000000007</v>
      </c>
      <c r="R110"/>
      <c r="S110"/>
      <c r="T110"/>
      <c r="U110"/>
      <c r="V110"/>
      <c r="W110"/>
      <c r="X110"/>
      <c r="Y110"/>
      <c r="Z110"/>
    </row>
    <row r="111" spans="1:26" ht="15">
      <c r="A111" s="209"/>
      <c r="B111" s="133" t="s">
        <v>22</v>
      </c>
      <c r="C111" s="175">
        <v>0.86053100000000005</v>
      </c>
      <c r="D111" s="175">
        <v>0.72069799999999995</v>
      </c>
      <c r="E111" s="175">
        <v>0.90984399999999999</v>
      </c>
      <c r="F111" s="175">
        <v>0.61352399999999996</v>
      </c>
      <c r="G111" s="175">
        <v>0.72146399999999999</v>
      </c>
      <c r="H111" s="175">
        <v>0.696106</v>
      </c>
      <c r="I111" s="175">
        <v>0.688222</v>
      </c>
      <c r="J111" s="175">
        <v>0.71531400000000001</v>
      </c>
      <c r="K111" s="175">
        <v>0.714812</v>
      </c>
      <c r="L111" s="175">
        <v>0.73132799999999998</v>
      </c>
      <c r="M111" s="175">
        <v>0.76498500000000003</v>
      </c>
      <c r="N111" s="175">
        <v>0.78453200000000001</v>
      </c>
      <c r="O111" s="175">
        <v>0.78413299999999997</v>
      </c>
      <c r="P111" s="175">
        <v>0.71108700000000002</v>
      </c>
      <c r="Q111" s="175">
        <v>0</v>
      </c>
      <c r="R111"/>
      <c r="S111"/>
      <c r="T111"/>
      <c r="U111"/>
      <c r="V111"/>
      <c r="W111"/>
      <c r="X111"/>
      <c r="Y111"/>
      <c r="Z111"/>
    </row>
    <row r="112" spans="1:26" ht="15">
      <c r="A112" s="209"/>
      <c r="B112" s="133" t="s">
        <v>23</v>
      </c>
      <c r="C112" s="175">
        <v>0</v>
      </c>
      <c r="D112" s="175">
        <v>0</v>
      </c>
      <c r="E112" s="175">
        <v>0</v>
      </c>
      <c r="F112" s="175">
        <v>0</v>
      </c>
      <c r="G112" s="175">
        <v>0</v>
      </c>
      <c r="H112" s="175">
        <v>0</v>
      </c>
      <c r="I112" s="175">
        <v>0</v>
      </c>
      <c r="J112" s="175">
        <v>0</v>
      </c>
      <c r="K112" s="175">
        <v>0</v>
      </c>
      <c r="L112" s="175">
        <v>0</v>
      </c>
      <c r="M112" s="175">
        <v>0</v>
      </c>
      <c r="N112" s="175">
        <v>0</v>
      </c>
      <c r="O112" s="175">
        <v>0</v>
      </c>
      <c r="P112" s="175">
        <v>0</v>
      </c>
      <c r="Q112" s="175">
        <v>0</v>
      </c>
      <c r="R112"/>
      <c r="S112"/>
      <c r="T112"/>
      <c r="U112"/>
      <c r="V112"/>
      <c r="W112"/>
      <c r="X112"/>
      <c r="Y112"/>
      <c r="Z112"/>
    </row>
    <row r="113" spans="1:26" ht="15">
      <c r="A113" s="209"/>
      <c r="B113" s="137" t="s">
        <v>2</v>
      </c>
      <c r="C113" s="176">
        <v>713.30986199999995</v>
      </c>
      <c r="D113" s="176">
        <v>649.84944700000005</v>
      </c>
      <c r="E113" s="176">
        <v>711.83126400000003</v>
      </c>
      <c r="F113" s="176">
        <v>673.43300199999999</v>
      </c>
      <c r="G113" s="176">
        <v>700.56292299999996</v>
      </c>
      <c r="H113" s="176">
        <v>692.78676099999996</v>
      </c>
      <c r="I113" s="176">
        <v>753.60372900000004</v>
      </c>
      <c r="J113" s="176">
        <v>755.04466200000002</v>
      </c>
      <c r="K113" s="176">
        <v>724.18526099999997</v>
      </c>
      <c r="L113" s="176">
        <v>728.44529599999998</v>
      </c>
      <c r="M113" s="176">
        <v>709.35244399999999</v>
      </c>
      <c r="N113" s="176">
        <v>718.60442799999998</v>
      </c>
      <c r="O113" s="176">
        <v>718.62987899999996</v>
      </c>
      <c r="P113" s="176">
        <v>649.63741000000005</v>
      </c>
      <c r="Q113" s="176">
        <v>236.14420899999999</v>
      </c>
      <c r="R113"/>
      <c r="S113"/>
      <c r="T113"/>
      <c r="U113"/>
      <c r="V113"/>
      <c r="W113"/>
      <c r="X113"/>
      <c r="Y113"/>
      <c r="Z113"/>
    </row>
    <row r="114" spans="1:26" ht="15">
      <c r="A114" s="210"/>
      <c r="B114" s="137" t="s">
        <v>79</v>
      </c>
      <c r="C114" s="176">
        <v>713.30986199999995</v>
      </c>
      <c r="D114" s="176">
        <v>649.84944700000005</v>
      </c>
      <c r="E114" s="176">
        <v>711.83126400000003</v>
      </c>
      <c r="F114" s="176">
        <v>673.43300199999999</v>
      </c>
      <c r="G114" s="176">
        <v>700.56292299999996</v>
      </c>
      <c r="H114" s="176">
        <v>692.78676099999996</v>
      </c>
      <c r="I114" s="176">
        <v>753.60372900000004</v>
      </c>
      <c r="J114" s="176">
        <v>755.04466200000002</v>
      </c>
      <c r="K114" s="176">
        <v>724.18526099999997</v>
      </c>
      <c r="L114" s="176">
        <v>728.44529599999998</v>
      </c>
      <c r="M114" s="176">
        <v>709.35244399999999</v>
      </c>
      <c r="N114" s="176">
        <v>718.60442799999998</v>
      </c>
      <c r="O114" s="176">
        <v>718.62987899999996</v>
      </c>
      <c r="P114" s="176">
        <v>649.63741000000005</v>
      </c>
      <c r="Q114" s="176">
        <v>236.14420899999999</v>
      </c>
      <c r="R114"/>
      <c r="S114"/>
      <c r="T114"/>
      <c r="U114"/>
      <c r="V114"/>
      <c r="W114"/>
      <c r="X114"/>
      <c r="Y114"/>
      <c r="Z114"/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6" t="s">
        <v>73</v>
      </c>
      <c r="C117" s="111" t="str">
        <f>TEXT(EDATE(D117,-1),"mmmm aaaa")</f>
        <v>febrero 2022</v>
      </c>
      <c r="D117" s="111" t="str">
        <f t="shared" ref="D117:M117" si="6">TEXT(EDATE(E117,-1),"mmmm aaaa")</f>
        <v>marzo 2022</v>
      </c>
      <c r="E117" s="111" t="str">
        <f t="shared" si="6"/>
        <v>abril 2022</v>
      </c>
      <c r="F117" s="111" t="str">
        <f t="shared" si="6"/>
        <v>mayo 2022</v>
      </c>
      <c r="G117" s="111" t="str">
        <f t="shared" si="6"/>
        <v>junio 2022</v>
      </c>
      <c r="H117" s="111" t="str">
        <f t="shared" si="6"/>
        <v>julio 2022</v>
      </c>
      <c r="I117" s="111" t="str">
        <f t="shared" si="6"/>
        <v>agosto 2022</v>
      </c>
      <c r="J117" s="111" t="str">
        <f t="shared" si="6"/>
        <v>septiembre 2022</v>
      </c>
      <c r="K117" s="111" t="str">
        <f t="shared" si="6"/>
        <v>octubre 2022</v>
      </c>
      <c r="L117" s="111" t="str">
        <f t="shared" si="6"/>
        <v>noviembre 2022</v>
      </c>
      <c r="M117" s="111" t="str">
        <f t="shared" si="6"/>
        <v>diciembre 2022</v>
      </c>
      <c r="N117" s="111" t="str">
        <f>TEXT(EDATE(O117,-1),"mmmm aaaa")</f>
        <v>enero 2023</v>
      </c>
      <c r="O117" s="112" t="str">
        <f>A2</f>
        <v>Febrero 2023</v>
      </c>
    </row>
    <row r="118" spans="1:26">
      <c r="B118" s="207"/>
      <c r="C118" s="121" t="str">
        <f>TEXT(EDATE($A$2,-12),"mmm")&amp;".-"&amp;TEXT(EDATE($A$2,-12),"aa")</f>
        <v>feb.-22</v>
      </c>
      <c r="D118" s="121" t="str">
        <f>TEXT(EDATE($A$2,-11),"mmm")&amp;".-"&amp;TEXT(EDATE($A$2,-11),"aa")</f>
        <v>mar.-22</v>
      </c>
      <c r="E118" s="121" t="str">
        <f>TEXT(EDATE($A$2,-10),"mmm")&amp;".-"&amp;TEXT(EDATE($A$2,-10),"aa")</f>
        <v>abr.-22</v>
      </c>
      <c r="F118" s="121" t="str">
        <f>TEXT(EDATE($A$2,-9),"mmm")&amp;".-"&amp;TEXT(EDATE($A$2,-9),"aa")</f>
        <v>may.-22</v>
      </c>
      <c r="G118" s="121" t="str">
        <f>TEXT(EDATE($A$2,-8),"mmm")&amp;".-"&amp;TEXT(EDATE($A$2,-8),"aa")</f>
        <v>jun.-22</v>
      </c>
      <c r="H118" s="121" t="str">
        <f>TEXT(EDATE($A$2,-7),"mmm")&amp;".-"&amp;TEXT(EDATE($A$2,-7),"aa")</f>
        <v>jul.-22</v>
      </c>
      <c r="I118" s="121" t="str">
        <f>TEXT(EDATE($A$2,-6),"mmm")&amp;".-"&amp;TEXT(EDATE($A$2,-6),"aa")</f>
        <v>ago.-22</v>
      </c>
      <c r="J118" s="121" t="str">
        <f>TEXT(EDATE($A$2,-5),"mmm")&amp;".-"&amp;TEXT(EDATE($A$2,-5),"aa")</f>
        <v>sep.-22</v>
      </c>
      <c r="K118" s="121" t="str">
        <f>TEXT(EDATE($A$2,-4),"mmm")&amp;".-"&amp;TEXT(EDATE($A$2,-4),"aa")</f>
        <v>oct.-22</v>
      </c>
      <c r="L118" s="121" t="str">
        <f>TEXT(EDATE($A$2,-3),"mmm")&amp;".-"&amp;TEXT(EDATE($A$2,-3),"aa")</f>
        <v>nov.-22</v>
      </c>
      <c r="M118" s="121" t="str">
        <f>TEXT(EDATE($A$2,-2),"mmm")&amp;".-"&amp;TEXT(EDATE($A$2,-2),"aa")</f>
        <v>dic.-22</v>
      </c>
      <c r="N118" s="121" t="str">
        <f>TEXT(EDATE($A$2,-1),"mmm")&amp;".-"&amp;TEXT(EDATE($A$2,-1),"aa")</f>
        <v>ene.-23</v>
      </c>
      <c r="O118" s="143" t="str">
        <f>TEXT($A$2,"mmm")&amp;".-"&amp;TEXT($A$2,"aa")</f>
        <v>feb.-23</v>
      </c>
    </row>
    <row r="119" spans="1:26">
      <c r="A119" s="203" t="s">
        <v>76</v>
      </c>
      <c r="B119" s="122" t="s">
        <v>11</v>
      </c>
      <c r="C119" s="123">
        <f>HLOOKUP(C$117,$86:$101,3,FALSE)</f>
        <v>-0.58012699999999995</v>
      </c>
      <c r="D119" s="123">
        <f t="shared" ref="D119:N119" si="7">HLOOKUP(D$117,$86:$101,3,FALSE)</f>
        <v>-0.66887300000000005</v>
      </c>
      <c r="E119" s="123">
        <f t="shared" si="7"/>
        <v>-0.60548299999999999</v>
      </c>
      <c r="F119" s="123">
        <f t="shared" si="7"/>
        <v>-1.0302370000000001</v>
      </c>
      <c r="G119" s="123">
        <f t="shared" si="7"/>
        <v>29.141857000000002</v>
      </c>
      <c r="H119" s="123">
        <f t="shared" si="7"/>
        <v>50.189168000000002</v>
      </c>
      <c r="I119" s="123">
        <f t="shared" si="7"/>
        <v>5.2653150000000002</v>
      </c>
      <c r="J119" s="123">
        <f t="shared" si="7"/>
        <v>-0.60380599999999995</v>
      </c>
      <c r="K119" s="123">
        <f t="shared" si="7"/>
        <v>-0.613232</v>
      </c>
      <c r="L119" s="123">
        <f t="shared" si="7"/>
        <v>-0.58811800000000003</v>
      </c>
      <c r="M119" s="123">
        <f t="shared" si="7"/>
        <v>-0.62679200000000002</v>
      </c>
      <c r="N119" s="123">
        <f t="shared" si="7"/>
        <v>-0.72771799999999998</v>
      </c>
      <c r="O119" s="124">
        <f>HLOOKUP(O$117,$86:$101,3,FALSE)</f>
        <v>-0.70697299999999996</v>
      </c>
    </row>
    <row r="120" spans="1:26">
      <c r="A120" s="204"/>
      <c r="B120" s="105" t="s">
        <v>10</v>
      </c>
      <c r="C120" s="107">
        <f>HLOOKUP(C$117,$86:$101,4,FALSE)</f>
        <v>27.287796</v>
      </c>
      <c r="D120" s="107">
        <f t="shared" ref="D120:O120" si="8">HLOOKUP(D$117,$86:$101,4,FALSE)</f>
        <v>26.627289999999999</v>
      </c>
      <c r="E120" s="107">
        <f t="shared" si="8"/>
        <v>38.583128000000002</v>
      </c>
      <c r="F120" s="107">
        <f t="shared" si="8"/>
        <v>43.134307</v>
      </c>
      <c r="G120" s="107">
        <f t="shared" si="8"/>
        <v>52.984195999999997</v>
      </c>
      <c r="H120" s="107">
        <f t="shared" si="8"/>
        <v>59.042844000000002</v>
      </c>
      <c r="I120" s="107">
        <f t="shared" si="8"/>
        <v>60.455578000000003</v>
      </c>
      <c r="J120" s="107">
        <f t="shared" si="8"/>
        <v>32.713324999999998</v>
      </c>
      <c r="K120" s="107">
        <f t="shared" si="8"/>
        <v>17.166284999999998</v>
      </c>
      <c r="L120" s="107">
        <f t="shared" si="8"/>
        <v>9.2819520000000004</v>
      </c>
      <c r="M120" s="107">
        <f t="shared" si="8"/>
        <v>2.2104400000000002</v>
      </c>
      <c r="N120" s="107">
        <f t="shared" si="8"/>
        <v>5.0179289999999996</v>
      </c>
      <c r="O120" s="124">
        <f t="shared" si="8"/>
        <v>15.008727</v>
      </c>
    </row>
    <row r="121" spans="1:26">
      <c r="A121" s="204"/>
      <c r="B121" s="105" t="s">
        <v>9</v>
      </c>
      <c r="C121" s="107">
        <f>HLOOKUP(C$117,$86:$101,5,FALSE)</f>
        <v>12.016398000000001</v>
      </c>
      <c r="D121" s="107">
        <f t="shared" ref="D121:O121" si="9">HLOOKUP(D$117,$86:$101,5,FALSE)</f>
        <v>16.590530000000001</v>
      </c>
      <c r="E121" s="107">
        <f t="shared" si="9"/>
        <v>16.923745</v>
      </c>
      <c r="F121" s="107">
        <f t="shared" si="9"/>
        <v>26.908512000000002</v>
      </c>
      <c r="G121" s="107">
        <f t="shared" si="9"/>
        <v>32.914068</v>
      </c>
      <c r="H121" s="107">
        <f t="shared" si="9"/>
        <v>59.770274999999998</v>
      </c>
      <c r="I121" s="107">
        <f t="shared" si="9"/>
        <v>67.567459999999997</v>
      </c>
      <c r="J121" s="107">
        <f t="shared" si="9"/>
        <v>56.444971000000002</v>
      </c>
      <c r="K121" s="107">
        <f t="shared" si="9"/>
        <v>42.597769999999997</v>
      </c>
      <c r="L121" s="107">
        <f t="shared" si="9"/>
        <v>23.111573</v>
      </c>
      <c r="M121" s="107">
        <f t="shared" si="9"/>
        <v>26.769898999999999</v>
      </c>
      <c r="N121" s="107">
        <f t="shared" si="9"/>
        <v>49.385100000000001</v>
      </c>
      <c r="O121" s="124">
        <f t="shared" si="9"/>
        <v>32.328426999999998</v>
      </c>
    </row>
    <row r="122" spans="1:26" ht="14.25">
      <c r="A122" s="204"/>
      <c r="B122" s="105" t="s">
        <v>74</v>
      </c>
      <c r="C122" s="107">
        <f>HLOOKUP(C$117,$86:$101,6,FALSE)</f>
        <v>298.62258500000002</v>
      </c>
      <c r="D122" s="107">
        <f t="shared" ref="D122:O122" si="10">HLOOKUP(D$117,$86:$101,6,FALSE)</f>
        <v>331.00133499999998</v>
      </c>
      <c r="E122" s="107">
        <f t="shared" si="10"/>
        <v>307.42903200000001</v>
      </c>
      <c r="F122" s="107">
        <f t="shared" si="10"/>
        <v>317.55595499999998</v>
      </c>
      <c r="G122" s="107">
        <f t="shared" si="10"/>
        <v>367.58788099999998</v>
      </c>
      <c r="H122" s="107">
        <f t="shared" si="10"/>
        <v>396.959791</v>
      </c>
      <c r="I122" s="107">
        <f t="shared" si="10"/>
        <v>456.377207</v>
      </c>
      <c r="J122" s="107">
        <f t="shared" si="10"/>
        <v>377.07382699999999</v>
      </c>
      <c r="K122" s="107">
        <f t="shared" si="10"/>
        <v>297.32130999999998</v>
      </c>
      <c r="L122" s="107">
        <f t="shared" si="10"/>
        <v>234.47985499999999</v>
      </c>
      <c r="M122" s="107">
        <f t="shared" si="10"/>
        <v>251.18496099999999</v>
      </c>
      <c r="N122" s="107">
        <f t="shared" si="10"/>
        <v>236.33414099999999</v>
      </c>
      <c r="O122" s="124">
        <f t="shared" si="10"/>
        <v>250.50749099999999</v>
      </c>
    </row>
    <row r="123" spans="1:26">
      <c r="A123" s="204"/>
      <c r="B123" s="105" t="s">
        <v>24</v>
      </c>
      <c r="C123" s="107">
        <f>HLOOKUP(C$117,$86:$101,7,FALSE)</f>
        <v>0</v>
      </c>
      <c r="D123" s="107">
        <f t="shared" ref="D123:O123" si="11">HLOOKUP(D$117,$86:$101,7,FALSE)</f>
        <v>0</v>
      </c>
      <c r="E123" s="107">
        <f t="shared" si="11"/>
        <v>0</v>
      </c>
      <c r="F123" s="107">
        <f t="shared" si="11"/>
        <v>0</v>
      </c>
      <c r="G123" s="107">
        <f t="shared" si="11"/>
        <v>0</v>
      </c>
      <c r="H123" s="107">
        <f t="shared" si="11"/>
        <v>2.6835830000000001</v>
      </c>
      <c r="I123" s="107">
        <f t="shared" si="11"/>
        <v>4.441192</v>
      </c>
      <c r="J123" s="107">
        <f t="shared" si="11"/>
        <v>4.0880280000000004</v>
      </c>
      <c r="K123" s="107">
        <f t="shared" si="11"/>
        <v>0.904698</v>
      </c>
      <c r="L123" s="107">
        <f t="shared" si="11"/>
        <v>0</v>
      </c>
      <c r="M123" s="107">
        <f t="shared" si="11"/>
        <v>0</v>
      </c>
      <c r="N123" s="107">
        <f t="shared" si="11"/>
        <v>0</v>
      </c>
      <c r="O123" s="124">
        <f t="shared" si="11"/>
        <v>0</v>
      </c>
    </row>
    <row r="124" spans="1:26">
      <c r="A124" s="204"/>
      <c r="B124" s="105" t="s">
        <v>5</v>
      </c>
      <c r="C124" s="107">
        <f>HLOOKUP(C$117,$86:$102,8,FALSE)</f>
        <v>0.22824</v>
      </c>
      <c r="D124" s="107">
        <f t="shared" ref="D124:O124" si="12">HLOOKUP(D$117,$86:$102,8,FALSE)</f>
        <v>0.33845999999999998</v>
      </c>
      <c r="E124" s="107">
        <f t="shared" si="12"/>
        <v>0.239788</v>
      </c>
      <c r="F124" s="107">
        <f t="shared" si="12"/>
        <v>0.16079099999999999</v>
      </c>
      <c r="G124" s="107">
        <f t="shared" si="12"/>
        <v>6.1122000000000003E-2</v>
      </c>
      <c r="H124" s="107">
        <f t="shared" si="12"/>
        <v>3.0289E-2</v>
      </c>
      <c r="I124" s="107">
        <f t="shared" si="12"/>
        <v>3.2219999999999999E-2</v>
      </c>
      <c r="J124" s="107">
        <f t="shared" si="12"/>
        <v>1.2760000000000001E-2</v>
      </c>
      <c r="K124" s="107">
        <f t="shared" si="12"/>
        <v>2.8530000000000001E-3</v>
      </c>
      <c r="L124" s="107">
        <f t="shared" si="12"/>
        <v>2.5883E-2</v>
      </c>
      <c r="M124" s="107">
        <f t="shared" si="12"/>
        <v>0.100989</v>
      </c>
      <c r="N124" s="107">
        <f t="shared" si="12"/>
        <v>0.21573000000000001</v>
      </c>
      <c r="O124" s="124">
        <f t="shared" si="12"/>
        <v>0.18323999999999999</v>
      </c>
    </row>
    <row r="125" spans="1:26">
      <c r="A125" s="204"/>
      <c r="B125" s="105" t="s">
        <v>4</v>
      </c>
      <c r="C125" s="107">
        <f>HLOOKUP(C$117,$86:$102,9,FALSE)</f>
        <v>17.860306999999999</v>
      </c>
      <c r="D125" s="107">
        <f t="shared" ref="D125:O125" si="13">HLOOKUP(D$117,$86:$102,9,FALSE)</f>
        <v>13.718277</v>
      </c>
      <c r="E125" s="107">
        <f t="shared" si="13"/>
        <v>22.443795999999999</v>
      </c>
      <c r="F125" s="107">
        <f t="shared" si="13"/>
        <v>27.347473999999998</v>
      </c>
      <c r="G125" s="107">
        <f t="shared" si="13"/>
        <v>29.225943999999998</v>
      </c>
      <c r="H125" s="107">
        <f t="shared" si="13"/>
        <v>33.049954</v>
      </c>
      <c r="I125" s="107">
        <f t="shared" si="13"/>
        <v>29.653044000000001</v>
      </c>
      <c r="J125" s="107">
        <f t="shared" si="13"/>
        <v>25.055993000000001</v>
      </c>
      <c r="K125" s="107">
        <f t="shared" si="13"/>
        <v>23.236149000000001</v>
      </c>
      <c r="L125" s="107">
        <f t="shared" si="13"/>
        <v>17.029163</v>
      </c>
      <c r="M125" s="107">
        <f t="shared" si="13"/>
        <v>14.799557</v>
      </c>
      <c r="N125" s="107">
        <f t="shared" si="13"/>
        <v>18.141887000000001</v>
      </c>
      <c r="O125" s="124">
        <f t="shared" si="13"/>
        <v>21.622358999999999</v>
      </c>
    </row>
    <row r="126" spans="1:26">
      <c r="A126" s="204"/>
      <c r="B126" s="113" t="s">
        <v>22</v>
      </c>
      <c r="C126" s="107">
        <f>HLOOKUP(C$117,$86:$102,10,FALSE)</f>
        <v>0.28095199999999998</v>
      </c>
      <c r="D126" s="107">
        <f t="shared" ref="D126:O126" si="14">HLOOKUP(D$117,$86:$102,10,FALSE)</f>
        <v>0.29118100000000002</v>
      </c>
      <c r="E126" s="107">
        <f t="shared" si="14"/>
        <v>0.16531499999999999</v>
      </c>
      <c r="F126" s="107">
        <f t="shared" si="14"/>
        <v>0.166327</v>
      </c>
      <c r="G126" s="107">
        <f t="shared" si="14"/>
        <v>0.111179</v>
      </c>
      <c r="H126" s="107">
        <f t="shared" si="14"/>
        <v>9.5128000000000004E-2</v>
      </c>
      <c r="I126" s="107">
        <f t="shared" si="14"/>
        <v>5.6752999999999998E-2</v>
      </c>
      <c r="J126" s="107">
        <f t="shared" si="14"/>
        <v>7.1822999999999998E-2</v>
      </c>
      <c r="K126" s="107">
        <f t="shared" si="14"/>
        <v>9.6991999999999995E-2</v>
      </c>
      <c r="L126" s="107">
        <f t="shared" si="14"/>
        <v>8.4503999999999996E-2</v>
      </c>
      <c r="M126" s="107">
        <f t="shared" si="14"/>
        <v>7.7099000000000001E-2</v>
      </c>
      <c r="N126" s="107">
        <f t="shared" si="14"/>
        <v>9.3608999999999998E-2</v>
      </c>
      <c r="O126" s="124">
        <f t="shared" si="14"/>
        <v>0.13599800000000001</v>
      </c>
    </row>
    <row r="127" spans="1:26">
      <c r="A127" s="204"/>
      <c r="B127" s="113" t="s">
        <v>23</v>
      </c>
      <c r="C127" s="107">
        <f>HLOOKUP(C$117,$86:$102,11,FALSE)</f>
        <v>3.0684070000000001</v>
      </c>
      <c r="D127" s="107">
        <f t="shared" ref="D127:O127" si="15">HLOOKUP(D$117,$86:$102,11,FALSE)</f>
        <v>3.993204</v>
      </c>
      <c r="E127" s="107">
        <f t="shared" si="15"/>
        <v>1.8386769999999999</v>
      </c>
      <c r="F127" s="107">
        <f t="shared" si="15"/>
        <v>1.9461250000000001</v>
      </c>
      <c r="G127" s="107">
        <f t="shared" si="15"/>
        <v>1.5363420000000001</v>
      </c>
      <c r="H127" s="107">
        <f t="shared" si="15"/>
        <v>1.1719729999999999</v>
      </c>
      <c r="I127" s="107">
        <f t="shared" si="15"/>
        <v>5.1333999999999998E-2</v>
      </c>
      <c r="J127" s="107">
        <f t="shared" si="15"/>
        <v>2.0373130000000002</v>
      </c>
      <c r="K127" s="107">
        <f t="shared" si="15"/>
        <v>1.826864</v>
      </c>
      <c r="L127" s="107">
        <f t="shared" si="15"/>
        <v>2.5541079999999998</v>
      </c>
      <c r="M127" s="107">
        <f t="shared" si="15"/>
        <v>2.6199620000000001</v>
      </c>
      <c r="N127" s="107">
        <f t="shared" si="15"/>
        <v>3.055609</v>
      </c>
      <c r="O127" s="124">
        <f t="shared" si="15"/>
        <v>3.0516040000000002</v>
      </c>
    </row>
    <row r="128" spans="1:26">
      <c r="A128" s="204"/>
      <c r="B128" s="105" t="s">
        <v>55</v>
      </c>
      <c r="C128" s="107">
        <f t="shared" ref="C128:O128" si="16">HLOOKUP(C$117,$86:$102,13,FALSE)</f>
        <v>5.4414375000000001</v>
      </c>
      <c r="D128" s="107">
        <f t="shared" si="16"/>
        <v>9.6633200000000006</v>
      </c>
      <c r="E128" s="107">
        <f t="shared" si="16"/>
        <v>7.8050050000000004</v>
      </c>
      <c r="F128" s="107">
        <f t="shared" si="16"/>
        <v>11.846197500000001</v>
      </c>
      <c r="G128" s="107">
        <f t="shared" si="16"/>
        <v>13.186323</v>
      </c>
      <c r="H128" s="107">
        <f t="shared" si="16"/>
        <v>16.1606655</v>
      </c>
      <c r="I128" s="107">
        <f t="shared" si="16"/>
        <v>13.6723105</v>
      </c>
      <c r="J128" s="107">
        <f t="shared" si="16"/>
        <v>13.5816645</v>
      </c>
      <c r="K128" s="107">
        <f t="shared" si="16"/>
        <v>11.230755</v>
      </c>
      <c r="L128" s="107">
        <f t="shared" si="16"/>
        <v>10.188828000000001</v>
      </c>
      <c r="M128" s="107">
        <f t="shared" si="16"/>
        <v>10.4136255</v>
      </c>
      <c r="N128" s="107">
        <f t="shared" si="16"/>
        <v>7.3618245</v>
      </c>
      <c r="O128" s="124">
        <f t="shared" si="16"/>
        <v>9.8298860000000001</v>
      </c>
    </row>
    <row r="129" spans="1:15">
      <c r="A129" s="204"/>
      <c r="B129" s="105" t="s">
        <v>54</v>
      </c>
      <c r="C129" s="107">
        <f>HLOOKUP(C$117,$86:$102,12,FALSE)</f>
        <v>5.4414375000000001</v>
      </c>
      <c r="D129" s="107">
        <f t="shared" ref="D129:O129" si="17">HLOOKUP(D$117,$86:$102,12,FALSE)</f>
        <v>9.6633200000000006</v>
      </c>
      <c r="E129" s="107">
        <f t="shared" si="17"/>
        <v>7.8050050000000004</v>
      </c>
      <c r="F129" s="107">
        <f t="shared" si="17"/>
        <v>11.846197500000001</v>
      </c>
      <c r="G129" s="107">
        <f t="shared" si="17"/>
        <v>13.186323</v>
      </c>
      <c r="H129" s="107">
        <f t="shared" si="17"/>
        <v>16.1606655</v>
      </c>
      <c r="I129" s="107">
        <f t="shared" si="17"/>
        <v>13.6723105</v>
      </c>
      <c r="J129" s="107">
        <f t="shared" si="17"/>
        <v>13.5816645</v>
      </c>
      <c r="K129" s="107">
        <f t="shared" si="17"/>
        <v>11.230755</v>
      </c>
      <c r="L129" s="107">
        <f t="shared" si="17"/>
        <v>10.188828000000001</v>
      </c>
      <c r="M129" s="107">
        <f t="shared" si="17"/>
        <v>10.4136255</v>
      </c>
      <c r="N129" s="107">
        <f t="shared" si="17"/>
        <v>7.3618245</v>
      </c>
      <c r="O129" s="124">
        <f t="shared" si="17"/>
        <v>9.8298860000000001</v>
      </c>
    </row>
    <row r="130" spans="1:15">
      <c r="A130" s="204"/>
      <c r="B130" s="114" t="s">
        <v>2</v>
      </c>
      <c r="C130" s="115">
        <f>HLOOKUP(C$117,$86:$102,14,FALSE)</f>
        <v>369.66743300000002</v>
      </c>
      <c r="D130" s="115">
        <f t="shared" ref="D130:O130" si="18">HLOOKUP(D$117,$86:$102,14,FALSE)</f>
        <v>411.21804400000002</v>
      </c>
      <c r="E130" s="115">
        <f t="shared" si="18"/>
        <v>402.62800800000002</v>
      </c>
      <c r="F130" s="115">
        <f t="shared" si="18"/>
        <v>439.88164899999998</v>
      </c>
      <c r="G130" s="115">
        <f t="shared" si="18"/>
        <v>539.93523500000003</v>
      </c>
      <c r="H130" s="115">
        <f t="shared" si="18"/>
        <v>635.31433600000003</v>
      </c>
      <c r="I130" s="115">
        <f t="shared" si="18"/>
        <v>651.24472400000002</v>
      </c>
      <c r="J130" s="115">
        <f t="shared" si="18"/>
        <v>524.05756299999996</v>
      </c>
      <c r="K130" s="115">
        <f t="shared" si="18"/>
        <v>405.00119899999999</v>
      </c>
      <c r="L130" s="115">
        <f t="shared" si="18"/>
        <v>306.35657600000002</v>
      </c>
      <c r="M130" s="115">
        <f t="shared" si="18"/>
        <v>317.96336600000001</v>
      </c>
      <c r="N130" s="115">
        <f t="shared" si="18"/>
        <v>326.239936</v>
      </c>
      <c r="O130" s="125">
        <f t="shared" si="18"/>
        <v>341.79064499999998</v>
      </c>
    </row>
    <row r="131" spans="1:15">
      <c r="A131" s="204"/>
      <c r="B131" s="105" t="s">
        <v>21</v>
      </c>
      <c r="C131" s="116">
        <f>HLOOKUP(C$117,$86:$102,15,FALSE)</f>
        <v>27.502502</v>
      </c>
      <c r="D131" s="116">
        <f t="shared" ref="D131:O131" si="19">HLOOKUP(D$117,$86:$102,15,FALSE)</f>
        <v>30.689281000000001</v>
      </c>
      <c r="E131" s="116">
        <f t="shared" si="19"/>
        <v>33.641058999999998</v>
      </c>
      <c r="F131" s="116">
        <f t="shared" si="19"/>
        <v>32.047055999999998</v>
      </c>
      <c r="G131" s="116">
        <f t="shared" si="19"/>
        <v>35.225064000000003</v>
      </c>
      <c r="H131" s="116">
        <f t="shared" si="19"/>
        <v>67.033137999999994</v>
      </c>
      <c r="I131" s="116">
        <f t="shared" si="19"/>
        <v>77.653036</v>
      </c>
      <c r="J131" s="116">
        <f t="shared" si="19"/>
        <v>70.647335999999996</v>
      </c>
      <c r="K131" s="116">
        <f t="shared" si="19"/>
        <v>61.365385000000003</v>
      </c>
      <c r="L131" s="116">
        <f t="shared" si="19"/>
        <v>55.991686000000001</v>
      </c>
      <c r="M131" s="116">
        <f t="shared" si="19"/>
        <v>79.778822000000005</v>
      </c>
      <c r="N131" s="116">
        <f t="shared" si="19"/>
        <v>123.950131</v>
      </c>
      <c r="O131" s="116">
        <f t="shared" si="19"/>
        <v>89.734262000000001</v>
      </c>
    </row>
    <row r="132" spans="1:15">
      <c r="A132" s="204"/>
      <c r="B132" s="117" t="s">
        <v>1</v>
      </c>
      <c r="C132" s="118">
        <f>HLOOKUP(C$117,$86:$102,16,FALSE)</f>
        <v>397.16993500000001</v>
      </c>
      <c r="D132" s="118">
        <f t="shared" ref="D132:O132" si="20">HLOOKUP(D$117,$86:$102,16,FALSE)</f>
        <v>441.90732500000001</v>
      </c>
      <c r="E132" s="118">
        <f t="shared" si="20"/>
        <v>436.26906700000001</v>
      </c>
      <c r="F132" s="118">
        <f t="shared" si="20"/>
        <v>471.92870499999998</v>
      </c>
      <c r="G132" s="118">
        <f t="shared" si="20"/>
        <v>575.16029900000001</v>
      </c>
      <c r="H132" s="118">
        <f t="shared" si="20"/>
        <v>702.34747400000003</v>
      </c>
      <c r="I132" s="118">
        <f t="shared" si="20"/>
        <v>728.89775999999995</v>
      </c>
      <c r="J132" s="118">
        <f t="shared" si="20"/>
        <v>594.70489899999995</v>
      </c>
      <c r="K132" s="118">
        <f t="shared" si="20"/>
        <v>466.36658399999999</v>
      </c>
      <c r="L132" s="118">
        <f t="shared" si="20"/>
        <v>362.34826199999998</v>
      </c>
      <c r="M132" s="118">
        <f t="shared" si="20"/>
        <v>397.742188</v>
      </c>
      <c r="N132" s="118">
        <f t="shared" si="20"/>
        <v>450.190067</v>
      </c>
      <c r="O132" s="118">
        <f t="shared" si="20"/>
        <v>431.52490699999998</v>
      </c>
    </row>
    <row r="133" spans="1:15" ht="14.25">
      <c r="A133" s="205"/>
      <c r="B133" s="126" t="s">
        <v>75</v>
      </c>
      <c r="C133" s="127">
        <f>C120+C121+C123</f>
        <v>39.304194000000003</v>
      </c>
      <c r="D133" s="127">
        <f>D120+D121+D123</f>
        <v>43.217820000000003</v>
      </c>
      <c r="E133" s="127">
        <f t="shared" ref="E133:O133" si="21">E120+E121+E123</f>
        <v>55.506872999999999</v>
      </c>
      <c r="F133" s="127">
        <f t="shared" si="21"/>
        <v>70.042819000000009</v>
      </c>
      <c r="G133" s="127">
        <f t="shared" si="21"/>
        <v>85.898263999999998</v>
      </c>
      <c r="H133" s="127">
        <f t="shared" si="21"/>
        <v>121.496702</v>
      </c>
      <c r="I133" s="127">
        <f t="shared" si="21"/>
        <v>132.46422999999999</v>
      </c>
      <c r="J133" s="127">
        <f t="shared" si="21"/>
        <v>93.246324000000001</v>
      </c>
      <c r="K133" s="127">
        <f t="shared" si="21"/>
        <v>60.668753000000002</v>
      </c>
      <c r="L133" s="127">
        <f t="shared" si="21"/>
        <v>32.393524999999997</v>
      </c>
      <c r="M133" s="127">
        <f t="shared" si="21"/>
        <v>28.980339000000001</v>
      </c>
      <c r="N133" s="127">
        <f t="shared" si="21"/>
        <v>54.403029000000004</v>
      </c>
      <c r="O133" s="127">
        <f t="shared" si="21"/>
        <v>47.337153999999998</v>
      </c>
    </row>
    <row r="134" spans="1:15">
      <c r="A134" s="203" t="s">
        <v>77</v>
      </c>
      <c r="B134" s="128" t="s">
        <v>73</v>
      </c>
      <c r="C134" s="111" t="str">
        <f>TEXT(EDATE($A$2,-12),"mmm")&amp;".-"&amp;TEXT(EDATE($A$2,-12),"aa")</f>
        <v>feb.-22</v>
      </c>
      <c r="D134" s="111" t="str">
        <f>TEXT(EDATE($A$2,-11),"mmm")&amp;".-"&amp;TEXT(EDATE($A$2,-11),"aa")</f>
        <v>mar.-22</v>
      </c>
      <c r="E134" s="111" t="str">
        <f>TEXT(EDATE($A$2,-10),"mmm")&amp;".-"&amp;TEXT(EDATE($A$2,-10),"aa")</f>
        <v>abr.-22</v>
      </c>
      <c r="F134" s="111" t="str">
        <f>TEXT(EDATE($A$2,-9),"mmm")&amp;".-"&amp;TEXT(EDATE($A$2,-9),"aa")</f>
        <v>may.-22</v>
      </c>
      <c r="G134" s="111" t="str">
        <f>TEXT(EDATE($A$2,-8),"mmm")&amp;".-"&amp;TEXT(EDATE($A$2,-8),"aa")</f>
        <v>jun.-22</v>
      </c>
      <c r="H134" s="111" t="str">
        <f>TEXT(EDATE($A$2,-7),"mmm")&amp;".-"&amp;TEXT(EDATE($A$2,-7),"aa")</f>
        <v>jul.-22</v>
      </c>
      <c r="I134" s="111" t="str">
        <f>TEXT(EDATE($A$2,-6),"mmm")&amp;".-"&amp;TEXT(EDATE($A$2,-6),"aa")</f>
        <v>ago.-22</v>
      </c>
      <c r="J134" s="111" t="str">
        <f>TEXT(EDATE($A$2,-5),"mmm")&amp;".-"&amp;TEXT(EDATE($A$2,-5),"aa")</f>
        <v>sep.-22</v>
      </c>
      <c r="K134" s="111" t="str">
        <f>TEXT(EDATE($A$2,-4),"mmm")&amp;".-"&amp;TEXT(EDATE($A$2,-4),"aa")</f>
        <v>oct.-22</v>
      </c>
      <c r="L134" s="111" t="str">
        <f>TEXT(EDATE($A$2,-3),"mmm")&amp;".-"&amp;TEXT(EDATE($A$2,-3),"aa")</f>
        <v>nov.-22</v>
      </c>
      <c r="M134" s="111" t="str">
        <f>TEXT(EDATE($A$2,-2),"mmm")&amp;".-"&amp;TEXT(EDATE($A$2,-2),"aa")</f>
        <v>dic.-22</v>
      </c>
      <c r="N134" s="111" t="str">
        <f>TEXT(EDATE($A$2,-1),"mmm")&amp;".-"&amp;TEXT(EDATE($A$2,-1),"aa")</f>
        <v>ene.-23</v>
      </c>
      <c r="O134" s="112" t="str">
        <f>TEXT($A$2,"mmm")&amp;".-"&amp;TEXT($A$2,"aa")</f>
        <v>feb.-23</v>
      </c>
    </row>
    <row r="135" spans="1:15" ht="15" customHeight="1">
      <c r="A135" s="204"/>
      <c r="B135" s="105" t="s">
        <v>12</v>
      </c>
      <c r="C135" s="107">
        <f>HLOOKUP(C$117,$86:$115,17,FALSE)</f>
        <v>0.25058200000000003</v>
      </c>
      <c r="D135" s="107">
        <f t="shared" ref="D135:N135" si="22">HLOOKUP(D$117,$86:$115,17,FALSE)</f>
        <v>0.29644599999999999</v>
      </c>
      <c r="E135" s="107">
        <f t="shared" si="22"/>
        <v>0.27407199999999998</v>
      </c>
      <c r="F135" s="107">
        <f t="shared" si="22"/>
        <v>0.29880499999999999</v>
      </c>
      <c r="G135" s="107">
        <f t="shared" si="22"/>
        <v>0.28138299999999999</v>
      </c>
      <c r="H135" s="107">
        <f t="shared" si="22"/>
        <v>0.29436099999999998</v>
      </c>
      <c r="I135" s="107">
        <f t="shared" si="22"/>
        <v>0.29274699999999998</v>
      </c>
      <c r="J135" s="107">
        <f t="shared" si="22"/>
        <v>0.28892499999999999</v>
      </c>
      <c r="K135" s="107">
        <f t="shared" si="22"/>
        <v>0.29362700000000003</v>
      </c>
      <c r="L135" s="107">
        <f t="shared" si="22"/>
        <v>0.27748800000000001</v>
      </c>
      <c r="M135" s="107">
        <f t="shared" si="22"/>
        <v>0.28889599999999999</v>
      </c>
      <c r="N135" s="107">
        <f t="shared" si="22"/>
        <v>0.27497500000000002</v>
      </c>
      <c r="O135" s="144">
        <f>HLOOKUP(O$117,$86:$115,17,FALSE)</f>
        <v>0.25442500000000001</v>
      </c>
    </row>
    <row r="136" spans="1:15">
      <c r="A136" s="204"/>
      <c r="B136" s="105" t="s">
        <v>10</v>
      </c>
      <c r="C136" s="107">
        <f>HLOOKUP(C$117,$86:$115,18,FALSE)+HLOOKUP(C$117,$86:$115,22,FALSE)</f>
        <v>129.27922799999999</v>
      </c>
      <c r="D136" s="107">
        <f>HLOOKUP(D$117,$86:$115,18,FALSE)+HLOOKUP(D$117,$86:$115,22,FALSE)</f>
        <v>148.837288</v>
      </c>
      <c r="E136" s="107">
        <f t="shared" ref="E136:N136" si="23">HLOOKUP(E$117,$86:$115,18,FALSE)+HLOOKUP(E$117,$86:$115,22,FALSE)</f>
        <v>137.06189800000001</v>
      </c>
      <c r="F136" s="107">
        <f t="shared" si="23"/>
        <v>142.20013900000001</v>
      </c>
      <c r="G136" s="107">
        <f t="shared" si="23"/>
        <v>140.17607899999999</v>
      </c>
      <c r="H136" s="107">
        <f t="shared" si="23"/>
        <v>145.15531900000002</v>
      </c>
      <c r="I136" s="107">
        <f t="shared" si="23"/>
        <v>144.43410399999999</v>
      </c>
      <c r="J136" s="107">
        <f t="shared" si="23"/>
        <v>147.13240399999998</v>
      </c>
      <c r="K136" s="107">
        <f t="shared" si="23"/>
        <v>153.679869</v>
      </c>
      <c r="L136" s="107">
        <f t="shared" si="23"/>
        <v>154.14358299999998</v>
      </c>
      <c r="M136" s="107">
        <f t="shared" si="23"/>
        <v>168.09965300000002</v>
      </c>
      <c r="N136" s="107">
        <f t="shared" si="23"/>
        <v>149.652828</v>
      </c>
      <c r="O136" s="124">
        <f>HLOOKUP(O$117,$86:$115,18,FALSE)+HLOOKUP(O$117,$86:$115,22,FALSE)</f>
        <v>151.16172699999998</v>
      </c>
    </row>
    <row r="137" spans="1:15">
      <c r="A137" s="204"/>
      <c r="B137" s="105" t="s">
        <v>9</v>
      </c>
      <c r="C137" s="107">
        <f>HLOOKUP(C$117,$86:$115,19,FALSE)</f>
        <v>22.304445000000001</v>
      </c>
      <c r="D137" s="107">
        <f t="shared" ref="D137:O137" si="24">HLOOKUP(D$117,$86:$115,19,FALSE)</f>
        <v>22.266978999999999</v>
      </c>
      <c r="E137" s="107">
        <f t="shared" si="24"/>
        <v>17.593667</v>
      </c>
      <c r="F137" s="107">
        <f t="shared" si="24"/>
        <v>15.375764</v>
      </c>
      <c r="G137" s="107">
        <f t="shared" si="24"/>
        <v>14.745189</v>
      </c>
      <c r="H137" s="107">
        <f t="shared" si="24"/>
        <v>19.947948</v>
      </c>
      <c r="I137" s="107">
        <f t="shared" si="24"/>
        <v>17.951955999999999</v>
      </c>
      <c r="J137" s="107">
        <f t="shared" si="24"/>
        <v>27.959973000000002</v>
      </c>
      <c r="K137" s="107">
        <f t="shared" si="24"/>
        <v>36.672798</v>
      </c>
      <c r="L137" s="107">
        <f t="shared" si="24"/>
        <v>23.967887999999999</v>
      </c>
      <c r="M137" s="107">
        <f t="shared" si="24"/>
        <v>22.080762</v>
      </c>
      <c r="N137" s="107">
        <f t="shared" si="24"/>
        <v>14.760491</v>
      </c>
      <c r="O137" s="124">
        <f t="shared" si="24"/>
        <v>26.990496</v>
      </c>
    </row>
    <row r="138" spans="1:15">
      <c r="A138" s="204"/>
      <c r="B138" s="105" t="s">
        <v>8</v>
      </c>
      <c r="C138" s="107">
        <f>HLOOKUP(C$117,$86:$115,20,FALSE)</f>
        <v>102.630663</v>
      </c>
      <c r="D138" s="107">
        <f t="shared" ref="D138:O138" si="25">HLOOKUP(D$117,$86:$115,20,FALSE)</f>
        <v>114.410944</v>
      </c>
      <c r="E138" s="107">
        <f t="shared" si="25"/>
        <v>103.636366</v>
      </c>
      <c r="F138" s="107">
        <f t="shared" si="25"/>
        <v>86.849653000000004</v>
      </c>
      <c r="G138" s="107">
        <f t="shared" si="25"/>
        <v>60.625902000000004</v>
      </c>
      <c r="H138" s="107">
        <f t="shared" si="25"/>
        <v>73.213599000000002</v>
      </c>
      <c r="I138" s="107">
        <f t="shared" si="25"/>
        <v>102.417012</v>
      </c>
      <c r="J138" s="107">
        <f t="shared" si="25"/>
        <v>110.953991</v>
      </c>
      <c r="K138" s="107">
        <f t="shared" si="25"/>
        <v>118.59882</v>
      </c>
      <c r="L138" s="107">
        <f t="shared" si="25"/>
        <v>93.771169</v>
      </c>
      <c r="M138" s="107">
        <f t="shared" si="25"/>
        <v>122.69665500000001</v>
      </c>
      <c r="N138" s="107">
        <f t="shared" si="25"/>
        <v>118.030389</v>
      </c>
      <c r="O138" s="124">
        <f t="shared" si="25"/>
        <v>118.052049</v>
      </c>
    </row>
    <row r="139" spans="1:15" ht="14.25">
      <c r="A139" s="204"/>
      <c r="B139" s="105" t="s">
        <v>74</v>
      </c>
      <c r="C139" s="107">
        <f>HLOOKUP(C$117,$86:$115,21,FALSE)</f>
        <v>285.34500700000001</v>
      </c>
      <c r="D139" s="107">
        <f t="shared" ref="D139:O139" si="26">HLOOKUP(D$117,$86:$115,21,FALSE)</f>
        <v>288.52109999999999</v>
      </c>
      <c r="E139" s="107">
        <f t="shared" si="26"/>
        <v>265.37271800000002</v>
      </c>
      <c r="F139" s="107">
        <f t="shared" si="26"/>
        <v>303.45663500000001</v>
      </c>
      <c r="G139" s="107">
        <f t="shared" si="26"/>
        <v>283.58392400000002</v>
      </c>
      <c r="H139" s="107">
        <f t="shared" si="26"/>
        <v>295.51749599999999</v>
      </c>
      <c r="I139" s="107">
        <f t="shared" si="26"/>
        <v>269.79137200000002</v>
      </c>
      <c r="J139" s="107">
        <f t="shared" si="26"/>
        <v>285.29845599999999</v>
      </c>
      <c r="K139" s="107">
        <f t="shared" si="26"/>
        <v>305.38632699999999</v>
      </c>
      <c r="L139" s="107">
        <f t="shared" si="26"/>
        <v>309.74341800000002</v>
      </c>
      <c r="M139" s="107">
        <f t="shared" si="26"/>
        <v>347.66188299999999</v>
      </c>
      <c r="N139" s="107">
        <f t="shared" si="26"/>
        <v>279.418815</v>
      </c>
      <c r="O139" s="124">
        <f t="shared" si="26"/>
        <v>289.33312999999998</v>
      </c>
    </row>
    <row r="140" spans="1:15">
      <c r="A140" s="204"/>
      <c r="B140" s="105" t="s">
        <v>6</v>
      </c>
      <c r="C140" s="107">
        <f>HLOOKUP(C$117,$86:$115,23,FALSE)</f>
        <v>1.4820450000000001</v>
      </c>
      <c r="D140" s="107">
        <f t="shared" ref="D140:O140" si="27">HLOOKUP(D$117,$86:$115,23,FALSE)</f>
        <v>2.1263230000000002</v>
      </c>
      <c r="E140" s="107">
        <f t="shared" si="27"/>
        <v>1.7525280000000001</v>
      </c>
      <c r="F140" s="107">
        <f t="shared" si="27"/>
        <v>1.9171739999999999</v>
      </c>
      <c r="G140" s="107">
        <f t="shared" si="27"/>
        <v>2.44956</v>
      </c>
      <c r="H140" s="107">
        <f t="shared" si="27"/>
        <v>3.5629430000000002</v>
      </c>
      <c r="I140" s="107">
        <f t="shared" si="27"/>
        <v>3.5176750000000001</v>
      </c>
      <c r="J140" s="107">
        <f t="shared" si="27"/>
        <v>2.0750950000000001</v>
      </c>
      <c r="K140" s="107">
        <f t="shared" si="27"/>
        <v>1.3500719999999999</v>
      </c>
      <c r="L140" s="107">
        <f t="shared" si="27"/>
        <v>1.1694089999999999</v>
      </c>
      <c r="M140" s="107">
        <f t="shared" si="27"/>
        <v>0.36710399999999999</v>
      </c>
      <c r="N140" s="107">
        <f t="shared" si="27"/>
        <v>1.6495040000000001</v>
      </c>
      <c r="O140" s="124">
        <f t="shared" si="27"/>
        <v>0.82934099999999999</v>
      </c>
    </row>
    <row r="141" spans="1:15">
      <c r="A141" s="204"/>
      <c r="B141" s="105" t="s">
        <v>5</v>
      </c>
      <c r="C141" s="107">
        <f>HLOOKUP(C$117,$86:$115,24,FALSE)</f>
        <v>88.964033999999998</v>
      </c>
      <c r="D141" s="107">
        <f t="shared" ref="D141:O141" si="28">HLOOKUP(D$117,$86:$115,24,FALSE)</f>
        <v>109.414616</v>
      </c>
      <c r="E141" s="107">
        <f t="shared" si="28"/>
        <v>120.73900500000001</v>
      </c>
      <c r="F141" s="107">
        <f t="shared" si="28"/>
        <v>116.77421</v>
      </c>
      <c r="G141" s="107">
        <f t="shared" si="28"/>
        <v>159.50470799999999</v>
      </c>
      <c r="H141" s="107">
        <f t="shared" si="28"/>
        <v>180.96485300000001</v>
      </c>
      <c r="I141" s="107">
        <f t="shared" si="28"/>
        <v>183.70770899999999</v>
      </c>
      <c r="J141" s="107">
        <f t="shared" si="28"/>
        <v>123.26133799999999</v>
      </c>
      <c r="K141" s="107">
        <f t="shared" si="28"/>
        <v>85.114315000000005</v>
      </c>
      <c r="L141" s="107">
        <f t="shared" si="28"/>
        <v>102.415227</v>
      </c>
      <c r="M141" s="107">
        <f t="shared" si="28"/>
        <v>37.762255000000003</v>
      </c>
      <c r="N141" s="107">
        <f t="shared" si="28"/>
        <v>131.99994699999999</v>
      </c>
      <c r="O141" s="124">
        <f t="shared" si="28"/>
        <v>42.280110000000001</v>
      </c>
    </row>
    <row r="142" spans="1:15">
      <c r="A142" s="204"/>
      <c r="B142" s="105" t="s">
        <v>4</v>
      </c>
      <c r="C142" s="107">
        <f>HLOOKUP(C$117,$86:$115,25,FALSE)</f>
        <v>18.872744999999998</v>
      </c>
      <c r="D142" s="107">
        <f t="shared" ref="D142:O142" si="29">HLOOKUP(D$117,$86:$115,25,FALSE)</f>
        <v>25.047723999999999</v>
      </c>
      <c r="E142" s="107">
        <f t="shared" si="29"/>
        <v>26.389223999999999</v>
      </c>
      <c r="F142" s="107">
        <f t="shared" si="29"/>
        <v>32.969079000000001</v>
      </c>
      <c r="G142" s="107">
        <f t="shared" si="29"/>
        <v>30.72391</v>
      </c>
      <c r="H142" s="107">
        <f t="shared" si="29"/>
        <v>34.258988000000002</v>
      </c>
      <c r="I142" s="107">
        <f t="shared" si="29"/>
        <v>32.216773000000003</v>
      </c>
      <c r="J142" s="107">
        <f t="shared" si="29"/>
        <v>26.500267000000001</v>
      </c>
      <c r="K142" s="107">
        <f t="shared" si="29"/>
        <v>26.61814</v>
      </c>
      <c r="L142" s="107">
        <f t="shared" si="29"/>
        <v>23.099277000000001</v>
      </c>
      <c r="M142" s="107">
        <f t="shared" si="29"/>
        <v>18.862687999999999</v>
      </c>
      <c r="N142" s="107">
        <f t="shared" si="29"/>
        <v>22.058796999999998</v>
      </c>
      <c r="O142" s="124">
        <f t="shared" si="29"/>
        <v>20.025044999999999</v>
      </c>
    </row>
    <row r="143" spans="1:15">
      <c r="A143" s="204"/>
      <c r="B143" s="105" t="s">
        <v>22</v>
      </c>
      <c r="C143" s="107">
        <f>HLOOKUP(C$117,$86:$115,26,FALSE)</f>
        <v>0.72069799999999995</v>
      </c>
      <c r="D143" s="107">
        <f t="shared" ref="D143:O143" si="30">HLOOKUP(D$117,$86:$115,26,FALSE)</f>
        <v>0.90984399999999999</v>
      </c>
      <c r="E143" s="107">
        <f t="shared" si="30"/>
        <v>0.61352399999999996</v>
      </c>
      <c r="F143" s="107">
        <f t="shared" si="30"/>
        <v>0.72146399999999999</v>
      </c>
      <c r="G143" s="107">
        <f t="shared" si="30"/>
        <v>0.696106</v>
      </c>
      <c r="H143" s="107">
        <f t="shared" si="30"/>
        <v>0.688222</v>
      </c>
      <c r="I143" s="107">
        <f t="shared" si="30"/>
        <v>0.71531400000000001</v>
      </c>
      <c r="J143" s="107">
        <f t="shared" si="30"/>
        <v>0.714812</v>
      </c>
      <c r="K143" s="107">
        <f t="shared" si="30"/>
        <v>0.73132799999999998</v>
      </c>
      <c r="L143" s="107">
        <f t="shared" si="30"/>
        <v>0.76498500000000003</v>
      </c>
      <c r="M143" s="107">
        <f t="shared" si="30"/>
        <v>0.78453200000000001</v>
      </c>
      <c r="N143" s="107">
        <f t="shared" si="30"/>
        <v>0.78413299999999997</v>
      </c>
      <c r="O143" s="124">
        <f t="shared" si="30"/>
        <v>0.71108700000000002</v>
      </c>
    </row>
    <row r="144" spans="1:15">
      <c r="A144" s="204"/>
      <c r="B144" s="117" t="s">
        <v>1</v>
      </c>
      <c r="C144" s="118">
        <f>HLOOKUP(C$117,$86:$115,28,FALSE)</f>
        <v>649.84944700000005</v>
      </c>
      <c r="D144" s="118">
        <f t="shared" ref="D144:O144" si="31">HLOOKUP(D$117,$86:$115,28,FALSE)</f>
        <v>711.83126400000003</v>
      </c>
      <c r="E144" s="118">
        <f t="shared" si="31"/>
        <v>673.43300199999999</v>
      </c>
      <c r="F144" s="118">
        <f t="shared" si="31"/>
        <v>700.56292299999996</v>
      </c>
      <c r="G144" s="118">
        <f t="shared" si="31"/>
        <v>692.78676099999996</v>
      </c>
      <c r="H144" s="118">
        <f t="shared" si="31"/>
        <v>753.60372900000004</v>
      </c>
      <c r="I144" s="118">
        <f t="shared" si="31"/>
        <v>755.04466200000002</v>
      </c>
      <c r="J144" s="118">
        <f t="shared" si="31"/>
        <v>724.18526099999997</v>
      </c>
      <c r="K144" s="118">
        <f t="shared" si="31"/>
        <v>728.44529599999998</v>
      </c>
      <c r="L144" s="118">
        <f t="shared" si="31"/>
        <v>709.35244399999999</v>
      </c>
      <c r="M144" s="118">
        <f t="shared" si="31"/>
        <v>718.60442799999998</v>
      </c>
      <c r="N144" s="118">
        <f t="shared" si="31"/>
        <v>718.62987899999996</v>
      </c>
      <c r="O144" s="118">
        <f t="shared" si="31"/>
        <v>649.63741000000005</v>
      </c>
    </row>
    <row r="145" spans="1:26">
      <c r="A145" s="204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4.25">
      <c r="A146" s="205"/>
      <c r="B146" s="126" t="s">
        <v>75</v>
      </c>
      <c r="C146" s="130">
        <f>SUM(C136:C138)</f>
        <v>254.21433599999997</v>
      </c>
      <c r="D146" s="130">
        <f t="shared" ref="D146:N146" si="32">SUM(D136:D138)</f>
        <v>285.51521100000002</v>
      </c>
      <c r="E146" s="130">
        <f t="shared" si="32"/>
        <v>258.29193100000003</v>
      </c>
      <c r="F146" s="130">
        <f t="shared" si="32"/>
        <v>244.42555600000003</v>
      </c>
      <c r="G146" s="130">
        <f t="shared" si="32"/>
        <v>215.54716999999999</v>
      </c>
      <c r="H146" s="130">
        <f t="shared" si="32"/>
        <v>238.316866</v>
      </c>
      <c r="I146" s="130">
        <f t="shared" si="32"/>
        <v>264.80307199999999</v>
      </c>
      <c r="J146" s="130">
        <f t="shared" si="32"/>
        <v>286.04636799999997</v>
      </c>
      <c r="K146" s="130">
        <f t="shared" si="32"/>
        <v>308.95148699999999</v>
      </c>
      <c r="L146" s="130">
        <f t="shared" si="32"/>
        <v>271.88263999999998</v>
      </c>
      <c r="M146" s="130">
        <f t="shared" si="32"/>
        <v>312.87707</v>
      </c>
      <c r="N146" s="130">
        <f t="shared" si="32"/>
        <v>282.44370800000002</v>
      </c>
      <c r="O146" s="131">
        <f>SUM(O136:O138)</f>
        <v>296.204272</v>
      </c>
    </row>
    <row r="149" spans="1:26" ht="15">
      <c r="A149" s="157"/>
      <c r="B149" s="157" t="s">
        <v>68</v>
      </c>
      <c r="C149" s="202" t="s">
        <v>57</v>
      </c>
      <c r="D149" s="198"/>
      <c r="E149" s="198"/>
      <c r="F149" s="198"/>
      <c r="G149" s="198"/>
      <c r="H149" s="198"/>
      <c r="I149" s="198"/>
      <c r="J149" s="198"/>
      <c r="K149" s="198"/>
      <c r="L149" s="198"/>
      <c r="M149" s="198"/>
      <c r="N149" s="198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57"/>
      <c r="B150" s="157" t="s">
        <v>69</v>
      </c>
      <c r="C150" s="179" t="s">
        <v>90</v>
      </c>
      <c r="D150" s="179" t="s">
        <v>91</v>
      </c>
      <c r="E150" s="179" t="s">
        <v>92</v>
      </c>
      <c r="F150" s="179" t="s">
        <v>93</v>
      </c>
      <c r="G150" s="179" t="s">
        <v>94</v>
      </c>
      <c r="H150" s="179" t="s">
        <v>95</v>
      </c>
      <c r="I150" s="179" t="s">
        <v>96</v>
      </c>
      <c r="J150" s="179" t="s">
        <v>97</v>
      </c>
      <c r="K150" s="179" t="s">
        <v>98</v>
      </c>
      <c r="L150" s="179" t="s">
        <v>99</v>
      </c>
      <c r="M150" s="179" t="s">
        <v>100</v>
      </c>
      <c r="N150" s="179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57" t="s">
        <v>67</v>
      </c>
      <c r="B151" s="157" t="s">
        <v>102</v>
      </c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59" t="s">
        <v>119</v>
      </c>
      <c r="B152" s="159" t="s">
        <v>120</v>
      </c>
      <c r="C152" s="177">
        <v>8.6499999999999994E-2</v>
      </c>
      <c r="D152" s="177">
        <v>5.5000000000000003E-4</v>
      </c>
      <c r="E152" s="177">
        <v>5.3780000000000001E-2</v>
      </c>
      <c r="F152" s="177">
        <v>3.2169999999999997E-2</v>
      </c>
      <c r="G152" s="177">
        <v>2.2769999999999999E-2</v>
      </c>
      <c r="H152" s="177">
        <v>3.4299999999999999E-3</v>
      </c>
      <c r="I152" s="177">
        <v>1.9269999999999999E-2</v>
      </c>
      <c r="J152" s="177">
        <v>6.9999999999999994E-5</v>
      </c>
      <c r="K152" s="177">
        <v>9.0260000000000007E-2</v>
      </c>
      <c r="L152" s="177">
        <v>2.5200000000000001E-3</v>
      </c>
      <c r="M152" s="177">
        <v>-2.1299999999999999E-3</v>
      </c>
      <c r="N152" s="177">
        <v>8.9870000000000005E-2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57"/>
      <c r="B155" s="157" t="s">
        <v>68</v>
      </c>
      <c r="C155" s="202" t="s">
        <v>58</v>
      </c>
      <c r="D155" s="198"/>
      <c r="E155" s="198"/>
      <c r="F155" s="198"/>
      <c r="G155" s="198"/>
      <c r="H155" s="198"/>
      <c r="I155" s="198"/>
      <c r="J155" s="198"/>
      <c r="K155" s="198"/>
      <c r="L155" s="198"/>
      <c r="M155" s="198"/>
      <c r="N155" s="198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7"/>
      <c r="B156" s="157" t="s">
        <v>69</v>
      </c>
      <c r="C156" s="179" t="s">
        <v>90</v>
      </c>
      <c r="D156" s="179" t="s">
        <v>91</v>
      </c>
      <c r="E156" s="179" t="s">
        <v>92</v>
      </c>
      <c r="F156" s="179" t="s">
        <v>93</v>
      </c>
      <c r="G156" s="179" t="s">
        <v>94</v>
      </c>
      <c r="H156" s="179" t="s">
        <v>95</v>
      </c>
      <c r="I156" s="179" t="s">
        <v>96</v>
      </c>
      <c r="J156" s="179" t="s">
        <v>97</v>
      </c>
      <c r="K156" s="179" t="s">
        <v>98</v>
      </c>
      <c r="L156" s="179" t="s">
        <v>99</v>
      </c>
      <c r="M156" s="179" t="s">
        <v>100</v>
      </c>
      <c r="N156" s="179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57" t="s">
        <v>67</v>
      </c>
      <c r="B157" s="157" t="s">
        <v>102</v>
      </c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59" t="s">
        <v>119</v>
      </c>
      <c r="B158" s="159" t="s">
        <v>120</v>
      </c>
      <c r="C158" s="177">
        <v>-3.3E-4</v>
      </c>
      <c r="D158" s="177">
        <v>-2.5699999999999998E-3</v>
      </c>
      <c r="E158" s="177">
        <v>1.9400000000000001E-3</v>
      </c>
      <c r="F158" s="177">
        <v>2.9999999999999997E-4</v>
      </c>
      <c r="G158" s="177">
        <v>3.7499999999999999E-3</v>
      </c>
      <c r="H158" s="177">
        <v>1.1299999999999999E-3</v>
      </c>
      <c r="I158" s="177">
        <v>6.3000000000000003E-4</v>
      </c>
      <c r="J158" s="177">
        <v>1.99E-3</v>
      </c>
      <c r="K158" s="177">
        <v>3.9960000000000002E-2</v>
      </c>
      <c r="L158" s="177">
        <v>1.0499999999999999E-3</v>
      </c>
      <c r="M158" s="177">
        <v>1.0399999999999999E-3</v>
      </c>
      <c r="N158" s="177">
        <v>3.7870000000000001E-2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4"/>
    <mergeCell ref="C85:Q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140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Febrero 2023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4" t="s">
        <v>47</v>
      </c>
      <c r="E7" s="69"/>
      <c r="F7" s="185" t="str">
        <f>K3</f>
        <v>Febrero 2023</v>
      </c>
      <c r="G7" s="186"/>
      <c r="H7" s="186" t="s">
        <v>37</v>
      </c>
      <c r="I7" s="186"/>
      <c r="J7" s="186" t="s">
        <v>38</v>
      </c>
      <c r="K7" s="186"/>
    </row>
    <row r="8" spans="3:12">
      <c r="C8" s="184"/>
      <c r="E8" s="70"/>
      <c r="F8" s="71" t="s">
        <v>13</v>
      </c>
      <c r="G8" s="97" t="str">
        <f>CONCATENATE("% ",RIGHT(F7,2),"/",RIGHT(F7,2)-1)</f>
        <v>% 23/22</v>
      </c>
      <c r="H8" s="71" t="s">
        <v>13</v>
      </c>
      <c r="I8" s="72" t="str">
        <f>G8</f>
        <v>% 23/22</v>
      </c>
      <c r="J8" s="71" t="s">
        <v>13</v>
      </c>
      <c r="K8" s="72" t="str">
        <f>G8</f>
        <v>% 23/22</v>
      </c>
    </row>
    <row r="9" spans="3:12">
      <c r="C9" s="73"/>
      <c r="E9" s="74" t="s">
        <v>39</v>
      </c>
      <c r="F9" s="75">
        <f>Dat_01!R24/1000</f>
        <v>431.52490699999998</v>
      </c>
      <c r="G9" s="147">
        <f>Dat_01!T24*100</f>
        <v>8.649942750000001</v>
      </c>
      <c r="H9" s="75">
        <f>Dat_01!U24/1000</f>
        <v>881.7149740000001</v>
      </c>
      <c r="I9" s="147">
        <f>Dat_01!W24*100</f>
        <v>2.2768489600000001</v>
      </c>
      <c r="J9" s="75">
        <f>Dat_01!X24/1000</f>
        <v>6059.3875369999996</v>
      </c>
      <c r="K9" s="147">
        <f>Dat_01!Y24*100</f>
        <v>9.0263041099999999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5.5E-2</v>
      </c>
      <c r="H12" s="94"/>
      <c r="I12" s="94">
        <f>Dat_01!H152*100</f>
        <v>0.34299999999999997</v>
      </c>
      <c r="J12" s="94"/>
      <c r="K12" s="94">
        <f>Dat_01!L152*100</f>
        <v>0.252</v>
      </c>
    </row>
    <row r="13" spans="3:12">
      <c r="E13" s="77" t="s">
        <v>42</v>
      </c>
      <c r="F13" s="76"/>
      <c r="G13" s="94">
        <f>Dat_01!E152*100</f>
        <v>5.3780000000000001</v>
      </c>
      <c r="H13" s="94"/>
      <c r="I13" s="94">
        <f>Dat_01!I152*100</f>
        <v>1.9269999999999998</v>
      </c>
      <c r="J13" s="94"/>
      <c r="K13" s="94">
        <f>Dat_01!M152*100</f>
        <v>-0.21299999999999999</v>
      </c>
    </row>
    <row r="14" spans="3:12">
      <c r="E14" s="78" t="s">
        <v>43</v>
      </c>
      <c r="F14" s="79"/>
      <c r="G14" s="95">
        <f>Dat_01!F152*100</f>
        <v>3.2169999999999996</v>
      </c>
      <c r="H14" s="95"/>
      <c r="I14" s="95">
        <f>Dat_01!J152*100</f>
        <v>6.9999999999999993E-3</v>
      </c>
      <c r="J14" s="95"/>
      <c r="K14" s="95">
        <f>Dat_01!N152*100</f>
        <v>8.9870000000000001</v>
      </c>
    </row>
    <row r="15" spans="3:12">
      <c r="E15" s="187" t="s">
        <v>44</v>
      </c>
      <c r="F15" s="187"/>
      <c r="G15" s="187"/>
      <c r="H15" s="187"/>
      <c r="I15" s="187"/>
      <c r="J15" s="187"/>
      <c r="K15" s="187"/>
    </row>
    <row r="16" spans="3:12" ht="21.75" customHeight="1">
      <c r="E16" s="183" t="s">
        <v>45</v>
      </c>
      <c r="F16" s="183"/>
      <c r="G16" s="183"/>
      <c r="H16" s="183"/>
      <c r="I16" s="183"/>
      <c r="J16" s="183"/>
      <c r="K16" s="183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  <row r="22" spans="7:11">
      <c r="G22" s="160"/>
      <c r="H22" s="160"/>
      <c r="I22" s="160"/>
      <c r="J22" s="160"/>
      <c r="K22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Febrero 2023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4" t="s">
        <v>48</v>
      </c>
      <c r="E7" s="69"/>
      <c r="F7" s="185" t="str">
        <f>K3</f>
        <v>Febrero 2023</v>
      </c>
      <c r="G7" s="186"/>
      <c r="H7" s="186" t="s">
        <v>37</v>
      </c>
      <c r="I7" s="186"/>
      <c r="J7" s="186" t="s">
        <v>38</v>
      </c>
      <c r="K7" s="186"/>
    </row>
    <row r="8" spans="3:12">
      <c r="C8" s="184"/>
      <c r="E8" s="70"/>
      <c r="F8" s="71" t="s">
        <v>13</v>
      </c>
      <c r="G8" s="97" t="str">
        <f>CONCATENATE("% ",RIGHT(F7,2),"/",RIGHT(F7,2)-1)</f>
        <v>% 23/22</v>
      </c>
      <c r="H8" s="71" t="s">
        <v>13</v>
      </c>
      <c r="I8" s="98" t="str">
        <f>G8</f>
        <v>% 23/22</v>
      </c>
      <c r="J8" s="71" t="s">
        <v>13</v>
      </c>
      <c r="K8" s="98" t="str">
        <f>G8</f>
        <v>% 23/22</v>
      </c>
    </row>
    <row r="9" spans="3:12">
      <c r="C9" s="73"/>
      <c r="E9" s="74" t="s">
        <v>39</v>
      </c>
      <c r="F9" s="75">
        <f>Dat_01!Z24/1000</f>
        <v>649.63741000000005</v>
      </c>
      <c r="G9" s="147">
        <f>Dat_01!AB24*100</f>
        <v>-3.2628629999999999E-2</v>
      </c>
      <c r="H9" s="75">
        <f>Dat_01!AC24/1000</f>
        <v>1368.2672890000001</v>
      </c>
      <c r="I9" s="147">
        <f>Dat_01!AE24*100</f>
        <v>0.37471629000000001</v>
      </c>
      <c r="J9" s="75">
        <f>Dat_01!AF24/1000</f>
        <v>8536.1170590000002</v>
      </c>
      <c r="K9" s="147">
        <f>Dat_01!AG24*100</f>
        <v>3.9955750300000004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-0.25700000000000001</v>
      </c>
      <c r="H12" s="94"/>
      <c r="I12" s="94">
        <f>Dat_01!H158*100</f>
        <v>0.11299999999999999</v>
      </c>
      <c r="J12" s="94"/>
      <c r="K12" s="94">
        <f>Dat_01!L158*100</f>
        <v>0.105</v>
      </c>
    </row>
    <row r="13" spans="3:12">
      <c r="E13" s="77" t="s">
        <v>42</v>
      </c>
      <c r="F13" s="76"/>
      <c r="G13" s="94">
        <f>Dat_01!E158*100</f>
        <v>0.19400000000000001</v>
      </c>
      <c r="H13" s="94"/>
      <c r="I13" s="94">
        <f>Dat_01!I158*100</f>
        <v>6.3E-2</v>
      </c>
      <c r="J13" s="94"/>
      <c r="K13" s="94">
        <f>Dat_01!M158*100</f>
        <v>0.104</v>
      </c>
    </row>
    <row r="14" spans="3:12">
      <c r="E14" s="78" t="s">
        <v>43</v>
      </c>
      <c r="F14" s="79"/>
      <c r="G14" s="95">
        <f>Dat_01!F158*100</f>
        <v>0.03</v>
      </c>
      <c r="H14" s="95"/>
      <c r="I14" s="95">
        <f>Dat_01!J158*100</f>
        <v>0.19900000000000001</v>
      </c>
      <c r="J14" s="95"/>
      <c r="K14" s="95">
        <f>Dat_01!N158*100</f>
        <v>3.7869999999999999</v>
      </c>
    </row>
    <row r="15" spans="3:12">
      <c r="E15" s="187" t="s">
        <v>44</v>
      </c>
      <c r="F15" s="187"/>
      <c r="G15" s="187"/>
      <c r="H15" s="187"/>
      <c r="I15" s="187"/>
      <c r="J15" s="187"/>
      <c r="K15" s="187"/>
    </row>
    <row r="16" spans="3:12" ht="21.75" customHeight="1">
      <c r="E16" s="183" t="s">
        <v>45</v>
      </c>
      <c r="F16" s="183"/>
      <c r="G16" s="183"/>
      <c r="H16" s="183"/>
      <c r="I16" s="183"/>
      <c r="J16" s="183"/>
      <c r="K16" s="183"/>
    </row>
    <row r="19" spans="7:11">
      <c r="G19" s="160"/>
      <c r="H19" s="160"/>
      <c r="I19" s="160"/>
      <c r="J19" s="160"/>
      <c r="K19" s="160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9" t="s">
        <v>126</v>
      </c>
    </row>
    <row r="2" spans="1:2">
      <c r="A2" t="s">
        <v>121</v>
      </c>
    </row>
    <row r="3" spans="1:2">
      <c r="A3" t="s">
        <v>122</v>
      </c>
    </row>
    <row r="4" spans="1:2">
      <c r="A4" t="s">
        <v>124</v>
      </c>
    </row>
    <row r="5" spans="1:2">
      <c r="A5" t="s">
        <v>125</v>
      </c>
    </row>
    <row r="6" spans="1:2">
      <c r="A6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140625" style="1" customWidth="1"/>
    <col min="6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Febrero 2023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88" t="s">
        <v>18</v>
      </c>
      <c r="E7" s="26"/>
      <c r="F7" s="189" t="s">
        <v>17</v>
      </c>
      <c r="G7" s="190"/>
      <c r="H7" s="189" t="s">
        <v>16</v>
      </c>
      <c r="I7" s="190"/>
      <c r="J7" s="189" t="s">
        <v>15</v>
      </c>
      <c r="K7" s="190"/>
      <c r="L7" s="189" t="s">
        <v>14</v>
      </c>
      <c r="M7" s="190"/>
    </row>
    <row r="8" spans="3:23" s="23" customFormat="1" ht="12.75" customHeight="1">
      <c r="C8" s="188"/>
      <c r="E8" s="25"/>
      <c r="F8" s="24" t="s">
        <v>13</v>
      </c>
      <c r="G8" s="96" t="str">
        <f>CONCATENATE("% ",RIGHT(M3,2),"/",RIGHT(M3,2)-1)</f>
        <v>% 23/22</v>
      </c>
      <c r="H8" s="24" t="s">
        <v>13</v>
      </c>
      <c r="I8" s="96" t="str">
        <f>G8</f>
        <v>% 23/22</v>
      </c>
      <c r="J8" s="24" t="s">
        <v>13</v>
      </c>
      <c r="K8" s="96" t="str">
        <f>I8</f>
        <v>% 23/22</v>
      </c>
      <c r="L8" s="24" t="s">
        <v>13</v>
      </c>
      <c r="M8" s="96" t="str">
        <f>K8</f>
        <v>% 23/22</v>
      </c>
    </row>
    <row r="9" spans="3:23" s="22" customFormat="1" ht="12.75" customHeight="1">
      <c r="C9" s="19"/>
      <c r="E9" s="17" t="s">
        <v>12</v>
      </c>
      <c r="F9" s="138" t="s">
        <v>3</v>
      </c>
      <c r="G9" s="14" t="s">
        <v>3</v>
      </c>
      <c r="H9" s="14">
        <f>Dat_01!Z8/1000</f>
        <v>0.25442500000000001</v>
      </c>
      <c r="I9" s="14">
        <f>IF(Dat_01!AB8*100=-100,"-",Dat_01!AB8*100)</f>
        <v>1.53362971</v>
      </c>
      <c r="J9" s="138" t="s">
        <v>3</v>
      </c>
      <c r="K9" s="14" t="s">
        <v>3</v>
      </c>
      <c r="L9" s="138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38" t="s">
        <v>3</v>
      </c>
      <c r="G10" s="14" t="s">
        <v>3</v>
      </c>
      <c r="H10" s="138">
        <f>Dat_01!Z15/1000</f>
        <v>0.82934099999999999</v>
      </c>
      <c r="I10" s="14">
        <f>Dat_01!AB15*100</f>
        <v>-44.040767989999999</v>
      </c>
      <c r="J10" s="138" t="s">
        <v>3</v>
      </c>
      <c r="K10" s="14" t="s">
        <v>3</v>
      </c>
      <c r="L10" s="138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4">
        <f>Dat_01!R16/1000</f>
        <v>0.18324000000000001</v>
      </c>
      <c r="G11" s="14">
        <f>Dat_01!T16*100</f>
        <v>-19.716088330000002</v>
      </c>
      <c r="H11" s="138">
        <f>Dat_01!Z16/1000</f>
        <v>42.280110000000001</v>
      </c>
      <c r="I11" s="14">
        <f>Dat_01!AB16*100</f>
        <v>-52.475053009999996</v>
      </c>
      <c r="J11" s="138" t="s">
        <v>3</v>
      </c>
      <c r="K11" s="14" t="s">
        <v>3</v>
      </c>
      <c r="L11" s="138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38">
        <f>Dat_01!R17/1000</f>
        <v>21.622358999999999</v>
      </c>
      <c r="G12" s="14">
        <f>Dat_01!T17*100</f>
        <v>21.063758869999997</v>
      </c>
      <c r="H12" s="138">
        <f>Dat_01!Z17/1000</f>
        <v>20.025044999999999</v>
      </c>
      <c r="I12" s="14">
        <f>Dat_01!AB17*100</f>
        <v>6.1056300999999999</v>
      </c>
      <c r="J12" s="138" t="s">
        <v>3</v>
      </c>
      <c r="K12" s="14" t="s">
        <v>3</v>
      </c>
      <c r="L12" s="14">
        <f>Dat_01!J17/1000</f>
        <v>4.287E-3</v>
      </c>
      <c r="M12" s="14">
        <f>IF(Dat_01!L17*100=-100,"-",Dat_01!L17*100)</f>
        <v>-6.6623122100000005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0.13599799999999998</v>
      </c>
      <c r="G13" s="14">
        <f>Dat_01!T18*100</f>
        <v>-51.593866570000003</v>
      </c>
      <c r="H13" s="138">
        <f>Dat_01!Z18/1000</f>
        <v>0.71108700000000002</v>
      </c>
      <c r="I13" s="14">
        <f>IF(Dat_01!AB18*100=-100,"-",Dat_01!AB18*100)</f>
        <v>-1.3335682899999999</v>
      </c>
      <c r="J13" s="138" t="s">
        <v>3</v>
      </c>
      <c r="K13" s="14" t="s">
        <v>3</v>
      </c>
      <c r="L13" s="138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38">
        <f>Dat_01!R21/1000</f>
        <v>9.8298860000000001</v>
      </c>
      <c r="G14" s="14">
        <f>Dat_01!T21*100</f>
        <v>80.648698070000009</v>
      </c>
      <c r="H14" s="138" t="s">
        <v>3</v>
      </c>
      <c r="I14" s="14" t="s">
        <v>3</v>
      </c>
      <c r="J14" s="138" t="s">
        <v>3</v>
      </c>
      <c r="K14" s="14" t="s">
        <v>3</v>
      </c>
      <c r="L14" s="14">
        <f>Dat_01!J21/1000</f>
        <v>0.4448725</v>
      </c>
      <c r="M14" s="14">
        <f>Dat_01!L21*100</f>
        <v>-23.627235290000002</v>
      </c>
      <c r="N14" s="7"/>
      <c r="O14" s="7"/>
    </row>
    <row r="15" spans="3:23" ht="12.75" customHeight="1">
      <c r="C15" s="10"/>
      <c r="E15" s="152" t="s">
        <v>80</v>
      </c>
      <c r="F15" s="155">
        <f>SUM(F9:F14)</f>
        <v>31.771483000000003</v>
      </c>
      <c r="G15" s="156">
        <f>((SUM(Dat_01!R8,Dat_01!R15:R18,Dat_01!R20)/SUM(Dat_01!S8,Dat_01!S15:S18,Dat_01!S20))-1)*100</f>
        <v>33.432311660652218</v>
      </c>
      <c r="H15" s="155">
        <f>SUM(H9:H14)</f>
        <v>64.100008000000003</v>
      </c>
      <c r="I15" s="156">
        <f>((SUM(Dat_01!Z8,Dat_01!Z15:Z18,Dat_01!Z20)/SUM(Dat_01!AA8,Dat_01!AA15:AA18,Dat_01!AA20))-1)*100</f>
        <v>-41.880544423097099</v>
      </c>
      <c r="J15" s="155" t="s">
        <v>3</v>
      </c>
      <c r="K15" s="156" t="s">
        <v>3</v>
      </c>
      <c r="L15" s="156">
        <f>SUM(L9:L14)</f>
        <v>0.44915949999999999</v>
      </c>
      <c r="M15" s="156">
        <f>((SUM(Dat_01!J8,Dat_01!J15:J18,Dat_01!J21)/SUM(Dat_01!K8,Dat_01!K15:K18,Dat_01!K20))-1)*100</f>
        <v>-23.494514085892469</v>
      </c>
      <c r="N15" s="7"/>
      <c r="O15" s="7"/>
    </row>
    <row r="16" spans="3:23" ht="12.75" customHeight="1">
      <c r="C16" s="19"/>
      <c r="E16" s="17" t="s">
        <v>11</v>
      </c>
      <c r="F16" s="138">
        <f>Dat_01!R9/1000</f>
        <v>-0.70697299999999996</v>
      </c>
      <c r="G16" s="14" t="s">
        <v>3</v>
      </c>
      <c r="H16" s="138" t="s">
        <v>3</v>
      </c>
      <c r="I16" s="14" t="s">
        <v>3</v>
      </c>
      <c r="J16" s="138" t="s">
        <v>3</v>
      </c>
      <c r="K16" s="14" t="s">
        <v>3</v>
      </c>
      <c r="L16" s="138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39">
        <f>SUM(Dat_01!R10,Dat_01!R14)/1000</f>
        <v>15.008727</v>
      </c>
      <c r="G17" s="20">
        <f>((SUM(Dat_01!R10,Dat_01!R14)/SUM(Dat_01!S10,Dat_01!S14))-1)*100</f>
        <v>-44.998390489286855</v>
      </c>
      <c r="H17" s="139">
        <f>SUM(Dat_01!Z10,Dat_01!Z14)/1000</f>
        <v>151.16172699999998</v>
      </c>
      <c r="I17" s="20">
        <f>((SUM(Dat_01!Z10,Dat_01!Z14)/SUM(Dat_01!AA10,Dat_01!AA14))-1)*100</f>
        <v>16.926539041523348</v>
      </c>
      <c r="J17" s="139">
        <f>Dat_01!B10/1000</f>
        <v>15.689354999999999</v>
      </c>
      <c r="K17" s="20">
        <f>Dat_01!D10*100</f>
        <v>2.6464104499999999</v>
      </c>
      <c r="L17" s="139">
        <f>Dat_01!J10/1000</f>
        <v>14.004790000000002</v>
      </c>
      <c r="M17" s="20">
        <f>Dat_01!L10*100</f>
        <v>2.0486026800000001</v>
      </c>
      <c r="N17" s="146"/>
      <c r="O17" s="145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39">
        <f>Dat_01!R11/1000</f>
        <v>32.328426999999998</v>
      </c>
      <c r="G18" s="20">
        <f>Dat_01!T11*100</f>
        <v>169.03592075</v>
      </c>
      <c r="H18" s="139">
        <f>Dat_01!Z11/1000</f>
        <v>26.990496</v>
      </c>
      <c r="I18" s="20">
        <f>Dat_01!AB11*100</f>
        <v>21.009493849999998</v>
      </c>
      <c r="J18" s="139">
        <f>Dat_01!B11/1000</f>
        <v>1.0888E-2</v>
      </c>
      <c r="K18" s="20">
        <f>IF(Dat_01!D11=-100%,"-",Dat_01!D11*100)</f>
        <v>116.71974521999999</v>
      </c>
      <c r="L18" s="139">
        <f>Dat_01!J11/1000</f>
        <v>2.0530000000000001E-3</v>
      </c>
      <c r="M18" s="20">
        <f>IF(Dat_01!L11*100=-100,"-",Dat_01!L11*100)</f>
        <v>-3.8407494100000004</v>
      </c>
      <c r="N18" s="146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39" t="s">
        <v>3</v>
      </c>
      <c r="G19" s="20" t="s">
        <v>3</v>
      </c>
      <c r="H19" s="139">
        <f>Dat_01!Z12/1000</f>
        <v>118.052049</v>
      </c>
      <c r="I19" s="20">
        <f>Dat_01!AB12*100</f>
        <v>15.026099949999999</v>
      </c>
      <c r="J19" s="139" t="s">
        <v>3</v>
      </c>
      <c r="K19" s="139" t="s">
        <v>3</v>
      </c>
      <c r="L19" s="139" t="s">
        <v>3</v>
      </c>
      <c r="M19" s="139" t="s">
        <v>3</v>
      </c>
      <c r="N19" s="146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38">
        <f>SUM(F17:F19)</f>
        <v>47.337153999999998</v>
      </c>
      <c r="G20" s="14">
        <f>((SUM(Dat_01!R10:R12,Dat_01!R14)/SUM(Dat_01!S10:S12,Dat_01!S14))-1)*100</f>
        <v>20.437920696198496</v>
      </c>
      <c r="H20" s="138">
        <f>SUM(H17:H19)</f>
        <v>296.204272</v>
      </c>
      <c r="I20" s="14">
        <f>(H20/(H17/(I17/100+1)+H18/(I18/100+1)+H19/(I19/100+1))-1)*100</f>
        <v>16.517532670652081</v>
      </c>
      <c r="J20" s="138">
        <f>SUM(J17:J19)</f>
        <v>15.700242999999999</v>
      </c>
      <c r="K20" s="14">
        <f>((SUM(Dat_01!B10:B12)/SUM(Dat_01!C10:C12))-1)*100</f>
        <v>2.6838930510830084</v>
      </c>
      <c r="L20" s="138">
        <f>SUM(L17:L19)</f>
        <v>14.006843000000002</v>
      </c>
      <c r="M20" s="14">
        <f>((SUM(Dat_01!J10:J12)/SUM(Dat_01!K10:K12))-1)*100</f>
        <v>2.0476866090398227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38">
        <f>Dat_01!R13/1000</f>
        <v>250.50749100000002</v>
      </c>
      <c r="G21" s="14">
        <f>Dat_01!T13*100</f>
        <v>-16.112342609999999</v>
      </c>
      <c r="H21" s="138">
        <f>Dat_01!Z13/1000</f>
        <v>289.33312999999998</v>
      </c>
      <c r="I21" s="14">
        <f>Dat_01!AB13*100</f>
        <v>1.3976494799999999</v>
      </c>
      <c r="J21" s="138" t="s">
        <v>3</v>
      </c>
      <c r="K21" s="14" t="s">
        <v>3</v>
      </c>
      <c r="L21" s="138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38">
        <f>Dat_01!R19/1000</f>
        <v>3.0516039999999998</v>
      </c>
      <c r="G22" s="14">
        <f>Dat_01!T19*100</f>
        <v>-0.54761313999999994</v>
      </c>
      <c r="H22" s="138">
        <f>Dat_01!Z19/1000</f>
        <v>0</v>
      </c>
      <c r="I22" s="14" t="s">
        <v>3</v>
      </c>
      <c r="J22" s="138" t="s">
        <v>3</v>
      </c>
      <c r="K22" s="14" t="s">
        <v>3</v>
      </c>
      <c r="L22" s="138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38">
        <f>Dat_01!R20/1000</f>
        <v>9.8298860000000001</v>
      </c>
      <c r="G23" s="14">
        <f>Dat_01!T20*100</f>
        <v>80.648698070000009</v>
      </c>
      <c r="H23" s="138" t="s">
        <v>3</v>
      </c>
      <c r="I23" s="14" t="s">
        <v>3</v>
      </c>
      <c r="J23" s="138" t="s">
        <v>3</v>
      </c>
      <c r="K23" s="14" t="s">
        <v>3</v>
      </c>
      <c r="L23" s="14">
        <f>Dat_01!J20/1000</f>
        <v>0.4448725</v>
      </c>
      <c r="M23" s="14">
        <f>Dat_01!L20*100</f>
        <v>-23.627235290000002</v>
      </c>
      <c r="N23" s="7"/>
      <c r="O23" s="7"/>
    </row>
    <row r="24" spans="3:23" ht="12.75" customHeight="1">
      <c r="C24" s="10"/>
      <c r="E24" s="152" t="s">
        <v>81</v>
      </c>
      <c r="F24" s="140">
        <f>SUM(F16,F20:F23)</f>
        <v>310.01916199999999</v>
      </c>
      <c r="G24" s="156">
        <f>((SUM(Dat_01!R9:R14,Dat_01!R19,Dat_01!R21)/SUM(Dat_01!S9:S14,Dat_01!S19,Dat_01!S21))-1)*100</f>
        <v>-10.361908728812907</v>
      </c>
      <c r="H24" s="140">
        <f>SUM(H16,H20:H23)</f>
        <v>585.53740199999993</v>
      </c>
      <c r="I24" s="156">
        <f>((SUM(Dat_01!Z9:Z14,Dat_01!Z19,Dat_01!Z21)/SUM(Dat_01!AA9:AA14,Dat_01!AA19,Dat_01!AA21))-1)*100</f>
        <v>8.5214091084694576</v>
      </c>
      <c r="J24" s="140">
        <f>SUM(J16,J20:J23)</f>
        <v>15.700242999999999</v>
      </c>
      <c r="K24" s="156">
        <f>((SUM(Dat_01!B9:B14,Dat_01!B19,Dat_01!B21)/SUM(Dat_01!C9:C14,Dat_01!C19,Dat_01!C21))-1)*100</f>
        <v>2.6838930510830084</v>
      </c>
      <c r="L24" s="140">
        <f>SUM(L16,L20:L23)</f>
        <v>14.451715500000002</v>
      </c>
      <c r="M24" s="156">
        <f>((SUM(Dat_01!J9:J14,Dat_01!J19,Dat_01!J21)/SUM(Dat_01!K9:K14,Dat_01!K19,Dat_01!K21))-1)*100</f>
        <v>1.0024402997047099</v>
      </c>
      <c r="N24" s="7"/>
      <c r="O24" s="7"/>
    </row>
    <row r="25" spans="3:23" ht="12.75" customHeight="1">
      <c r="C25" s="13"/>
      <c r="E25" s="12" t="s">
        <v>87</v>
      </c>
      <c r="F25" s="141">
        <f>Dat_01!R23/1000</f>
        <v>89.734262000000001</v>
      </c>
      <c r="G25" s="11">
        <f>Dat_01!T23*100</f>
        <v>226.27672202000002</v>
      </c>
      <c r="H25" s="141" t="s">
        <v>3</v>
      </c>
      <c r="I25" s="141" t="s">
        <v>3</v>
      </c>
      <c r="J25" s="141" t="s">
        <v>3</v>
      </c>
      <c r="K25" s="141" t="s">
        <v>3</v>
      </c>
      <c r="L25" s="141" t="s">
        <v>3</v>
      </c>
      <c r="M25" s="141" t="s">
        <v>3</v>
      </c>
      <c r="N25" s="7"/>
      <c r="O25" s="7"/>
    </row>
    <row r="26" spans="3:23" ht="16.350000000000001" customHeight="1">
      <c r="C26" s="10"/>
      <c r="E26" s="9" t="s">
        <v>1</v>
      </c>
      <c r="F26" s="142">
        <f>Dat_01!R24/1000</f>
        <v>431.52490699999998</v>
      </c>
      <c r="G26" s="8">
        <f>Dat_01!T24*100</f>
        <v>8.649942750000001</v>
      </c>
      <c r="H26" s="142">
        <f>Dat_01!Z24/1000</f>
        <v>649.63741000000005</v>
      </c>
      <c r="I26" s="8">
        <f>Dat_01!AB24*100</f>
        <v>-3.2628629999999999E-2</v>
      </c>
      <c r="J26" s="142">
        <f>Dat_01!B24/1000</f>
        <v>15.700243</v>
      </c>
      <c r="K26" s="8">
        <f>Dat_01!D24*100</f>
        <v>2.68389305</v>
      </c>
      <c r="L26" s="142">
        <f>Dat_01!J24/1000</f>
        <v>14.900874999999999</v>
      </c>
      <c r="M26" s="8">
        <f>Dat_01!L24*100</f>
        <v>3.6904070000000004E-2</v>
      </c>
      <c r="N26" s="7"/>
      <c r="O26" s="7"/>
    </row>
    <row r="27" spans="3:23" ht="16.350000000000001" customHeight="1">
      <c r="C27" s="10"/>
      <c r="E27" s="193" t="s">
        <v>56</v>
      </c>
      <c r="F27" s="193"/>
      <c r="G27" s="193"/>
      <c r="H27" s="193"/>
      <c r="I27" s="193"/>
      <c r="J27" s="193"/>
      <c r="K27" s="193"/>
      <c r="L27" s="153"/>
      <c r="M27" s="154"/>
      <c r="N27" s="7"/>
      <c r="O27" s="7"/>
    </row>
    <row r="28" spans="3:23" ht="34.5" customHeight="1">
      <c r="C28" s="10"/>
      <c r="E28" s="194" t="s">
        <v>105</v>
      </c>
      <c r="F28" s="194"/>
      <c r="G28" s="194"/>
      <c r="H28" s="194"/>
      <c r="I28" s="194"/>
      <c r="J28" s="194"/>
      <c r="K28" s="194"/>
      <c r="L28" s="194"/>
      <c r="M28" s="194"/>
      <c r="N28" s="7"/>
      <c r="O28" s="7"/>
    </row>
    <row r="29" spans="3:23" ht="12.75" customHeight="1">
      <c r="C29" s="3"/>
      <c r="D29" s="3"/>
      <c r="E29" s="192" t="s">
        <v>0</v>
      </c>
      <c r="F29" s="192"/>
      <c r="G29" s="192"/>
      <c r="H29" s="192"/>
      <c r="I29" s="192"/>
      <c r="J29" s="192"/>
      <c r="K29" s="192"/>
      <c r="L29" s="192"/>
      <c r="M29" s="192"/>
      <c r="O29" s="6"/>
    </row>
    <row r="30" spans="3:23" ht="12.75" customHeight="1">
      <c r="E30" s="191" t="s">
        <v>82</v>
      </c>
      <c r="F30" s="191"/>
      <c r="G30" s="191"/>
      <c r="H30" s="191"/>
      <c r="I30" s="191"/>
      <c r="J30" s="191"/>
      <c r="K30" s="191"/>
      <c r="L30" s="191"/>
      <c r="M30" s="191"/>
    </row>
    <row r="31" spans="3:23" ht="12.75" customHeight="1">
      <c r="C31" s="3"/>
      <c r="D31" s="3"/>
      <c r="E31" s="191" t="s">
        <v>85</v>
      </c>
      <c r="F31" s="191"/>
      <c r="G31" s="191"/>
      <c r="H31" s="191"/>
      <c r="I31" s="191"/>
      <c r="J31" s="191"/>
      <c r="K31" s="191"/>
      <c r="L31" s="191"/>
      <c r="M31" s="191"/>
    </row>
    <row r="32" spans="3:23" ht="12.75" customHeight="1">
      <c r="E32" s="191" t="s">
        <v>86</v>
      </c>
      <c r="F32" s="191"/>
      <c r="G32" s="191"/>
      <c r="H32" s="191"/>
      <c r="I32" s="191"/>
      <c r="J32" s="191"/>
      <c r="K32" s="191"/>
      <c r="L32" s="191"/>
      <c r="M32" s="191"/>
    </row>
    <row r="33" spans="3:13" ht="12.75" customHeight="1">
      <c r="E33" s="191"/>
      <c r="F33" s="191"/>
      <c r="G33" s="191"/>
      <c r="H33" s="191"/>
      <c r="I33" s="191"/>
      <c r="J33" s="191"/>
      <c r="K33" s="191"/>
      <c r="L33" s="191"/>
      <c r="M33" s="191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K30" sqref="K30"/>
    </sheetView>
  </sheetViews>
  <sheetFormatPr baseColWidth="10" defaultRowHeight="12.75"/>
  <cols>
    <col min="1" max="1" width="0.140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85546875" style="31" customWidth="1"/>
    <col min="6" max="6" width="11.42578125" style="30"/>
    <col min="7" max="7" width="19.85546875" style="30" customWidth="1"/>
    <col min="8" max="9" width="11.42578125" style="30"/>
    <col min="10" max="10" width="11" style="30" bestFit="1" customWidth="1"/>
    <col min="11" max="253" width="11.42578125" style="30"/>
    <col min="254" max="254" width="0.140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85546875" style="30" customWidth="1"/>
    <col min="259" max="260" width="11.42578125" style="30"/>
    <col min="261" max="261" width="2.140625" style="30" customWidth="1"/>
    <col min="262" max="262" width="11.42578125" style="30"/>
    <col min="263" max="263" width="9.5703125" style="30" customWidth="1"/>
    <col min="264" max="509" width="11.42578125" style="30"/>
    <col min="510" max="510" width="0.140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85546875" style="30" customWidth="1"/>
    <col min="515" max="516" width="11.42578125" style="30"/>
    <col min="517" max="517" width="2.140625" style="30" customWidth="1"/>
    <col min="518" max="518" width="11.42578125" style="30"/>
    <col min="519" max="519" width="9.5703125" style="30" customWidth="1"/>
    <col min="520" max="765" width="11.42578125" style="30"/>
    <col min="766" max="766" width="0.140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85546875" style="30" customWidth="1"/>
    <col min="771" max="772" width="11.42578125" style="30"/>
    <col min="773" max="773" width="2.140625" style="30" customWidth="1"/>
    <col min="774" max="774" width="11.42578125" style="30"/>
    <col min="775" max="775" width="9.5703125" style="30" customWidth="1"/>
    <col min="776" max="1021" width="11.42578125" style="30"/>
    <col min="1022" max="1022" width="0.140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85546875" style="30" customWidth="1"/>
    <col min="1027" max="1028" width="11.42578125" style="30"/>
    <col min="1029" max="1029" width="2.140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140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85546875" style="30" customWidth="1"/>
    <col min="1283" max="1284" width="11.42578125" style="30"/>
    <col min="1285" max="1285" width="2.140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140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85546875" style="30" customWidth="1"/>
    <col min="1539" max="1540" width="11.42578125" style="30"/>
    <col min="1541" max="1541" width="2.140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140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85546875" style="30" customWidth="1"/>
    <col min="1795" max="1796" width="11.42578125" style="30"/>
    <col min="1797" max="1797" width="2.140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140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85546875" style="30" customWidth="1"/>
    <col min="2051" max="2052" width="11.42578125" style="30"/>
    <col min="2053" max="2053" width="2.140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140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85546875" style="30" customWidth="1"/>
    <col min="2307" max="2308" width="11.42578125" style="30"/>
    <col min="2309" max="2309" width="2.140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140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85546875" style="30" customWidth="1"/>
    <col min="2563" max="2564" width="11.42578125" style="30"/>
    <col min="2565" max="2565" width="2.140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140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85546875" style="30" customWidth="1"/>
    <col min="2819" max="2820" width="11.42578125" style="30"/>
    <col min="2821" max="2821" width="2.140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140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85546875" style="30" customWidth="1"/>
    <col min="3075" max="3076" width="11.42578125" style="30"/>
    <col min="3077" max="3077" width="2.140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140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85546875" style="30" customWidth="1"/>
    <col min="3331" max="3332" width="11.42578125" style="30"/>
    <col min="3333" max="3333" width="2.140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140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85546875" style="30" customWidth="1"/>
    <col min="3587" max="3588" width="11.42578125" style="30"/>
    <col min="3589" max="3589" width="2.140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140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85546875" style="30" customWidth="1"/>
    <col min="3843" max="3844" width="11.42578125" style="30"/>
    <col min="3845" max="3845" width="2.140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140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85546875" style="30" customWidth="1"/>
    <col min="4099" max="4100" width="11.42578125" style="30"/>
    <col min="4101" max="4101" width="2.140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140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85546875" style="30" customWidth="1"/>
    <col min="4355" max="4356" width="11.42578125" style="30"/>
    <col min="4357" max="4357" width="2.140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140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85546875" style="30" customWidth="1"/>
    <col min="4611" max="4612" width="11.42578125" style="30"/>
    <col min="4613" max="4613" width="2.140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140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85546875" style="30" customWidth="1"/>
    <col min="4867" max="4868" width="11.42578125" style="30"/>
    <col min="4869" max="4869" width="2.140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140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85546875" style="30" customWidth="1"/>
    <col min="5123" max="5124" width="11.42578125" style="30"/>
    <col min="5125" max="5125" width="2.140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140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85546875" style="30" customWidth="1"/>
    <col min="5379" max="5380" width="11.42578125" style="30"/>
    <col min="5381" max="5381" width="2.140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140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85546875" style="30" customWidth="1"/>
    <col min="5635" max="5636" width="11.42578125" style="30"/>
    <col min="5637" max="5637" width="2.140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140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85546875" style="30" customWidth="1"/>
    <col min="5891" max="5892" width="11.42578125" style="30"/>
    <col min="5893" max="5893" width="2.140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140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85546875" style="30" customWidth="1"/>
    <col min="6147" max="6148" width="11.42578125" style="30"/>
    <col min="6149" max="6149" width="2.140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140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85546875" style="30" customWidth="1"/>
    <col min="6403" max="6404" width="11.42578125" style="30"/>
    <col min="6405" max="6405" width="2.140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140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85546875" style="30" customWidth="1"/>
    <col min="6659" max="6660" width="11.42578125" style="30"/>
    <col min="6661" max="6661" width="2.140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140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85546875" style="30" customWidth="1"/>
    <col min="6915" max="6916" width="11.42578125" style="30"/>
    <col min="6917" max="6917" width="2.140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140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85546875" style="30" customWidth="1"/>
    <col min="7171" max="7172" width="11.42578125" style="30"/>
    <col min="7173" max="7173" width="2.140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140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85546875" style="30" customWidth="1"/>
    <col min="7427" max="7428" width="11.42578125" style="30"/>
    <col min="7429" max="7429" width="2.140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140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85546875" style="30" customWidth="1"/>
    <col min="7683" max="7684" width="11.42578125" style="30"/>
    <col min="7685" max="7685" width="2.140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140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85546875" style="30" customWidth="1"/>
    <col min="7939" max="7940" width="11.42578125" style="30"/>
    <col min="7941" max="7941" width="2.140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140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85546875" style="30" customWidth="1"/>
    <col min="8195" max="8196" width="11.42578125" style="30"/>
    <col min="8197" max="8197" width="2.140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140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85546875" style="30" customWidth="1"/>
    <col min="8451" max="8452" width="11.42578125" style="30"/>
    <col min="8453" max="8453" width="2.140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140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85546875" style="30" customWidth="1"/>
    <col min="8707" max="8708" width="11.42578125" style="30"/>
    <col min="8709" max="8709" width="2.140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140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85546875" style="30" customWidth="1"/>
    <col min="8963" max="8964" width="11.42578125" style="30"/>
    <col min="8965" max="8965" width="2.140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140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85546875" style="30" customWidth="1"/>
    <col min="9219" max="9220" width="11.42578125" style="30"/>
    <col min="9221" max="9221" width="2.140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140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85546875" style="30" customWidth="1"/>
    <col min="9475" max="9476" width="11.42578125" style="30"/>
    <col min="9477" max="9477" width="2.140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140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85546875" style="30" customWidth="1"/>
    <col min="9731" max="9732" width="11.42578125" style="30"/>
    <col min="9733" max="9733" width="2.140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140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85546875" style="30" customWidth="1"/>
    <col min="9987" max="9988" width="11.42578125" style="30"/>
    <col min="9989" max="9989" width="2.140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140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85546875" style="30" customWidth="1"/>
    <col min="10243" max="10244" width="11.42578125" style="30"/>
    <col min="10245" max="10245" width="2.140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140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85546875" style="30" customWidth="1"/>
    <col min="10499" max="10500" width="11.42578125" style="30"/>
    <col min="10501" max="10501" width="2.140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140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85546875" style="30" customWidth="1"/>
    <col min="10755" max="10756" width="11.42578125" style="30"/>
    <col min="10757" max="10757" width="2.140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140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85546875" style="30" customWidth="1"/>
    <col min="11011" max="11012" width="11.42578125" style="30"/>
    <col min="11013" max="11013" width="2.140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140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85546875" style="30" customWidth="1"/>
    <col min="11267" max="11268" width="11.42578125" style="30"/>
    <col min="11269" max="11269" width="2.140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140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85546875" style="30" customWidth="1"/>
    <col min="11523" max="11524" width="11.42578125" style="30"/>
    <col min="11525" max="11525" width="2.140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140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85546875" style="30" customWidth="1"/>
    <col min="11779" max="11780" width="11.42578125" style="30"/>
    <col min="11781" max="11781" width="2.140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140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85546875" style="30" customWidth="1"/>
    <col min="12035" max="12036" width="11.42578125" style="30"/>
    <col min="12037" max="12037" width="2.140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140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85546875" style="30" customWidth="1"/>
    <col min="12291" max="12292" width="11.42578125" style="30"/>
    <col min="12293" max="12293" width="2.140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140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85546875" style="30" customWidth="1"/>
    <col min="12547" max="12548" width="11.42578125" style="30"/>
    <col min="12549" max="12549" width="2.140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140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85546875" style="30" customWidth="1"/>
    <col min="12803" max="12804" width="11.42578125" style="30"/>
    <col min="12805" max="12805" width="2.140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140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85546875" style="30" customWidth="1"/>
    <col min="13059" max="13060" width="11.42578125" style="30"/>
    <col min="13061" max="13061" width="2.140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140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85546875" style="30" customWidth="1"/>
    <col min="13315" max="13316" width="11.42578125" style="30"/>
    <col min="13317" max="13317" width="2.140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140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85546875" style="30" customWidth="1"/>
    <col min="13571" max="13572" width="11.42578125" style="30"/>
    <col min="13573" max="13573" width="2.140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140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85546875" style="30" customWidth="1"/>
    <col min="13827" max="13828" width="11.42578125" style="30"/>
    <col min="13829" max="13829" width="2.140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140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85546875" style="30" customWidth="1"/>
    <col min="14083" max="14084" width="11.42578125" style="30"/>
    <col min="14085" max="14085" width="2.140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140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85546875" style="30" customWidth="1"/>
    <col min="14339" max="14340" width="11.42578125" style="30"/>
    <col min="14341" max="14341" width="2.140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140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85546875" style="30" customWidth="1"/>
    <col min="14595" max="14596" width="11.42578125" style="30"/>
    <col min="14597" max="14597" width="2.140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140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85546875" style="30" customWidth="1"/>
    <col min="14851" max="14852" width="11.42578125" style="30"/>
    <col min="14853" max="14853" width="2.140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140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85546875" style="30" customWidth="1"/>
    <col min="15107" max="15108" width="11.42578125" style="30"/>
    <col min="15109" max="15109" width="2.140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140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85546875" style="30" customWidth="1"/>
    <col min="15363" max="15364" width="11.42578125" style="30"/>
    <col min="15365" max="15365" width="2.140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140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85546875" style="30" customWidth="1"/>
    <col min="15619" max="15620" width="11.42578125" style="30"/>
    <col min="15621" max="15621" width="2.140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140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85546875" style="30" customWidth="1"/>
    <col min="15875" max="15876" width="11.42578125" style="30"/>
    <col min="15877" max="15877" width="2.140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140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85546875" style="30" customWidth="1"/>
    <col min="16131" max="16132" width="11.42578125" style="30"/>
    <col min="16133" max="16133" width="2.140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Febrero 2023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5" t="s">
        <v>31</v>
      </c>
      <c r="D7" s="39"/>
      <c r="E7" s="43"/>
    </row>
    <row r="8" spans="2:12" s="33" customFormat="1" ht="12.75" customHeight="1">
      <c r="B8" s="41"/>
      <c r="C8" s="195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1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64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5" t="s">
        <v>28</v>
      </c>
      <c r="E24" s="37"/>
      <c r="J24" s="33"/>
      <c r="K24" s="33"/>
    </row>
    <row r="25" spans="2:12">
      <c r="C25" s="195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140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140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140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140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140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140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140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140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140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140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140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140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140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140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140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140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140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140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140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140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140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140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140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140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140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140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140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140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140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140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140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140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140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140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140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140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140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140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140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140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140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140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140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140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140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140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140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140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140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140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140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140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140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140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140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140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140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140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140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140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140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140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140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Febrero 2023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6" t="s">
        <v>32</v>
      </c>
      <c r="D7" s="58"/>
      <c r="E7" s="62"/>
    </row>
    <row r="8" spans="1:20" ht="12.75" customHeight="1">
      <c r="A8" s="61"/>
      <c r="B8" s="60"/>
      <c r="C8" s="196"/>
      <c r="D8" s="58"/>
      <c r="E8" s="62"/>
      <c r="F8" s="57"/>
    </row>
    <row r="9" spans="1:20" ht="12.75" customHeight="1">
      <c r="A9" s="61"/>
      <c r="B9" s="60"/>
      <c r="C9" s="196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H20" sqref="H20"/>
    </sheetView>
  </sheetViews>
  <sheetFormatPr baseColWidth="10" defaultRowHeight="12.75"/>
  <cols>
    <col min="1" max="1" width="0.140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85546875" style="31" customWidth="1"/>
    <col min="6" max="6" width="11.42578125" style="30"/>
    <col min="7" max="7" width="19.85546875" style="30" customWidth="1"/>
    <col min="8" max="9" width="11.42578125" style="30"/>
    <col min="10" max="10" width="11" style="30" bestFit="1" customWidth="1"/>
    <col min="11" max="253" width="11.42578125" style="30"/>
    <col min="254" max="254" width="0.140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85546875" style="30" customWidth="1"/>
    <col min="259" max="260" width="11.42578125" style="30"/>
    <col min="261" max="261" width="2.140625" style="30" customWidth="1"/>
    <col min="262" max="262" width="11.42578125" style="30"/>
    <col min="263" max="263" width="9.5703125" style="30" customWidth="1"/>
    <col min="264" max="509" width="11.42578125" style="30"/>
    <col min="510" max="510" width="0.140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85546875" style="30" customWidth="1"/>
    <col min="515" max="516" width="11.42578125" style="30"/>
    <col min="517" max="517" width="2.140625" style="30" customWidth="1"/>
    <col min="518" max="518" width="11.42578125" style="30"/>
    <col min="519" max="519" width="9.5703125" style="30" customWidth="1"/>
    <col min="520" max="765" width="11.42578125" style="30"/>
    <col min="766" max="766" width="0.140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85546875" style="30" customWidth="1"/>
    <col min="771" max="772" width="11.42578125" style="30"/>
    <col min="773" max="773" width="2.140625" style="30" customWidth="1"/>
    <col min="774" max="774" width="11.42578125" style="30"/>
    <col min="775" max="775" width="9.5703125" style="30" customWidth="1"/>
    <col min="776" max="1021" width="11.42578125" style="30"/>
    <col min="1022" max="1022" width="0.140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85546875" style="30" customWidth="1"/>
    <col min="1027" max="1028" width="11.42578125" style="30"/>
    <col min="1029" max="1029" width="2.140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140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85546875" style="30" customWidth="1"/>
    <col min="1283" max="1284" width="11.42578125" style="30"/>
    <col min="1285" max="1285" width="2.140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140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85546875" style="30" customWidth="1"/>
    <col min="1539" max="1540" width="11.42578125" style="30"/>
    <col min="1541" max="1541" width="2.140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140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85546875" style="30" customWidth="1"/>
    <col min="1795" max="1796" width="11.42578125" style="30"/>
    <col min="1797" max="1797" width="2.140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140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85546875" style="30" customWidth="1"/>
    <col min="2051" max="2052" width="11.42578125" style="30"/>
    <col min="2053" max="2053" width="2.140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140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85546875" style="30" customWidth="1"/>
    <col min="2307" max="2308" width="11.42578125" style="30"/>
    <col min="2309" max="2309" width="2.140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140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85546875" style="30" customWidth="1"/>
    <col min="2563" max="2564" width="11.42578125" style="30"/>
    <col min="2565" max="2565" width="2.140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140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85546875" style="30" customWidth="1"/>
    <col min="2819" max="2820" width="11.42578125" style="30"/>
    <col min="2821" max="2821" width="2.140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140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85546875" style="30" customWidth="1"/>
    <col min="3075" max="3076" width="11.42578125" style="30"/>
    <col min="3077" max="3077" width="2.140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140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85546875" style="30" customWidth="1"/>
    <col min="3331" max="3332" width="11.42578125" style="30"/>
    <col min="3333" max="3333" width="2.140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140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85546875" style="30" customWidth="1"/>
    <col min="3587" max="3588" width="11.42578125" style="30"/>
    <col min="3589" max="3589" width="2.140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140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85546875" style="30" customWidth="1"/>
    <col min="3843" max="3844" width="11.42578125" style="30"/>
    <col min="3845" max="3845" width="2.140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140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85546875" style="30" customWidth="1"/>
    <col min="4099" max="4100" width="11.42578125" style="30"/>
    <col min="4101" max="4101" width="2.140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140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85546875" style="30" customWidth="1"/>
    <col min="4355" max="4356" width="11.42578125" style="30"/>
    <col min="4357" max="4357" width="2.140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140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85546875" style="30" customWidth="1"/>
    <col min="4611" max="4612" width="11.42578125" style="30"/>
    <col min="4613" max="4613" width="2.140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140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85546875" style="30" customWidth="1"/>
    <col min="4867" max="4868" width="11.42578125" style="30"/>
    <col min="4869" max="4869" width="2.140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140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85546875" style="30" customWidth="1"/>
    <col min="5123" max="5124" width="11.42578125" style="30"/>
    <col min="5125" max="5125" width="2.140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140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85546875" style="30" customWidth="1"/>
    <col min="5379" max="5380" width="11.42578125" style="30"/>
    <col min="5381" max="5381" width="2.140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140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85546875" style="30" customWidth="1"/>
    <col min="5635" max="5636" width="11.42578125" style="30"/>
    <col min="5637" max="5637" width="2.140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140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85546875" style="30" customWidth="1"/>
    <col min="5891" max="5892" width="11.42578125" style="30"/>
    <col min="5893" max="5893" width="2.140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140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85546875" style="30" customWidth="1"/>
    <col min="6147" max="6148" width="11.42578125" style="30"/>
    <col min="6149" max="6149" width="2.140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140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85546875" style="30" customWidth="1"/>
    <col min="6403" max="6404" width="11.42578125" style="30"/>
    <col min="6405" max="6405" width="2.140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140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85546875" style="30" customWidth="1"/>
    <col min="6659" max="6660" width="11.42578125" style="30"/>
    <col min="6661" max="6661" width="2.140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140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85546875" style="30" customWidth="1"/>
    <col min="6915" max="6916" width="11.42578125" style="30"/>
    <col min="6917" max="6917" width="2.140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140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85546875" style="30" customWidth="1"/>
    <col min="7171" max="7172" width="11.42578125" style="30"/>
    <col min="7173" max="7173" width="2.140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140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85546875" style="30" customWidth="1"/>
    <col min="7427" max="7428" width="11.42578125" style="30"/>
    <col min="7429" max="7429" width="2.140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140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85546875" style="30" customWidth="1"/>
    <col min="7683" max="7684" width="11.42578125" style="30"/>
    <col min="7685" max="7685" width="2.140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140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85546875" style="30" customWidth="1"/>
    <col min="7939" max="7940" width="11.42578125" style="30"/>
    <col min="7941" max="7941" width="2.140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140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85546875" style="30" customWidth="1"/>
    <col min="8195" max="8196" width="11.42578125" style="30"/>
    <col min="8197" max="8197" width="2.140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140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85546875" style="30" customWidth="1"/>
    <col min="8451" max="8452" width="11.42578125" style="30"/>
    <col min="8453" max="8453" width="2.140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140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85546875" style="30" customWidth="1"/>
    <col min="8707" max="8708" width="11.42578125" style="30"/>
    <col min="8709" max="8709" width="2.140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140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85546875" style="30" customWidth="1"/>
    <col min="8963" max="8964" width="11.42578125" style="30"/>
    <col min="8965" max="8965" width="2.140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140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85546875" style="30" customWidth="1"/>
    <col min="9219" max="9220" width="11.42578125" style="30"/>
    <col min="9221" max="9221" width="2.140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140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85546875" style="30" customWidth="1"/>
    <col min="9475" max="9476" width="11.42578125" style="30"/>
    <col min="9477" max="9477" width="2.140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140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85546875" style="30" customWidth="1"/>
    <col min="9731" max="9732" width="11.42578125" style="30"/>
    <col min="9733" max="9733" width="2.140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140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85546875" style="30" customWidth="1"/>
    <col min="9987" max="9988" width="11.42578125" style="30"/>
    <col min="9989" max="9989" width="2.140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140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85546875" style="30" customWidth="1"/>
    <col min="10243" max="10244" width="11.42578125" style="30"/>
    <col min="10245" max="10245" width="2.140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140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85546875" style="30" customWidth="1"/>
    <col min="10499" max="10500" width="11.42578125" style="30"/>
    <col min="10501" max="10501" width="2.140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140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85546875" style="30" customWidth="1"/>
    <col min="10755" max="10756" width="11.42578125" style="30"/>
    <col min="10757" max="10757" width="2.140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140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85546875" style="30" customWidth="1"/>
    <col min="11011" max="11012" width="11.42578125" style="30"/>
    <col min="11013" max="11013" width="2.140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140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85546875" style="30" customWidth="1"/>
    <col min="11267" max="11268" width="11.42578125" style="30"/>
    <col min="11269" max="11269" width="2.140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140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85546875" style="30" customWidth="1"/>
    <col min="11523" max="11524" width="11.42578125" style="30"/>
    <col min="11525" max="11525" width="2.140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140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85546875" style="30" customWidth="1"/>
    <col min="11779" max="11780" width="11.42578125" style="30"/>
    <col min="11781" max="11781" width="2.140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140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85546875" style="30" customWidth="1"/>
    <col min="12035" max="12036" width="11.42578125" style="30"/>
    <col min="12037" max="12037" width="2.140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140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85546875" style="30" customWidth="1"/>
    <col min="12291" max="12292" width="11.42578125" style="30"/>
    <col min="12293" max="12293" width="2.140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140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85546875" style="30" customWidth="1"/>
    <col min="12547" max="12548" width="11.42578125" style="30"/>
    <col min="12549" max="12549" width="2.140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140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85546875" style="30" customWidth="1"/>
    <col min="12803" max="12804" width="11.42578125" style="30"/>
    <col min="12805" max="12805" width="2.140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140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85546875" style="30" customWidth="1"/>
    <col min="13059" max="13060" width="11.42578125" style="30"/>
    <col min="13061" max="13061" width="2.140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140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85546875" style="30" customWidth="1"/>
    <col min="13315" max="13316" width="11.42578125" style="30"/>
    <col min="13317" max="13317" width="2.140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140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85546875" style="30" customWidth="1"/>
    <col min="13571" max="13572" width="11.42578125" style="30"/>
    <col min="13573" max="13573" width="2.140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140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85546875" style="30" customWidth="1"/>
    <col min="13827" max="13828" width="11.42578125" style="30"/>
    <col min="13829" max="13829" width="2.140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140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85546875" style="30" customWidth="1"/>
    <col min="14083" max="14084" width="11.42578125" style="30"/>
    <col min="14085" max="14085" width="2.140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140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85546875" style="30" customWidth="1"/>
    <col min="14339" max="14340" width="11.42578125" style="30"/>
    <col min="14341" max="14341" width="2.140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140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85546875" style="30" customWidth="1"/>
    <col min="14595" max="14596" width="11.42578125" style="30"/>
    <col min="14597" max="14597" width="2.140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140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85546875" style="30" customWidth="1"/>
    <col min="14851" max="14852" width="11.42578125" style="30"/>
    <col min="14853" max="14853" width="2.140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140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85546875" style="30" customWidth="1"/>
    <col min="15107" max="15108" width="11.42578125" style="30"/>
    <col min="15109" max="15109" width="2.140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140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85546875" style="30" customWidth="1"/>
    <col min="15363" max="15364" width="11.42578125" style="30"/>
    <col min="15365" max="15365" width="2.140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140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85546875" style="30" customWidth="1"/>
    <col min="15619" max="15620" width="11.42578125" style="30"/>
    <col min="15621" max="15621" width="2.140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140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85546875" style="30" customWidth="1"/>
    <col min="15875" max="15876" width="11.42578125" style="30"/>
    <col min="15877" max="15877" width="2.140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140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85546875" style="30" customWidth="1"/>
    <col min="16131" max="16132" width="11.42578125" style="30"/>
    <col min="16133" max="16133" width="2.140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Febrero 2023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5" t="s">
        <v>35</v>
      </c>
      <c r="D7" s="39"/>
      <c r="E7" s="43"/>
    </row>
    <row r="8" spans="2:12" s="33" customFormat="1" ht="12.75" customHeight="1">
      <c r="B8" s="41"/>
      <c r="C8" s="195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48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0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5" t="s">
        <v>49</v>
      </c>
      <c r="E24" s="37"/>
      <c r="J24" s="33"/>
      <c r="K24" s="33"/>
    </row>
    <row r="25" spans="2:12">
      <c r="C25" s="195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140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140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140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140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140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140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140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140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140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140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140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140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140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140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140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140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140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140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140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140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140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140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140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140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140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140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140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140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140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140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140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140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140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140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140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140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140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140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140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140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140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140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140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140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140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140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140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140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140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140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140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140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140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140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140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140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140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140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140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140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140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140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140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Febrero 2023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6" t="s">
        <v>36</v>
      </c>
      <c r="D7" s="58"/>
      <c r="E7" s="62"/>
    </row>
    <row r="8" spans="1:20" ht="12.75" customHeight="1">
      <c r="A8" s="61"/>
      <c r="B8" s="60"/>
      <c r="C8" s="196"/>
      <c r="D8" s="58"/>
      <c r="E8" s="62"/>
      <c r="F8" s="57"/>
    </row>
    <row r="9" spans="1:20" ht="12.75" customHeight="1">
      <c r="A9" s="61"/>
      <c r="B9" s="60"/>
      <c r="C9" s="196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2023-03-14T12:42:02Z</dcterms:modified>
</cp:coreProperties>
</file>