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ENE\INF_ELABORADA\"/>
    </mc:Choice>
  </mc:AlternateContent>
  <xr:revisionPtr revIDLastSave="0" documentId="13_ncr:1_{B2729A31-C1CD-4FAE-89C2-684575A18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Dat_01!$A$85:$P$114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8" l="1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H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<sst xmlns="http://schemas.openxmlformats.org/spreadsheetml/2006/main" count="423" uniqueCount="127">
  <si>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</si>
  <si>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</si>
  <si>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</si>
  <si>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</si>
  <si>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</si>
  <si>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</si>
  <si>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</si>
  <si>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</si>
  <si>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</si>
  <si>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</si>
  <si>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</si>
  <si>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</si>
  <si>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</si>
  <si>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</si>
  <si>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</si>
  <si>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</si>
  <si>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</si>
  <si>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</si>
  <si>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</si>
  <si>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</si>
  <si>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</si>
  <si>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</si>
  <si>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</si>
  <si>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</si>
  <si>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</si>
  <si>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</si>
  <si>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</si>
  <si>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</si>
  <si>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</si>
  <si>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</si>
  <si>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</si>
  <si>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</si>
  <si>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</si>
  <si>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</si>
  <si>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</si>
  <si>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</si>
  <si>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</si>
  <si>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</si>
  <si>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</si>
  <si>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</si>
  <si>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</si>
  <si>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</si>
  <si>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</si>
  <si>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</si>
  <si>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</si>
  <si>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</si>
  <si>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</si>
  <si>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</si>
  <si>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</si>
  <si>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</si>
  <si>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</si>
  <si>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</si>
  <si>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</si>
  <si>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</si>
  <si>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</si>
  <si>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</si>
  <si>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</si>
  <si>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</si>
  <si>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</si>
  <si>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</si>
  <si>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</si>
  <si>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</si>
  <si>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</si>
  <si>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</si>
  <si>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</si>
  <si>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</si>
  <si>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</si>
  <si>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</si>
  <si>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</si>
  <si>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</si>
  <si>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</si>
  <si>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</si>
  <si>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</si>
  <si>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</si>
  <si>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</si>
  <si>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</si>
  <si>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</si>
  <si>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</si>
  <si>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</si>
  <si>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</si>
  <si>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</si>
  <si>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</si>
  <si>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</si>
  <si>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</si>
  <si>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</si>
  <si>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</si>
  <si>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</si>
  <si>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</si>
  <si>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</si>
  <si>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</si>
  <si>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</si>
  <si>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</si>
  <si>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</si>
  <si>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</si>
  <si>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</si>
  <si>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</si>
  <si>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</si>
  <si>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</si>
  <si>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</si>
  <si>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</si>
  <si>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</si>
  <si>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</si>
  <si>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</si>
  <si>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</si>
  <si>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</si>
  <si>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</si>
  <si>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</si>
  <si>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</si>
  <si>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</si>
  <si>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</si>
  <si>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</si>
  <si>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</si>
  <si>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</si>
  <si>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</si>
  <si>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</si>
  <si>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</si>
  <si>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</si>
  <si>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</si>
  <si>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</si>
  <si>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31/01/2024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</si>
  <si>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12:52:14"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msgID="0A50B02011EEC74A81490080EFD56502"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</si>
  <si>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ut="02/09/2024 12:55:20"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msgID="1F5FA71E11EEC74A81490080EFB52504"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nrr="1479" nrc="2784"&gt;&lt;pg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</si>
  <si>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Febrero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</si>
  <si>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ut="02/09/2024 13:15:13" si="2.0000000167a359173d6a15c5008f03e6b0161ab465f01d3411f840b159ed271bc643b43234f6b859bc1343078c8a30a8e5413f2f3ec7817c48107fef194f19136a7ecf525ca3f5933767b43465b5cedb58af2aea90f6e1f3efb0b2b578d6d8b7081a45592a991ad7f6d4ef55ba4579f3afe830f0716b06d84b8362242e36b352ed90019716b70587fc1d281a213d040b536fd629c692c5780da1836ce9674484f7fe.p.3082.0.1.Europe/Madrid.upriv*_1*_pidn2*_9*_session*-lat*_1.0000000187bc67a225236a7b76291359b4e431f0bc6025e0468b850e12f4ec64cfd13ed12e937c1fd627a73784102f8b753d8bc24df3f28a.00000001254cd38a059a11229b88c7c39a18c868bc6025e00cd50a849e91a348c6aa310c787ddf1b9dd294bd97050962d3d3a43a7e801577.0.1.1.BDEbi.D066E1C611E6257C10D00080EF253B44.0-3082.1.1_-0.1.0_-3082.1.1_5.5.0.*0.0000000172d422ad1288cca817193ad09fc49aa0c911585a166f1c1677dfa13cfb370345efe7f818.0.23.11*.2*.0400*.31152J.e.00000001c0b2e04329863fab015ebe6e58bf16a6c911585aa9d98f20277e23d69d7203957c292de2.0.10*.131*.122*.122.0.0" msgID="CE35857211EEC74C81490080EF95E504"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cols="16" /&gt;&lt;esdo ews="" ece="" ptn="" /&gt;&lt;/excel&gt;&lt;pgs&gt;&lt;pg rows="27" cols="14" nrr="2142" nrc="1649"&gt;&lt;pg /&gt;&lt;bls&gt;&lt;bl sr="1" sc="1" rfetch="27" cfetch="14" posid="1" darows="0" dacols="1"&gt;&lt;excel&gt;&lt;epo ews="Dat_01" ece="A85" enr="MSTR.Serie_Balance_B.C._Mensual_Baleares_y_Canarias" ptn="" qtn="" rows="30" cols="16" /&gt;&lt;esdo ews="" ece="" ptn="" /&gt;&lt;/excel&gt;&lt;gridRng&gt;&lt;sect id="TITLE_AREA" rngprop="1:1:3:2" /&gt;&lt;sect id="ROWHEADERS_AREA" rngprop="4:1:27:2" /&gt;&lt;sect id="COLUMNHEADERS_AREA" rngprop="1:3:3:14" /&gt;&lt;sect id="DATA_AREA" rngprop="4:3:27:14"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</si>
  <si>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ut="02/09/2024 13:21:13" si="2.0000000183e15258d8d77323b5a68370783642864f17e7334e4d4038bec09f3f2175bef50b5ef4995cfb0917270ee19e36e4045d2faa43509b4c8328deb25f8fb02a55aff2eb880e28159b70f76c029c14799296082cb7c644117687abed120946f7e53bea577c899eaa3b0cab75bc1f267ca5a946482fd2a4b238b0ea2417e05fe6c16cad3f3562056bed28f5babb35be8f98f1159250c6f29105b42f55c07a8594.p.3082.0.1.Europe/Madrid.upriv*_1*_pidn2*_8*_session*-lat*_1.000000010b37cf5ad9556b759f8590b4588c2769bc6025e043311ecc263396f9a10f0df8c0a0d216390c8d6472ed2994f3efdc6217348492.00000001dd60e380a553e9eaff9952a1b4fcef8fbc6025e09cf9884b1f565e14e5e10c311ae95ec74a7ac0fd36332814927df01692579aec.0.1.1.BDEbi.D066E1C611E6257C10D00080EF253B44.0-3082.1.1_-0.1.0_-3082.1.1_5.5.0.*0.00000001112994bad1f41436f15f95205d652d99c911585a2513f3d062e7ab050a2ad4bec7bb2d80.0.23.11*.2*.0400*.31152J.e.00000001eb84d44f4ed8abebc7e2bff2c020fe79c911585aaa52bb5b3f224b88d2fe50fd82dabb11.0.10*.131*.122*.122.0.0" msgID="0E1C241B11EEC74E81490080EFF5A605"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nrr="113" nrc="792"&gt;&lt;pg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</si>
  <si>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639996edd17a40d5af8aa560c749a4c1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</si>
  <si>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ut="02/09/2024 13:21:58" si="2.0000000183e15258d8d77323b5a68370783642864f17e7334e4d4038bec09f3f2175bef50b5ef4995cfb0917270ee19e36e4045d2faa43509b4c8328deb25f8fb02a55aff2eb880e28159b70f76c029c14799296082cb7c644117687abed120946f7e53bea577c899eaa3b0cab75bc1f267ca5a946482fd2a4b238b0ea2417e05fe6c16cad3f3562056bed28f5babb35be8f98f1159250c6f29105b42f55c07a8594.p.3082.0.1.Europe/Madrid.upriv*_1*_pidn2*_8*_session*-lat*_1.000000010b37cf5ad9556b759f8590b4588c2769bc6025e043311ecc263396f9a10f0df8c0a0d216390c8d6472ed2994f3efdc6217348492.00000001dd60e380a553e9eaff9952a1b4fcef8fbc6025e09cf9884b1f565e14e5e10c311ae95ec74a7ac0fd36332814927df01692579aec.0.1.1.BDEbi.D066E1C611E6257C10D00080EF253B44.0-3082.1.1_-0.1.0_-3082.1.1_5.5.0.*0.00000001112994bad1f41436f15f95205d652d99c911585a2513f3d062e7ab050a2ad4bec7bb2d80.0.23.11*.2*.0400*.31152J.e.00000001eb84d44f4ed8abebc7e2bff2c020fe79c911585aaa52bb5b3f224b88d2fe50fd82dabb11.0.10*.131*.122*.122.0.0" msgID="2DA584CB11EEC74E81490080EF556605"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nrr="69" nrc="840"&gt;&lt;pg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</si>
</sst>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1" fillId="0" borderId="0" xfId="0" applyNumberFormat="1" applyFont="1"/>
    <xf numFmtId="0" fontId="51" fillId="0" borderId="0" xfId="0" applyFon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910569105691045"/>
                  <c:y val="-8.6966141732283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-1.2614443415161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308930286153254"/>
                  <c:y val="0.21656850393700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749619102490236"/>
                  <c:y val="-2.7772440944881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8699186991869918"/>
                  <c:y val="-0.10782480314960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5915395941360988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1.1859352682852318</c:v>
                </c:pt>
                <c:pt idx="2">
                  <c:v>5.6399428813754025</c:v>
                </c:pt>
                <c:pt idx="3">
                  <c:v>54.712783611967467</c:v>
                </c:pt>
                <c:pt idx="4">
                  <c:v>0</c:v>
                </c:pt>
                <c:pt idx="5">
                  <c:v>0.88273483841125011</c:v>
                </c:pt>
                <c:pt idx="6">
                  <c:v>2.3508923953259298</c:v>
                </c:pt>
                <c:pt idx="7">
                  <c:v>2.3508923953259298</c:v>
                </c:pt>
                <c:pt idx="8">
                  <c:v>0</c:v>
                </c:pt>
                <c:pt idx="9">
                  <c:v>5.3289718643984871</c:v>
                </c:pt>
                <c:pt idx="10">
                  <c:v>2.32657974239848E-2</c:v>
                </c:pt>
                <c:pt idx="11">
                  <c:v>27.524580947486342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10.8237643257788</c:v>
                </c:pt>
                <c:pt idx="1">
                  <c:v>6.2555254851308657</c:v>
                </c:pt>
                <c:pt idx="2">
                  <c:v>27.063898278927013</c:v>
                </c:pt>
                <c:pt idx="3">
                  <c:v>36.927345205984139</c:v>
                </c:pt>
                <c:pt idx="4">
                  <c:v>0</c:v>
                </c:pt>
                <c:pt idx="5">
                  <c:v>0.51709053203129818</c:v>
                </c:pt>
                <c:pt idx="6">
                  <c:v>1.678311715522915</c:v>
                </c:pt>
                <c:pt idx="7">
                  <c:v>1.678311715522915</c:v>
                </c:pt>
                <c:pt idx="8">
                  <c:v>0.16009029532427807</c:v>
                </c:pt>
                <c:pt idx="9">
                  <c:v>14.800079452353604</c:v>
                </c:pt>
                <c:pt idx="10">
                  <c:v>9.5582993424166027E-2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-0.72771799999999998</c:v>
                </c:pt>
                <c:pt idx="1">
                  <c:v>-0.70697299999999996</c:v>
                </c:pt>
                <c:pt idx="2">
                  <c:v>-0.51834000000000002</c:v>
                </c:pt>
                <c:pt idx="3">
                  <c:v>-0.60865999999999998</c:v>
                </c:pt>
                <c:pt idx="4">
                  <c:v>-0.83296899999999996</c:v>
                </c:pt>
                <c:pt idx="5">
                  <c:v>3.1799559999999998</c:v>
                </c:pt>
                <c:pt idx="6">
                  <c:v>54.925434000000003</c:v>
                </c:pt>
                <c:pt idx="7">
                  <c:v>9.0232189999999992</c:v>
                </c:pt>
                <c:pt idx="8">
                  <c:v>-0.82337800000000005</c:v>
                </c:pt>
                <c:pt idx="9">
                  <c:v>-0.82724900000000001</c:v>
                </c:pt>
                <c:pt idx="10">
                  <c:v>-0.89542500000000003</c:v>
                </c:pt>
                <c:pt idx="11">
                  <c:v>-0.69586499999999996</c:v>
                </c:pt>
                <c:pt idx="12">
                  <c:v>-0.70605399999999996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54.403029000000004</c:v>
                </c:pt>
                <c:pt idx="1">
                  <c:v>47.337153999999998</c:v>
                </c:pt>
                <c:pt idx="2">
                  <c:v>40.752212</c:v>
                </c:pt>
                <c:pt idx="3">
                  <c:v>36.577028999999996</c:v>
                </c:pt>
                <c:pt idx="4">
                  <c:v>47.925082000000003</c:v>
                </c:pt>
                <c:pt idx="5">
                  <c:v>77.204378999999989</c:v>
                </c:pt>
                <c:pt idx="6">
                  <c:v>124.68270699999999</c:v>
                </c:pt>
                <c:pt idx="7">
                  <c:v>118.33977300000001</c:v>
                </c:pt>
                <c:pt idx="8">
                  <c:v>82.054295999999994</c:v>
                </c:pt>
                <c:pt idx="9">
                  <c:v>61.254111000000002</c:v>
                </c:pt>
                <c:pt idx="10">
                  <c:v>30.185099999999998</c:v>
                </c:pt>
                <c:pt idx="11">
                  <c:v>28.263148000000001</c:v>
                </c:pt>
                <c:pt idx="12">
                  <c:v>30.443576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236.33414099999999</c:v>
                </c:pt>
                <c:pt idx="1">
                  <c:v>250.50749099999999</c:v>
                </c:pt>
                <c:pt idx="2">
                  <c:v>233.28242</c:v>
                </c:pt>
                <c:pt idx="3">
                  <c:v>207.738203</c:v>
                </c:pt>
                <c:pt idx="4">
                  <c:v>231.47546199999999</c:v>
                </c:pt>
                <c:pt idx="5">
                  <c:v>269.55010299999998</c:v>
                </c:pt>
                <c:pt idx="6">
                  <c:v>316.35504600000002</c:v>
                </c:pt>
                <c:pt idx="7">
                  <c:v>324.37696499999998</c:v>
                </c:pt>
                <c:pt idx="8">
                  <c:v>296.32292799999999</c:v>
                </c:pt>
                <c:pt idx="9">
                  <c:v>247.112684</c:v>
                </c:pt>
                <c:pt idx="10">
                  <c:v>224.26124200000001</c:v>
                </c:pt>
                <c:pt idx="11">
                  <c:v>233.91494</c:v>
                </c:pt>
                <c:pt idx="12">
                  <c:v>244.02029300000001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0.21573000000000001</c:v>
                </c:pt>
                <c:pt idx="1">
                  <c:v>0.18323999999999999</c:v>
                </c:pt>
                <c:pt idx="2">
                  <c:v>0.20035</c:v>
                </c:pt>
                <c:pt idx="3">
                  <c:v>0.12734500000000001</c:v>
                </c:pt>
                <c:pt idx="4">
                  <c:v>0.24965100000000001</c:v>
                </c:pt>
                <c:pt idx="5">
                  <c:v>5.6180000000000001E-2</c:v>
                </c:pt>
                <c:pt idx="6">
                  <c:v>0.118565</c:v>
                </c:pt>
                <c:pt idx="7">
                  <c:v>9.7920999999999994E-2</c:v>
                </c:pt>
                <c:pt idx="8">
                  <c:v>0</c:v>
                </c:pt>
                <c:pt idx="9">
                  <c:v>1.0359999999999999E-2</c:v>
                </c:pt>
                <c:pt idx="10">
                  <c:v>8.7279999999999996E-3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18.539918</c:v>
                </c:pt>
                <c:pt idx="1">
                  <c:v>22.493357</c:v>
                </c:pt>
                <c:pt idx="2">
                  <c:v>35.774521</c:v>
                </c:pt>
                <c:pt idx="3">
                  <c:v>38.851148000000002</c:v>
                </c:pt>
                <c:pt idx="4">
                  <c:v>34.004562</c:v>
                </c:pt>
                <c:pt idx="5">
                  <c:v>36.423403999999998</c:v>
                </c:pt>
                <c:pt idx="6">
                  <c:v>41.343387999999997</c:v>
                </c:pt>
                <c:pt idx="7">
                  <c:v>44.372684</c:v>
                </c:pt>
                <c:pt idx="8">
                  <c:v>34.510787000000001</c:v>
                </c:pt>
                <c:pt idx="9">
                  <c:v>32.549160999999998</c:v>
                </c:pt>
                <c:pt idx="10">
                  <c:v>23.864156000000001</c:v>
                </c:pt>
                <c:pt idx="11">
                  <c:v>22.334897999999999</c:v>
                </c:pt>
                <c:pt idx="12">
                  <c:v>23.767339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9.3608999999999998E-2</c:v>
                </c:pt>
                <c:pt idx="1">
                  <c:v>0.13599800000000001</c:v>
                </c:pt>
                <c:pt idx="2">
                  <c:v>0.11230800000000001</c:v>
                </c:pt>
                <c:pt idx="3">
                  <c:v>7.399E-2</c:v>
                </c:pt>
                <c:pt idx="4">
                  <c:v>9.0162999999999993E-2</c:v>
                </c:pt>
                <c:pt idx="5">
                  <c:v>8.4139000000000005E-2</c:v>
                </c:pt>
                <c:pt idx="6">
                  <c:v>3.7238E-2</c:v>
                </c:pt>
                <c:pt idx="7">
                  <c:v>2.6629E-2</c:v>
                </c:pt>
                <c:pt idx="8">
                  <c:v>3.1858999999999998E-2</c:v>
                </c:pt>
                <c:pt idx="9">
                  <c:v>3.9587999999999998E-2</c:v>
                </c:pt>
                <c:pt idx="10">
                  <c:v>0.134767</c:v>
                </c:pt>
                <c:pt idx="11">
                  <c:v>0.12625700000000001</c:v>
                </c:pt>
                <c:pt idx="12">
                  <c:v>0.103766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3.048152</c:v>
                </c:pt>
                <c:pt idx="1">
                  <c:v>3.0015830000000001</c:v>
                </c:pt>
                <c:pt idx="2">
                  <c:v>3.577315</c:v>
                </c:pt>
                <c:pt idx="3">
                  <c:v>3.6179220000000001</c:v>
                </c:pt>
                <c:pt idx="4">
                  <c:v>3.5173019999999999</c:v>
                </c:pt>
                <c:pt idx="5">
                  <c:v>3.783118</c:v>
                </c:pt>
                <c:pt idx="6">
                  <c:v>3.2446030000000001</c:v>
                </c:pt>
                <c:pt idx="7">
                  <c:v>3.7400570000000002</c:v>
                </c:pt>
                <c:pt idx="8">
                  <c:v>3.104663</c:v>
                </c:pt>
                <c:pt idx="9">
                  <c:v>1.7294940000000001</c:v>
                </c:pt>
                <c:pt idx="10">
                  <c:v>2.8349500000000001</c:v>
                </c:pt>
                <c:pt idx="11">
                  <c:v>3.210191</c:v>
                </c:pt>
                <c:pt idx="12">
                  <c:v>3.9370180000000001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7.3618245</c:v>
                </c:pt>
                <c:pt idx="1">
                  <c:v>9.8298860000000001</c:v>
                </c:pt>
                <c:pt idx="2">
                  <c:v>9.6378819999999994</c:v>
                </c:pt>
                <c:pt idx="3">
                  <c:v>10.65733</c:v>
                </c:pt>
                <c:pt idx="4">
                  <c:v>12.228600500000001</c:v>
                </c:pt>
                <c:pt idx="5">
                  <c:v>15.5976535</c:v>
                </c:pt>
                <c:pt idx="6">
                  <c:v>12.5411815</c:v>
                </c:pt>
                <c:pt idx="7">
                  <c:v>14.683114</c:v>
                </c:pt>
                <c:pt idx="8">
                  <c:v>9.9340825000000006</c:v>
                </c:pt>
                <c:pt idx="9">
                  <c:v>10.860910000000001</c:v>
                </c:pt>
                <c:pt idx="10">
                  <c:v>10.810193999999999</c:v>
                </c:pt>
                <c:pt idx="11">
                  <c:v>8.9918355000000005</c:v>
                </c:pt>
                <c:pt idx="12">
                  <c:v>10.485035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7.3618245</c:v>
                </c:pt>
                <c:pt idx="1">
                  <c:v>9.8298860000000001</c:v>
                </c:pt>
                <c:pt idx="2">
                  <c:v>9.6378819999999994</c:v>
                </c:pt>
                <c:pt idx="3">
                  <c:v>10.65733</c:v>
                </c:pt>
                <c:pt idx="4">
                  <c:v>12.228600500000001</c:v>
                </c:pt>
                <c:pt idx="5">
                  <c:v>15.5976535</c:v>
                </c:pt>
                <c:pt idx="6">
                  <c:v>12.5411815</c:v>
                </c:pt>
                <c:pt idx="7">
                  <c:v>14.683114</c:v>
                </c:pt>
                <c:pt idx="8">
                  <c:v>9.9340825000000006</c:v>
                </c:pt>
                <c:pt idx="9">
                  <c:v>10.860910000000001</c:v>
                </c:pt>
                <c:pt idx="10">
                  <c:v>10.810193999999999</c:v>
                </c:pt>
                <c:pt idx="11">
                  <c:v>8.9918355000000005</c:v>
                </c:pt>
                <c:pt idx="12">
                  <c:v>10.485035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123.950131</c:v>
                </c:pt>
                <c:pt idx="1">
                  <c:v>89.734262000000001</c:v>
                </c:pt>
                <c:pt idx="2">
                  <c:v>82.194308000000007</c:v>
                </c:pt>
                <c:pt idx="3">
                  <c:v>98.033413999999993</c:v>
                </c:pt>
                <c:pt idx="4">
                  <c:v>118.762416</c:v>
                </c:pt>
                <c:pt idx="5">
                  <c:v>124.350134</c:v>
                </c:pt>
                <c:pt idx="6">
                  <c:v>168.54782399999999</c:v>
                </c:pt>
                <c:pt idx="7">
                  <c:v>175.00929099999999</c:v>
                </c:pt>
                <c:pt idx="8">
                  <c:v>130.854702</c:v>
                </c:pt>
                <c:pt idx="9">
                  <c:v>131.44748999999999</c:v>
                </c:pt>
                <c:pt idx="10">
                  <c:v>70.767787999999996</c:v>
                </c:pt>
                <c:pt idx="11">
                  <c:v>112.440268</c:v>
                </c:pt>
                <c:pt idx="12">
                  <c:v>122.760274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14.816183442751235</c:v>
                </c:pt>
                <c:pt idx="1">
                  <c:v>15.822179328629124</c:v>
                </c:pt>
                <c:pt idx="2">
                  <c:v>14.664266214439866</c:v>
                </c:pt>
                <c:pt idx="3">
                  <c:v>26.293833876131817</c:v>
                </c:pt>
                <c:pt idx="4">
                  <c:v>1.1606476242988624</c:v>
                </c:pt>
                <c:pt idx="5">
                  <c:v>4.6182837406656303E-2</c:v>
                </c:pt>
                <c:pt idx="6">
                  <c:v>0.34394060489694034</c:v>
                </c:pt>
                <c:pt idx="7">
                  <c:v>19.588207418467974</c:v>
                </c:pt>
                <c:pt idx="8">
                  <c:v>7.1218779921474864</c:v>
                </c:pt>
                <c:pt idx="9">
                  <c:v>0.14268066083003814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21"/>
                  <c:y val="-5.2786614173228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00813008130081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9512207925228858"/>
                  <c:y val="-0.132352748185888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22.510810452432793</c:v>
                </c:pt>
                <c:pt idx="1">
                  <c:v>3.7836328411211184</c:v>
                </c:pt>
                <c:pt idx="2">
                  <c:v>15.976295668330589</c:v>
                </c:pt>
                <c:pt idx="3">
                  <c:v>47.053547022120682</c:v>
                </c:pt>
                <c:pt idx="4">
                  <c:v>0</c:v>
                </c:pt>
                <c:pt idx="5">
                  <c:v>3.9985392418667449E-2</c:v>
                </c:pt>
                <c:pt idx="6">
                  <c:v>9.0174522695822226E-2</c:v>
                </c:pt>
                <c:pt idx="7">
                  <c:v>7.180176654767771</c:v>
                </c:pt>
                <c:pt idx="8">
                  <c:v>3.2978716425738215</c:v>
                </c:pt>
                <c:pt idx="9">
                  <c:v>6.7505803538721126E-2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0.27497500000000002</c:v>
                </c:pt>
                <c:pt idx="1">
                  <c:v>0.25442500000000001</c:v>
                </c:pt>
                <c:pt idx="2">
                  <c:v>0.28212599999999999</c:v>
                </c:pt>
                <c:pt idx="3">
                  <c:v>0.27610800000000002</c:v>
                </c:pt>
                <c:pt idx="4">
                  <c:v>0.29790899999999998</c:v>
                </c:pt>
                <c:pt idx="5">
                  <c:v>0.28383700000000001</c:v>
                </c:pt>
                <c:pt idx="6">
                  <c:v>0.30198999999999998</c:v>
                </c:pt>
                <c:pt idx="7">
                  <c:v>0.28963</c:v>
                </c:pt>
                <c:pt idx="8">
                  <c:v>0.28927700000000001</c:v>
                </c:pt>
                <c:pt idx="9">
                  <c:v>0.30293500000000001</c:v>
                </c:pt>
                <c:pt idx="10">
                  <c:v>0.28046900000000002</c:v>
                </c:pt>
                <c:pt idx="11">
                  <c:v>0.30561100000000002</c:v>
                </c:pt>
                <c:pt idx="12">
                  <c:v>0.29624200000000001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282.44358199999999</c:v>
                </c:pt>
                <c:pt idx="1">
                  <c:v>296.21159499999999</c:v>
                </c:pt>
                <c:pt idx="2">
                  <c:v>261.84115199999997</c:v>
                </c:pt>
                <c:pt idx="3">
                  <c:v>260.1001</c:v>
                </c:pt>
                <c:pt idx="4">
                  <c:v>261.00792300000001</c:v>
                </c:pt>
                <c:pt idx="5">
                  <c:v>265.32891099999995</c:v>
                </c:pt>
                <c:pt idx="6">
                  <c:v>263.81678599999998</c:v>
                </c:pt>
                <c:pt idx="7">
                  <c:v>280.24951799999997</c:v>
                </c:pt>
                <c:pt idx="8">
                  <c:v>278.46901400000002</c:v>
                </c:pt>
                <c:pt idx="9">
                  <c:v>329.85294699999997</c:v>
                </c:pt>
                <c:pt idx="10">
                  <c:v>283.46044599999999</c:v>
                </c:pt>
                <c:pt idx="11">
                  <c:v>293.933269</c:v>
                </c:pt>
                <c:pt idx="12">
                  <c:v>313.17357400000003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279.418815</c:v>
                </c:pt>
                <c:pt idx="1">
                  <c:v>289.33312999999998</c:v>
                </c:pt>
                <c:pt idx="2">
                  <c:v>284.83144399999998</c:v>
                </c:pt>
                <c:pt idx="3">
                  <c:v>279.54366599999997</c:v>
                </c:pt>
                <c:pt idx="4">
                  <c:v>275.34098399999999</c:v>
                </c:pt>
                <c:pt idx="5">
                  <c:v>351.45923099999999</c:v>
                </c:pt>
                <c:pt idx="6">
                  <c:v>250.52108799999999</c:v>
                </c:pt>
                <c:pt idx="7">
                  <c:v>306.93109600000003</c:v>
                </c:pt>
                <c:pt idx="8">
                  <c:v>329.65078499999998</c:v>
                </c:pt>
                <c:pt idx="9">
                  <c:v>385.37423100000001</c:v>
                </c:pt>
                <c:pt idx="10">
                  <c:v>320.60776499999997</c:v>
                </c:pt>
                <c:pt idx="11">
                  <c:v>343.70541600000001</c:v>
                </c:pt>
                <c:pt idx="12">
                  <c:v>348.60822999999999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1.6495040000000001</c:v>
                </c:pt>
                <c:pt idx="1">
                  <c:v>0.82934099999999999</c:v>
                </c:pt>
                <c:pt idx="2">
                  <c:v>1.5724450000000001</c:v>
                </c:pt>
                <c:pt idx="3">
                  <c:v>1.573337</c:v>
                </c:pt>
                <c:pt idx="4">
                  <c:v>2.0671949999999999</c:v>
                </c:pt>
                <c:pt idx="5">
                  <c:v>0.80873799999999996</c:v>
                </c:pt>
                <c:pt idx="6">
                  <c:v>2.7590569999999999</c:v>
                </c:pt>
                <c:pt idx="7">
                  <c:v>2.6998280000000001</c:v>
                </c:pt>
                <c:pt idx="8">
                  <c:v>1.3149919999999999</c:v>
                </c:pt>
                <c:pt idx="9">
                  <c:v>0.44324000000000002</c:v>
                </c:pt>
                <c:pt idx="10">
                  <c:v>1.0899650000000001</c:v>
                </c:pt>
                <c:pt idx="11">
                  <c:v>0.66913</c:v>
                </c:pt>
                <c:pt idx="12">
                  <c:v>0.66808100000000004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132.72816599999999</c:v>
                </c:pt>
                <c:pt idx="1">
                  <c:v>42.67051</c:v>
                </c:pt>
                <c:pt idx="2">
                  <c:v>130.23741999999999</c:v>
                </c:pt>
                <c:pt idx="3">
                  <c:v>103.685765</c:v>
                </c:pt>
                <c:pt idx="4">
                  <c:v>131.84913700000001</c:v>
                </c:pt>
                <c:pt idx="5">
                  <c:v>63.874986999999997</c:v>
                </c:pt>
                <c:pt idx="6">
                  <c:v>209.60142099999999</c:v>
                </c:pt>
                <c:pt idx="7">
                  <c:v>178.40248800000001</c:v>
                </c:pt>
                <c:pt idx="8">
                  <c:v>103.232878</c:v>
                </c:pt>
                <c:pt idx="9">
                  <c:v>57.758575</c:v>
                </c:pt>
                <c:pt idx="10">
                  <c:v>99.872924999999995</c:v>
                </c:pt>
                <c:pt idx="11">
                  <c:v>70.816050000000004</c:v>
                </c:pt>
                <c:pt idx="12">
                  <c:v>53.196173999999999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22.121485</c:v>
                </c:pt>
                <c:pt idx="1">
                  <c:v>20.382895000000001</c:v>
                </c:pt>
                <c:pt idx="2">
                  <c:v>32.428702000000001</c:v>
                </c:pt>
                <c:pt idx="3">
                  <c:v>30.033574000000002</c:v>
                </c:pt>
                <c:pt idx="4">
                  <c:v>30.564440999999999</c:v>
                </c:pt>
                <c:pt idx="5">
                  <c:v>30.691880000000001</c:v>
                </c:pt>
                <c:pt idx="6">
                  <c:v>35.002752999999998</c:v>
                </c:pt>
                <c:pt idx="7">
                  <c:v>33.602015999999999</c:v>
                </c:pt>
                <c:pt idx="8">
                  <c:v>31.322213000000001</c:v>
                </c:pt>
                <c:pt idx="9">
                  <c:v>29.6997</c:v>
                </c:pt>
                <c:pt idx="10">
                  <c:v>24.842165000000001</c:v>
                </c:pt>
                <c:pt idx="11">
                  <c:v>23.549019999999999</c:v>
                </c:pt>
                <c:pt idx="12">
                  <c:v>24.433125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ene.-23</c:v>
                </c:pt>
                <c:pt idx="1">
                  <c:v>feb.-23</c:v>
                </c:pt>
                <c:pt idx="2">
                  <c:v>mar.-23</c:v>
                </c:pt>
                <c:pt idx="3">
                  <c:v>abr.-23</c:v>
                </c:pt>
                <c:pt idx="4">
                  <c:v>may.-23</c:v>
                </c:pt>
                <c:pt idx="5">
                  <c:v>jun.-23</c:v>
                </c:pt>
                <c:pt idx="6">
                  <c:v>jul.-23</c:v>
                </c:pt>
                <c:pt idx="7">
                  <c:v>ago.-23</c:v>
                </c:pt>
                <c:pt idx="8">
                  <c:v>sep.-23</c:v>
                </c:pt>
                <c:pt idx="9">
                  <c:v>oct.-23</c:v>
                </c:pt>
                <c:pt idx="10">
                  <c:v>nov.-23</c:v>
                </c:pt>
                <c:pt idx="11">
                  <c:v>dic.-23</c:v>
                </c:pt>
                <c:pt idx="12">
                  <c:v>ene.-24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0.78413299999999997</c:v>
                </c:pt>
                <c:pt idx="1">
                  <c:v>0.71108700000000002</c:v>
                </c:pt>
                <c:pt idx="2">
                  <c:v>0.73842799999999997</c:v>
                </c:pt>
                <c:pt idx="3">
                  <c:v>0.63095199999999996</c:v>
                </c:pt>
                <c:pt idx="4">
                  <c:v>0.65055600000000002</c:v>
                </c:pt>
                <c:pt idx="5">
                  <c:v>0.66513100000000003</c:v>
                </c:pt>
                <c:pt idx="6">
                  <c:v>0.64607300000000001</c:v>
                </c:pt>
                <c:pt idx="7">
                  <c:v>0.37482700000000002</c:v>
                </c:pt>
                <c:pt idx="8">
                  <c:v>0.37211699999999998</c:v>
                </c:pt>
                <c:pt idx="9">
                  <c:v>0.52430399999999999</c:v>
                </c:pt>
                <c:pt idx="10">
                  <c:v>0.42454199999999997</c:v>
                </c:pt>
                <c:pt idx="11">
                  <c:v>0.44537900000000002</c:v>
                </c:pt>
                <c:pt idx="12">
                  <c:v>0.50013399999999997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Enero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>
      <selection activeCell="D68" sqref="D68:D78"/>
    </sheetView>
  </sheetViews>
  <sheetFormatPr baseColWidth="10" defaultColWidth="11.42578125" defaultRowHeight="12"/>
  <cols>
    <col min="1" max="1" width="8.28515625" style="102" bestFit="1" customWidth="1"/>
    <col min="2" max="2" width="12.85546875" style="102" bestFit="1" customWidth="1"/>
    <col min="3" max="3" width="23.7109375" style="102" bestFit="1" customWidth="1"/>
    <col min="4" max="4" width="19.85546875" style="102" bestFit="1" customWidth="1"/>
    <col min="5" max="5" width="20.42578125" style="102" bestFit="1" customWidth="1"/>
    <col min="6" max="6" width="31.85546875" style="102" bestFit="1" customWidth="1"/>
    <col min="7" max="7" width="23.7109375" style="102" bestFit="1" customWidth="1"/>
    <col min="8" max="8" width="19.85546875" style="102" bestFit="1" customWidth="1"/>
    <col min="9" max="9" width="20.42578125" style="102" bestFit="1" customWidth="1"/>
    <col min="10" max="11" width="27.85546875" style="102" bestFit="1" customWidth="1"/>
    <col min="12" max="12" width="24" style="102" bestFit="1" customWidth="1"/>
    <col min="13" max="13" width="24.5703125" style="102" bestFit="1" customWidth="1"/>
    <col min="14" max="14" width="31.85546875" style="102" bestFit="1" customWidth="1"/>
    <col min="15" max="33" width="21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118</v>
      </c>
      <c r="B2" s="133" t="s">
        <v>119</v>
      </c>
    </row>
    <row r="4" spans="1:33" ht="15">
      <c r="A4" s="134" t="s">
        <v>67</v>
      </c>
      <c r="B4" s="199" t="s">
        <v>118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296.24200000000002</v>
      </c>
      <c r="AA8" s="169">
        <v>274.97500000000002</v>
      </c>
      <c r="AB8" s="170">
        <v>7.7341576499999995E-2</v>
      </c>
      <c r="AC8" s="169">
        <v>296.24200000000002</v>
      </c>
      <c r="AD8" s="169">
        <v>274.97500000000002</v>
      </c>
      <c r="AE8" s="170">
        <v>7.7341576499999995E-2</v>
      </c>
      <c r="AF8" s="169">
        <v>3460.5590000000002</v>
      </c>
      <c r="AG8" s="170">
        <v>1.4155440199999999E-2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-706.05399999999997</v>
      </c>
      <c r="S9" s="169">
        <v>-727.71799999999996</v>
      </c>
      <c r="T9" s="170">
        <v>-2.9769773499999999E-2</v>
      </c>
      <c r="U9" s="169">
        <v>-706.05399999999997</v>
      </c>
      <c r="V9" s="169">
        <v>-727.71799999999996</v>
      </c>
      <c r="W9" s="170">
        <v>-2.9769773499999999E-2</v>
      </c>
      <c r="X9" s="169">
        <v>60513.696000000004</v>
      </c>
      <c r="Y9" s="170">
        <v>-0.22963474589999999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15930.575999999999</v>
      </c>
      <c r="C10" s="169">
        <v>16638.507000000001</v>
      </c>
      <c r="D10" s="170">
        <v>-4.2547747800000001E-2</v>
      </c>
      <c r="E10" s="169">
        <v>15930.575999999999</v>
      </c>
      <c r="F10" s="169">
        <v>16638.507000000001</v>
      </c>
      <c r="G10" s="170">
        <v>-4.2547747800000001E-2</v>
      </c>
      <c r="H10" s="169">
        <v>185567.962</v>
      </c>
      <c r="I10" s="170">
        <v>-4.51414308E-2</v>
      </c>
      <c r="J10" s="169">
        <v>15293.357</v>
      </c>
      <c r="K10" s="169">
        <v>15322.924999999999</v>
      </c>
      <c r="L10" s="170">
        <v>-1.9296577E-3</v>
      </c>
      <c r="M10" s="169">
        <v>15293.357</v>
      </c>
      <c r="N10" s="169">
        <v>15322.924999999999</v>
      </c>
      <c r="O10" s="170">
        <v>-1.9296577E-3</v>
      </c>
      <c r="P10" s="169">
        <v>191056.65400000001</v>
      </c>
      <c r="Q10" s="170">
        <v>3.8948002000000002E-2</v>
      </c>
      <c r="R10" s="169">
        <v>5289.299</v>
      </c>
      <c r="S10" s="169">
        <v>5017.9290000000001</v>
      </c>
      <c r="T10" s="170">
        <v>5.4080079699999999E-2</v>
      </c>
      <c r="U10" s="169">
        <v>5289.299</v>
      </c>
      <c r="V10" s="169">
        <v>5017.9290000000001</v>
      </c>
      <c r="W10" s="170">
        <v>5.4080079699999999E-2</v>
      </c>
      <c r="X10" s="169">
        <v>251075.46599999999</v>
      </c>
      <c r="Y10" s="170">
        <v>-0.32958059550000002</v>
      </c>
      <c r="Z10" s="169">
        <v>166777.09299999999</v>
      </c>
      <c r="AA10" s="169">
        <v>149666.54999999999</v>
      </c>
      <c r="AB10" s="170">
        <v>0.1143244299</v>
      </c>
      <c r="AC10" s="169">
        <v>166777.09299999999</v>
      </c>
      <c r="AD10" s="169">
        <v>149666.54999999999</v>
      </c>
      <c r="AE10" s="170">
        <v>0.1143244299</v>
      </c>
      <c r="AF10" s="169">
        <v>1900269.55</v>
      </c>
      <c r="AG10" s="170">
        <v>7.9741299500000001E-2</v>
      </c>
    </row>
    <row r="11" spans="1:33">
      <c r="A11" s="133" t="s">
        <v>9</v>
      </c>
      <c r="B11" s="169">
        <v>3.6589999999999998</v>
      </c>
      <c r="C11" s="169">
        <v>3.7250000000000001</v>
      </c>
      <c r="D11" s="170">
        <v>-1.7718120800000001E-2</v>
      </c>
      <c r="E11" s="169">
        <v>3.6589999999999998</v>
      </c>
      <c r="F11" s="169">
        <v>3.7250000000000001</v>
      </c>
      <c r="G11" s="170">
        <v>-1.7718120800000001E-2</v>
      </c>
      <c r="H11" s="169">
        <v>253.173</v>
      </c>
      <c r="I11" s="170">
        <v>-0.43431095660000002</v>
      </c>
      <c r="J11" s="169">
        <v>2.448</v>
      </c>
      <c r="K11" s="169">
        <v>3.4820000000000002</v>
      </c>
      <c r="L11" s="170">
        <v>-0.29695577249999999</v>
      </c>
      <c r="M11" s="169">
        <v>2.448</v>
      </c>
      <c r="N11" s="169">
        <v>3.4820000000000002</v>
      </c>
      <c r="O11" s="170">
        <v>-0.29695577249999999</v>
      </c>
      <c r="P11" s="169">
        <v>43.101999999999997</v>
      </c>
      <c r="Q11" s="170">
        <v>-0.58100515210000003</v>
      </c>
      <c r="R11" s="169">
        <v>25154.276999999998</v>
      </c>
      <c r="S11" s="169">
        <v>49385.1</v>
      </c>
      <c r="T11" s="170">
        <v>-0.49065047960000002</v>
      </c>
      <c r="U11" s="169">
        <v>25154.276999999998</v>
      </c>
      <c r="V11" s="169">
        <v>49385.1</v>
      </c>
      <c r="W11" s="170">
        <v>-0.49065047960000002</v>
      </c>
      <c r="X11" s="169">
        <v>473943.10100000002</v>
      </c>
      <c r="Y11" s="170">
        <v>9.96228896E-2</v>
      </c>
      <c r="Z11" s="169">
        <v>28032.010999999999</v>
      </c>
      <c r="AA11" s="169">
        <v>14760.491</v>
      </c>
      <c r="AB11" s="170">
        <v>0.89912456159999998</v>
      </c>
      <c r="AC11" s="169">
        <v>28032.010999999999</v>
      </c>
      <c r="AD11" s="169">
        <v>14760.491</v>
      </c>
      <c r="AE11" s="170">
        <v>0.89912456159999998</v>
      </c>
      <c r="AF11" s="169">
        <v>269243.74800000002</v>
      </c>
      <c r="AG11" s="170">
        <v>5.3264882999999999E-2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118364.47</v>
      </c>
      <c r="AA12" s="169">
        <v>118030.389</v>
      </c>
      <c r="AB12" s="170">
        <v>2.8304659999999998E-3</v>
      </c>
      <c r="AC12" s="169">
        <v>118364.47</v>
      </c>
      <c r="AD12" s="169">
        <v>118030.389</v>
      </c>
      <c r="AE12" s="170">
        <v>2.8304659999999998E-3</v>
      </c>
      <c r="AF12" s="169">
        <v>1217984.077</v>
      </c>
      <c r="AG12" s="170">
        <v>8.4038277999999994E-3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244020.29300000001</v>
      </c>
      <c r="S13" s="169">
        <v>236334.141</v>
      </c>
      <c r="T13" s="170">
        <v>3.25223938E-2</v>
      </c>
      <c r="U13" s="169">
        <v>244020.29300000001</v>
      </c>
      <c r="V13" s="169">
        <v>236334.141</v>
      </c>
      <c r="W13" s="170">
        <v>3.25223938E-2</v>
      </c>
      <c r="X13" s="169">
        <v>3078917.7769999998</v>
      </c>
      <c r="Y13" s="170">
        <v>-0.20481014310000001</v>
      </c>
      <c r="Z13" s="169">
        <v>348608.23</v>
      </c>
      <c r="AA13" s="169">
        <v>279418.815</v>
      </c>
      <c r="AB13" s="170">
        <v>0.24761902669999999</v>
      </c>
      <c r="AC13" s="169">
        <v>348608.23</v>
      </c>
      <c r="AD13" s="169">
        <v>279418.815</v>
      </c>
      <c r="AE13" s="170">
        <v>0.24761902669999999</v>
      </c>
      <c r="AF13" s="169">
        <v>3765907.0660000001</v>
      </c>
      <c r="AG13" s="170">
        <v>7.0134442000000005E-2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-13.848000000000001</v>
      </c>
      <c r="AB14" s="170">
        <v>-1</v>
      </c>
      <c r="AC14" s="169">
        <v>0</v>
      </c>
      <c r="AD14" s="169">
        <v>-13.848000000000001</v>
      </c>
      <c r="AE14" s="170">
        <v>-1</v>
      </c>
      <c r="AF14" s="169">
        <v>-52.14</v>
      </c>
      <c r="AG14" s="170">
        <v>-0.34431589540000002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668.08100000000002</v>
      </c>
      <c r="AA15" s="169">
        <v>1649.5039999999999</v>
      </c>
      <c r="AB15" s="170">
        <v>-0.59498067300000002</v>
      </c>
      <c r="AC15" s="169">
        <v>668.08100000000002</v>
      </c>
      <c r="AD15" s="169">
        <v>1649.5039999999999</v>
      </c>
      <c r="AE15" s="170">
        <v>-0.59498067300000002</v>
      </c>
      <c r="AF15" s="169">
        <v>16495.348999999998</v>
      </c>
      <c r="AG15" s="170">
        <v>-0.29565546250000002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215.73</v>
      </c>
      <c r="T16" s="170">
        <v>-1</v>
      </c>
      <c r="U16" s="169">
        <v>0</v>
      </c>
      <c r="V16" s="169">
        <v>215.73</v>
      </c>
      <c r="W16" s="170">
        <v>-1</v>
      </c>
      <c r="X16" s="169">
        <v>1052.3399999999999</v>
      </c>
      <c r="Y16" s="170">
        <v>-0.273978897</v>
      </c>
      <c r="Z16" s="169">
        <v>53196.173999999999</v>
      </c>
      <c r="AA16" s="169">
        <v>132728.166</v>
      </c>
      <c r="AB16" s="170">
        <v>-0.59920960560000003</v>
      </c>
      <c r="AC16" s="169">
        <v>53196.173999999999</v>
      </c>
      <c r="AD16" s="169">
        <v>132728.166</v>
      </c>
      <c r="AE16" s="170">
        <v>-0.59920960560000003</v>
      </c>
      <c r="AF16" s="169">
        <v>1245198.33</v>
      </c>
      <c r="AG16" s="170">
        <v>-0.1387649645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3.492</v>
      </c>
      <c r="K17" s="169">
        <v>4.343</v>
      </c>
      <c r="L17" s="170">
        <v>-0.1959475017</v>
      </c>
      <c r="M17" s="169">
        <v>3.492</v>
      </c>
      <c r="N17" s="169">
        <v>4.343</v>
      </c>
      <c r="O17" s="170">
        <v>-0.1959475017</v>
      </c>
      <c r="P17" s="169">
        <v>75.676000000000002</v>
      </c>
      <c r="Q17" s="170">
        <v>5.4850085700000002E-2</v>
      </c>
      <c r="R17" s="169">
        <v>23767.339</v>
      </c>
      <c r="S17" s="169">
        <v>18539.918000000001</v>
      </c>
      <c r="T17" s="170">
        <v>0.28195491480000001</v>
      </c>
      <c r="U17" s="169">
        <v>23767.339</v>
      </c>
      <c r="V17" s="169">
        <v>18539.918000000001</v>
      </c>
      <c r="W17" s="170">
        <v>0.28195491480000001</v>
      </c>
      <c r="X17" s="169">
        <v>390289.40500000003</v>
      </c>
      <c r="Y17" s="170">
        <v>0.42661357919999998</v>
      </c>
      <c r="Z17" s="169">
        <v>24433.125</v>
      </c>
      <c r="AA17" s="169">
        <v>22121.485000000001</v>
      </c>
      <c r="AB17" s="170">
        <v>0.1044975055</v>
      </c>
      <c r="AC17" s="169">
        <v>24433.125</v>
      </c>
      <c r="AD17" s="169">
        <v>22121.485000000001</v>
      </c>
      <c r="AE17" s="170">
        <v>0.1044975055</v>
      </c>
      <c r="AF17" s="169">
        <v>346552.484</v>
      </c>
      <c r="AG17" s="170">
        <v>8.7824849299999994E-2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103.76600000000001</v>
      </c>
      <c r="S18" s="169">
        <v>93.608999999999995</v>
      </c>
      <c r="T18" s="170">
        <v>0.1085045241</v>
      </c>
      <c r="U18" s="169">
        <v>103.76600000000001</v>
      </c>
      <c r="V18" s="169">
        <v>93.608999999999995</v>
      </c>
      <c r="W18" s="170">
        <v>0.1085045241</v>
      </c>
      <c r="X18" s="169">
        <v>996.702</v>
      </c>
      <c r="Y18" s="170">
        <v>-0.37352282860000002</v>
      </c>
      <c r="Z18" s="169">
        <v>500.13400000000001</v>
      </c>
      <c r="AA18" s="169">
        <v>784.13300000000004</v>
      </c>
      <c r="AB18" s="170">
        <v>-0.36218218079999998</v>
      </c>
      <c r="AC18" s="169">
        <v>500.13400000000001</v>
      </c>
      <c r="AD18" s="169">
        <v>784.13300000000004</v>
      </c>
      <c r="AE18" s="170">
        <v>-0.36218218079999998</v>
      </c>
      <c r="AF18" s="169">
        <v>6683.53</v>
      </c>
      <c r="AG18" s="170">
        <v>-0.2443687152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3937.018</v>
      </c>
      <c r="S19" s="169">
        <v>3048.152</v>
      </c>
      <c r="T19" s="170">
        <v>0.2916081613</v>
      </c>
      <c r="U19" s="169">
        <v>3937.018</v>
      </c>
      <c r="V19" s="169">
        <v>3048.152</v>
      </c>
      <c r="W19" s="170">
        <v>0.2916081613</v>
      </c>
      <c r="X19" s="169">
        <v>39298.216</v>
      </c>
      <c r="Y19" s="170">
        <v>0.51079028110000002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625.11249999999995</v>
      </c>
      <c r="K20" s="169">
        <v>463.76299999999998</v>
      </c>
      <c r="L20" s="170">
        <v>0.34791369729999999</v>
      </c>
      <c r="M20" s="169">
        <v>625.11249999999995</v>
      </c>
      <c r="N20" s="169">
        <v>463.76299999999998</v>
      </c>
      <c r="O20" s="170">
        <v>0.34791369729999999</v>
      </c>
      <c r="P20" s="169">
        <v>5575.1244999999999</v>
      </c>
      <c r="Q20" s="170">
        <v>-3.7456853800000002E-2</v>
      </c>
      <c r="R20" s="169">
        <v>10485.035</v>
      </c>
      <c r="S20" s="169">
        <v>7361.8244999999997</v>
      </c>
      <c r="T20" s="170">
        <v>0.4242440851</v>
      </c>
      <c r="U20" s="169">
        <v>10485.035</v>
      </c>
      <c r="V20" s="169">
        <v>7361.8244999999997</v>
      </c>
      <c r="W20" s="170">
        <v>0.4242440851</v>
      </c>
      <c r="X20" s="169">
        <v>136257.70449999999</v>
      </c>
      <c r="Y20" s="170">
        <v>4.3704806499999999E-2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625.11249999999995</v>
      </c>
      <c r="K21" s="169">
        <v>463.76299999999998</v>
      </c>
      <c r="L21" s="170">
        <v>0.34791369729999999</v>
      </c>
      <c r="M21" s="169">
        <v>625.11249999999995</v>
      </c>
      <c r="N21" s="169">
        <v>463.76299999999998</v>
      </c>
      <c r="O21" s="170">
        <v>0.34791369729999999</v>
      </c>
      <c r="P21" s="169">
        <v>5575.1244999999999</v>
      </c>
      <c r="Q21" s="170">
        <v>-3.7456853800000002E-2</v>
      </c>
      <c r="R21" s="169">
        <v>10485.035</v>
      </c>
      <c r="S21" s="169">
        <v>7361.8244999999997</v>
      </c>
      <c r="T21" s="170">
        <v>0.4242440851</v>
      </c>
      <c r="U21" s="169">
        <v>10485.035</v>
      </c>
      <c r="V21" s="169">
        <v>7361.8244999999997</v>
      </c>
      <c r="W21" s="170">
        <v>0.4242440851</v>
      </c>
      <c r="X21" s="169">
        <v>136257.70449999999</v>
      </c>
      <c r="Y21" s="170">
        <v>4.3704806499999999E-2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15934.235000000001</v>
      </c>
      <c r="C22" s="171">
        <v>16642.232</v>
      </c>
      <c r="D22" s="172">
        <v>-4.2542190299999998E-2</v>
      </c>
      <c r="E22" s="171">
        <v>15934.235000000001</v>
      </c>
      <c r="F22" s="171">
        <v>16642.232</v>
      </c>
      <c r="G22" s="172">
        <v>-4.2542190299999998E-2</v>
      </c>
      <c r="H22" s="171">
        <v>185821.13500000001</v>
      </c>
      <c r="I22" s="172">
        <v>-4.6035591299999998E-2</v>
      </c>
      <c r="J22" s="171">
        <v>16549.522000000001</v>
      </c>
      <c r="K22" s="171">
        <v>16258.276</v>
      </c>
      <c r="L22" s="172">
        <v>1.7913707500000001E-2</v>
      </c>
      <c r="M22" s="171">
        <v>16549.522000000001</v>
      </c>
      <c r="N22" s="171">
        <v>16258.276</v>
      </c>
      <c r="O22" s="172">
        <v>1.7913707500000001E-2</v>
      </c>
      <c r="P22" s="171">
        <v>202325.68100000001</v>
      </c>
      <c r="Q22" s="172">
        <v>3.41041256E-2</v>
      </c>
      <c r="R22" s="171">
        <v>322536.00799999997</v>
      </c>
      <c r="S22" s="171">
        <v>326630.51</v>
      </c>
      <c r="T22" s="172">
        <v>-1.25355773E-2</v>
      </c>
      <c r="U22" s="171">
        <v>322536.00799999997</v>
      </c>
      <c r="V22" s="171">
        <v>326630.51</v>
      </c>
      <c r="W22" s="172">
        <v>-1.25355773E-2</v>
      </c>
      <c r="X22" s="171">
        <v>4568602.1119999997</v>
      </c>
      <c r="Y22" s="172">
        <v>-0.1431473593</v>
      </c>
      <c r="Z22" s="171">
        <v>740875.56</v>
      </c>
      <c r="AA22" s="171">
        <v>719420.66</v>
      </c>
      <c r="AB22" s="172">
        <v>2.9822468500000001E-2</v>
      </c>
      <c r="AC22" s="171">
        <v>740875.56</v>
      </c>
      <c r="AD22" s="171">
        <v>719420.66</v>
      </c>
      <c r="AE22" s="172">
        <v>2.9822468500000001E-2</v>
      </c>
      <c r="AF22" s="171">
        <v>8771742.5529999994</v>
      </c>
      <c r="AG22" s="172">
        <v>2.6836905099999999E-2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122760.274</v>
      </c>
      <c r="S23" s="169">
        <v>123950.13099999999</v>
      </c>
      <c r="T23" s="170">
        <v>-9.5994815999999993E-3</v>
      </c>
      <c r="U23" s="169">
        <v>122760.274</v>
      </c>
      <c r="V23" s="169">
        <v>123950.13099999999</v>
      </c>
      <c r="W23" s="170">
        <v>-9.5994815999999993E-3</v>
      </c>
      <c r="X23" s="169">
        <v>1424902.1710000001</v>
      </c>
      <c r="Y23" s="170">
        <v>1.0486728781000001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15934.235000000001</v>
      </c>
      <c r="C24" s="171">
        <v>16642.232</v>
      </c>
      <c r="D24" s="172">
        <v>-4.2542190299999998E-2</v>
      </c>
      <c r="E24" s="171">
        <v>15934.235000000001</v>
      </c>
      <c r="F24" s="171">
        <v>16642.232</v>
      </c>
      <c r="G24" s="172">
        <v>-4.2542190299999998E-2</v>
      </c>
      <c r="H24" s="171">
        <v>185821.13500000001</v>
      </c>
      <c r="I24" s="172">
        <v>-4.6035591299999998E-2</v>
      </c>
      <c r="J24" s="171">
        <v>16549.522000000001</v>
      </c>
      <c r="K24" s="171">
        <v>16258.276</v>
      </c>
      <c r="L24" s="172">
        <v>1.7913707500000001E-2</v>
      </c>
      <c r="M24" s="171">
        <v>16549.522000000001</v>
      </c>
      <c r="N24" s="171">
        <v>16258.276</v>
      </c>
      <c r="O24" s="172">
        <v>1.7913707500000001E-2</v>
      </c>
      <c r="P24" s="171">
        <v>202325.68100000001</v>
      </c>
      <c r="Q24" s="172">
        <v>3.41041256E-2</v>
      </c>
      <c r="R24" s="171">
        <v>445296.28200000001</v>
      </c>
      <c r="S24" s="171">
        <v>450580.641</v>
      </c>
      <c r="T24" s="172">
        <v>-1.1727887399999999E-2</v>
      </c>
      <c r="U24" s="171">
        <v>445296.28200000001</v>
      </c>
      <c r="V24" s="171">
        <v>450580.641</v>
      </c>
      <c r="W24" s="172">
        <v>-1.1727887399999999E-2</v>
      </c>
      <c r="X24" s="171">
        <v>5993504.2829999998</v>
      </c>
      <c r="Y24" s="172">
        <v>-5.6179263999999998E-3</v>
      </c>
      <c r="Z24" s="171">
        <v>740875.56</v>
      </c>
      <c r="AA24" s="171">
        <v>719420.66</v>
      </c>
      <c r="AB24" s="172">
        <v>2.9822468500000001E-2</v>
      </c>
      <c r="AC24" s="171">
        <v>740875.56</v>
      </c>
      <c r="AD24" s="171">
        <v>719420.66</v>
      </c>
      <c r="AE24" s="172">
        <v>2.9822468500000001E-2</v>
      </c>
      <c r="AF24" s="171">
        <v>8771742.5529999994</v>
      </c>
      <c r="AG24" s="172">
        <v>2.6836905099999999E-2</v>
      </c>
    </row>
    <row r="25" spans="1:33">
      <c r="R25" s="162">
        <f>SUM(R10,R14)</f>
        <v>5289.299</v>
      </c>
      <c r="S25" s="162">
        <f>SUM(S10,S14)</f>
        <v>5017.9290000000001</v>
      </c>
      <c r="T25" s="163">
        <f>((R25/S25)-1)*100</f>
        <v>5.4080079650389523</v>
      </c>
    </row>
    <row r="26" spans="1:33">
      <c r="A26" s="102" t="s">
        <v>103</v>
      </c>
      <c r="B26" s="162">
        <f>SUM(B24,J24,R24,Z24)</f>
        <v>1218655.5989999999</v>
      </c>
      <c r="C26" s="162">
        <f>SUM(C24,K24,S24,AA24)</f>
        <v>1202901.8089999999</v>
      </c>
      <c r="D26" s="163">
        <f>((B26/C26)-1)*100</f>
        <v>1.3096488742581958</v>
      </c>
      <c r="R26" s="179">
        <f>R23/R24</f>
        <v>0.27568223441847645</v>
      </c>
      <c r="S26" s="179">
        <f>S23/S24</f>
        <v>0.27508978353999008</v>
      </c>
      <c r="Z26" s="163"/>
    </row>
    <row r="29" spans="1:33" ht="15">
      <c r="A29" s="134" t="s">
        <v>67</v>
      </c>
      <c r="B29" s="199" t="str">
        <f>A2</f>
        <v>Enero 2024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644.70000000000005</v>
      </c>
      <c r="D41" s="167"/>
    </row>
    <row r="42" spans="1:4">
      <c r="A42" s="133" t="s">
        <v>4</v>
      </c>
      <c r="B42" s="176">
        <v>329.80939499999999</v>
      </c>
      <c r="C42" s="176">
        <v>234.399945</v>
      </c>
      <c r="D42" s="167"/>
    </row>
    <row r="43" spans="1:4">
      <c r="A43" s="133" t="s">
        <v>22</v>
      </c>
      <c r="B43" s="176">
        <v>2.13</v>
      </c>
      <c r="C43" s="176">
        <v>4.6959999999999997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2228.4298950000002</v>
      </c>
      <c r="C47" s="177">
        <f>SUM(C33:C46)</f>
        <v>3291.2659450000001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10.8237643257788</v>
      </c>
      <c r="D52" s="165"/>
      <c r="F52" s="105" t="s">
        <v>10</v>
      </c>
      <c r="G52" s="106">
        <f>C35</f>
        <v>487.64</v>
      </c>
      <c r="H52" s="107">
        <f>G52/$G$62*100</f>
        <v>14.816183442751235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6.2555254851308657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15.822179328629124</v>
      </c>
    </row>
    <row r="54" spans="1:8">
      <c r="A54" s="105" t="s">
        <v>9</v>
      </c>
      <c r="B54" s="106">
        <f t="shared" si="1"/>
        <v>603.1</v>
      </c>
      <c r="C54" s="107">
        <f t="shared" si="0"/>
        <v>27.063898278927013</v>
      </c>
      <c r="D54" s="165"/>
      <c r="F54" s="105" t="s">
        <v>8</v>
      </c>
      <c r="G54" s="106">
        <f>C37</f>
        <v>482.64</v>
      </c>
      <c r="H54" s="107">
        <f t="shared" si="2"/>
        <v>14.664266214439866</v>
      </c>
    </row>
    <row r="55" spans="1:8">
      <c r="A55" s="105" t="s">
        <v>25</v>
      </c>
      <c r="B55" s="106">
        <f>B38</f>
        <v>822.9</v>
      </c>
      <c r="C55" s="107">
        <f t="shared" si="0"/>
        <v>36.927345205984139</v>
      </c>
      <c r="D55" s="165"/>
      <c r="F55" s="105" t="s">
        <v>25</v>
      </c>
      <c r="G55" s="106">
        <f>C38</f>
        <v>865.4</v>
      </c>
      <c r="H55" s="107">
        <f t="shared" si="2"/>
        <v>26.293833876131817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1.1606476242988624</v>
      </c>
    </row>
    <row r="57" spans="1:8">
      <c r="A57" s="105" t="s">
        <v>23</v>
      </c>
      <c r="B57" s="106">
        <f>B44</f>
        <v>11.523</v>
      </c>
      <c r="C57" s="107">
        <f t="shared" si="0"/>
        <v>0.51709053203129818</v>
      </c>
      <c r="D57" s="165"/>
      <c r="F57" s="105" t="s">
        <v>12</v>
      </c>
      <c r="G57" s="107">
        <f>C33</f>
        <v>1.52</v>
      </c>
      <c r="H57" s="107">
        <f t="shared" si="2"/>
        <v>4.6182837406656303E-2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1.678311715522915</v>
      </c>
      <c r="D58" s="165"/>
      <c r="F58" s="105" t="s">
        <v>6</v>
      </c>
      <c r="G58" s="106">
        <f>C40</f>
        <v>11.32</v>
      </c>
      <c r="H58" s="107">
        <f t="shared" si="2"/>
        <v>0.34394060489694034</v>
      </c>
    </row>
    <row r="59" spans="1:8">
      <c r="A59" s="105" t="s">
        <v>54</v>
      </c>
      <c r="B59" s="106">
        <f>B45</f>
        <v>37.4</v>
      </c>
      <c r="C59" s="107">
        <f t="shared" si="3"/>
        <v>1.678311715522915</v>
      </c>
      <c r="D59" s="165"/>
      <c r="F59" s="105" t="s">
        <v>5</v>
      </c>
      <c r="G59" s="106">
        <f>C41</f>
        <v>644.70000000000005</v>
      </c>
      <c r="H59" s="107">
        <f t="shared" si="2"/>
        <v>19.588207418467974</v>
      </c>
    </row>
    <row r="60" spans="1:8">
      <c r="A60" s="105" t="s">
        <v>5</v>
      </c>
      <c r="B60" s="106">
        <f>B41</f>
        <v>3.5674999999999999</v>
      </c>
      <c r="C60" s="107">
        <f t="shared" si="3"/>
        <v>0.16009029532427807</v>
      </c>
      <c r="D60" s="165"/>
      <c r="F60" s="105" t="s">
        <v>4</v>
      </c>
      <c r="G60" s="106">
        <f>C42</f>
        <v>234.399945</v>
      </c>
      <c r="H60" s="107">
        <f t="shared" si="2"/>
        <v>7.1218779921474864</v>
      </c>
    </row>
    <row r="61" spans="1:8">
      <c r="A61" s="105" t="s">
        <v>4</v>
      </c>
      <c r="B61" s="106">
        <f>B42</f>
        <v>329.80939499999999</v>
      </c>
      <c r="C61" s="107">
        <f t="shared" si="3"/>
        <v>14.800079452353604</v>
      </c>
      <c r="D61" s="165"/>
      <c r="F61" s="105" t="s">
        <v>22</v>
      </c>
      <c r="G61" s="106">
        <f>C43</f>
        <v>4.6959999999999997</v>
      </c>
      <c r="H61" s="107">
        <f t="shared" si="2"/>
        <v>0.14268066083003814</v>
      </c>
    </row>
    <row r="62" spans="1:8">
      <c r="A62" s="105" t="s">
        <v>22</v>
      </c>
      <c r="B62" s="106">
        <f>B43</f>
        <v>2.13</v>
      </c>
      <c r="C62" s="107">
        <f t="shared" si="3"/>
        <v>9.5582993424166027E-2</v>
      </c>
      <c r="D62" s="165"/>
      <c r="F62" s="108" t="s">
        <v>20</v>
      </c>
      <c r="G62" s="109">
        <f>SUM(G52:G61)</f>
        <v>3291.2659450000001</v>
      </c>
      <c r="H62" s="110">
        <f>SUM(H52:H61)</f>
        <v>100</v>
      </c>
    </row>
    <row r="63" spans="1:8">
      <c r="A63" s="108" t="s">
        <v>20</v>
      </c>
      <c r="B63" s="109">
        <f>SUM(B52:B62)</f>
        <v>2228.4298950000002</v>
      </c>
      <c r="C63" s="110">
        <f>SUM(C52:C62)</f>
        <v>99.999999999999972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3">
        <f>(C68/SUM($C$68:$C$78))*100</f>
        <v>0</v>
      </c>
      <c r="F68" s="105" t="s">
        <v>10</v>
      </c>
      <c r="G68" s="107">
        <f>SUM(Z10,Z14)/Z$24*100</f>
        <v>22.510810452432793</v>
      </c>
    </row>
    <row r="69" spans="1:7">
      <c r="A69" s="105" t="s">
        <v>10</v>
      </c>
      <c r="B69" s="107">
        <f t="shared" ref="B69:B78" si="4">C69/$C$80*100</f>
        <v>1.1859352682852318</v>
      </c>
      <c r="C69" s="106">
        <f>R10</f>
        <v>5289.299</v>
      </c>
      <c r="D69" s="183">
        <f t="shared" ref="D69:D78" si="5">(C69/SUM($C$68:$C$78))*100</f>
        <v>1.6363275767000898</v>
      </c>
      <c r="F69" s="105" t="s">
        <v>9</v>
      </c>
      <c r="G69" s="107">
        <f>Z11/Z$24*100</f>
        <v>3.7836328411211184</v>
      </c>
    </row>
    <row r="70" spans="1:7">
      <c r="A70" s="105" t="s">
        <v>9</v>
      </c>
      <c r="B70" s="107">
        <f t="shared" si="4"/>
        <v>5.6399428813754025</v>
      </c>
      <c r="C70" s="106">
        <f>R11</f>
        <v>25154.276999999998</v>
      </c>
      <c r="D70" s="183">
        <f t="shared" si="5"/>
        <v>7.7818699844824053</v>
      </c>
      <c r="F70" s="105" t="s">
        <v>8</v>
      </c>
      <c r="G70" s="107">
        <f>Z12/Z$24*100</f>
        <v>15.976295668330589</v>
      </c>
    </row>
    <row r="71" spans="1:7">
      <c r="A71" s="105" t="s">
        <v>25</v>
      </c>
      <c r="B71" s="107">
        <f t="shared" si="4"/>
        <v>54.712783611967467</v>
      </c>
      <c r="C71" s="106">
        <f>R13</f>
        <v>244020.29300000001</v>
      </c>
      <c r="D71" s="183">
        <f>(C71/SUM($C$68:$C$78))*100</f>
        <v>75.491503639770769</v>
      </c>
      <c r="F71" s="105" t="s">
        <v>25</v>
      </c>
      <c r="G71" s="107">
        <f>Z13/Z$24*100</f>
        <v>47.053547022120682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4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0.88273483841125011</v>
      </c>
      <c r="C73" s="106">
        <f>R19</f>
        <v>3937.018</v>
      </c>
      <c r="D73" s="183">
        <f t="shared" si="5"/>
        <v>1.2179782469027811</v>
      </c>
      <c r="F73" s="105" t="s">
        <v>12</v>
      </c>
      <c r="G73" s="107">
        <f>Z8/Z$24*100</f>
        <v>3.9985392418667449E-2</v>
      </c>
    </row>
    <row r="74" spans="1:7">
      <c r="A74" s="105" t="s">
        <v>55</v>
      </c>
      <c r="B74" s="107">
        <f t="shared" si="4"/>
        <v>2.3508923953259298</v>
      </c>
      <c r="C74" s="106">
        <f>R21</f>
        <v>10485.035</v>
      </c>
      <c r="D74" s="183">
        <f t="shared" si="5"/>
        <v>3.2437099723735838</v>
      </c>
      <c r="F74" s="105" t="s">
        <v>6</v>
      </c>
      <c r="G74" s="107">
        <f>Z15/Z$24*100</f>
        <v>9.0174522695822226E-2</v>
      </c>
    </row>
    <row r="75" spans="1:7">
      <c r="A75" s="105" t="s">
        <v>54</v>
      </c>
      <c r="B75" s="107">
        <f t="shared" si="4"/>
        <v>2.3508923953259298</v>
      </c>
      <c r="C75" s="106">
        <f>R20</f>
        <v>10485.035</v>
      </c>
      <c r="D75" s="183">
        <f t="shared" si="5"/>
        <v>3.2437099723735838</v>
      </c>
      <c r="F75" s="105" t="s">
        <v>5</v>
      </c>
      <c r="G75" s="107">
        <f>Z16/Z$24*100</f>
        <v>7.180176654767771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3">
        <f t="shared" si="5"/>
        <v>0</v>
      </c>
      <c r="F76" s="105" t="s">
        <v>4</v>
      </c>
      <c r="G76" s="107">
        <f>Z17/Z$24*100</f>
        <v>3.2978716425738215</v>
      </c>
    </row>
    <row r="77" spans="1:7">
      <c r="A77" s="105" t="s">
        <v>4</v>
      </c>
      <c r="B77" s="107">
        <f t="shared" si="4"/>
        <v>5.3289718643984871</v>
      </c>
      <c r="C77" s="106">
        <f>R17</f>
        <v>23767.339</v>
      </c>
      <c r="D77" s="183">
        <f t="shared" si="5"/>
        <v>7.3527989683471349</v>
      </c>
      <c r="F77" s="105" t="s">
        <v>22</v>
      </c>
      <c r="G77" s="107">
        <f>Z18/Z$24*100</f>
        <v>6.7505803538721126E-2</v>
      </c>
    </row>
    <row r="78" spans="1:7">
      <c r="A78" s="105" t="s">
        <v>22</v>
      </c>
      <c r="B78" s="107">
        <f t="shared" si="4"/>
        <v>2.32657974239848E-2</v>
      </c>
      <c r="C78" s="106">
        <f>R18</f>
        <v>103.76600000000001</v>
      </c>
      <c r="D78" s="183">
        <f t="shared" si="5"/>
        <v>3.210163904968532E-2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27.524580947486342</v>
      </c>
      <c r="C79" s="106">
        <f>R23</f>
        <v>122760.274</v>
      </c>
      <c r="D79" s="165"/>
    </row>
    <row r="80" spans="1:7">
      <c r="A80" s="108" t="s">
        <v>20</v>
      </c>
      <c r="B80" s="110">
        <f>SUM(B68:B79)</f>
        <v>100.00000000000003</v>
      </c>
      <c r="C80" s="109">
        <f>SUM(C68:C79)</f>
        <v>446002.33599999989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/>
      <c r="R85"/>
      <c r="S85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122</v>
      </c>
      <c r="Q86"/>
      <c r="R86"/>
      <c r="S86"/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/>
      <c r="R87"/>
      <c r="S87"/>
      <c r="T87"/>
      <c r="U87"/>
      <c r="V87"/>
      <c r="W87"/>
      <c r="X87"/>
      <c r="Y87"/>
      <c r="Z87"/>
    </row>
    <row r="88" spans="1:26" ht="15">
      <c r="A88" s="210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0</v>
      </c>
      <c r="Q88"/>
      <c r="R88"/>
      <c r="S88"/>
      <c r="T88"/>
      <c r="U88"/>
      <c r="V88"/>
      <c r="W88"/>
      <c r="X88"/>
      <c r="Y88"/>
      <c r="Z88"/>
    </row>
    <row r="89" spans="1:26" ht="15">
      <c r="A89" s="211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5.6586610000000004</v>
      </c>
      <c r="O89" s="173">
        <v>5.2892989999999998</v>
      </c>
      <c r="P89" s="173">
        <v>1.3955360000000001</v>
      </c>
      <c r="Q89"/>
      <c r="R89"/>
      <c r="S89"/>
      <c r="T89"/>
      <c r="U89"/>
      <c r="V89"/>
      <c r="W89"/>
      <c r="X89"/>
      <c r="Y89"/>
      <c r="Z89"/>
    </row>
    <row r="90" spans="1:26" ht="15">
      <c r="A90" s="211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7.1510569999999998</v>
      </c>
      <c r="Q90"/>
      <c r="R90"/>
      <c r="S90"/>
      <c r="T90"/>
      <c r="U90"/>
      <c r="V90"/>
      <c r="W90"/>
      <c r="X90"/>
      <c r="Y90"/>
      <c r="Z90"/>
    </row>
    <row r="91" spans="1:26" ht="15">
      <c r="A91" s="211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69.373924000000002</v>
      </c>
      <c r="Q91"/>
      <c r="R91"/>
      <c r="S91"/>
      <c r="T91"/>
      <c r="U91"/>
      <c r="V91"/>
      <c r="W91"/>
      <c r="X91"/>
      <c r="Y91"/>
      <c r="Z91"/>
    </row>
    <row r="92" spans="1:26" ht="15">
      <c r="A92" s="211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11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/>
      <c r="R93"/>
      <c r="S93"/>
      <c r="T93"/>
      <c r="U93"/>
      <c r="V93"/>
      <c r="W93"/>
      <c r="X93"/>
      <c r="Y93"/>
      <c r="Z93"/>
    </row>
    <row r="94" spans="1:26" ht="15">
      <c r="A94" s="211"/>
      <c r="B94" s="133" t="s">
        <v>4</v>
      </c>
      <c r="C94" s="173">
        <v>18.539918</v>
      </c>
      <c r="D94" s="173">
        <v>22.493357</v>
      </c>
      <c r="E94" s="173">
        <v>35.774521</v>
      </c>
      <c r="F94" s="173">
        <v>38.851148000000002</v>
      </c>
      <c r="G94" s="173">
        <v>34.004562</v>
      </c>
      <c r="H94" s="173">
        <v>36.423403999999998</v>
      </c>
      <c r="I94" s="173">
        <v>41.343387999999997</v>
      </c>
      <c r="J94" s="173">
        <v>44.372684</v>
      </c>
      <c r="K94" s="173">
        <v>34.510787000000001</v>
      </c>
      <c r="L94" s="173">
        <v>32.549160999999998</v>
      </c>
      <c r="M94" s="173">
        <v>23.864156000000001</v>
      </c>
      <c r="N94" s="173">
        <v>22.334897999999999</v>
      </c>
      <c r="O94" s="173">
        <v>23.767339</v>
      </c>
      <c r="P94" s="173">
        <v>7.407184</v>
      </c>
      <c r="Q94"/>
      <c r="R94"/>
      <c r="S94"/>
      <c r="T94"/>
      <c r="U94"/>
      <c r="V94"/>
      <c r="W94"/>
      <c r="X94"/>
      <c r="Y94"/>
      <c r="Z94"/>
    </row>
    <row r="95" spans="1:26" ht="15">
      <c r="A95" s="211"/>
      <c r="B95" s="133" t="s">
        <v>22</v>
      </c>
      <c r="C95" s="173">
        <v>9.3608999999999998E-2</v>
      </c>
      <c r="D95" s="173">
        <v>0.13599800000000001</v>
      </c>
      <c r="E95" s="173">
        <v>0.11230800000000001</v>
      </c>
      <c r="F95" s="173">
        <v>7.399E-2</v>
      </c>
      <c r="G95" s="173">
        <v>9.0162999999999993E-2</v>
      </c>
      <c r="H95" s="173">
        <v>8.4139000000000005E-2</v>
      </c>
      <c r="I95" s="173">
        <v>3.7238E-2</v>
      </c>
      <c r="J95" s="173">
        <v>2.6629E-2</v>
      </c>
      <c r="K95" s="173">
        <v>3.1858999999999998E-2</v>
      </c>
      <c r="L95" s="173">
        <v>3.9587999999999998E-2</v>
      </c>
      <c r="M95" s="173">
        <v>0.134767</v>
      </c>
      <c r="N95" s="173">
        <v>0.12625700000000001</v>
      </c>
      <c r="O95" s="173">
        <v>0.103766</v>
      </c>
      <c r="P95" s="173">
        <v>0</v>
      </c>
      <c r="Q95"/>
      <c r="R95"/>
      <c r="S95"/>
      <c r="T95"/>
      <c r="U95"/>
      <c r="V95"/>
      <c r="W95"/>
      <c r="X95"/>
      <c r="Y95"/>
      <c r="Z95"/>
    </row>
    <row r="96" spans="1:26" ht="15">
      <c r="A96" s="211"/>
      <c r="B96" s="133" t="s">
        <v>23</v>
      </c>
      <c r="C96" s="173">
        <v>3.048152</v>
      </c>
      <c r="D96" s="173">
        <v>3.0015830000000001</v>
      </c>
      <c r="E96" s="173">
        <v>3.577315</v>
      </c>
      <c r="F96" s="173">
        <v>3.6179220000000001</v>
      </c>
      <c r="G96" s="173">
        <v>3.5173019999999999</v>
      </c>
      <c r="H96" s="173">
        <v>3.783118</v>
      </c>
      <c r="I96" s="173">
        <v>3.2446030000000001</v>
      </c>
      <c r="J96" s="173">
        <v>3.7400570000000002</v>
      </c>
      <c r="K96" s="173">
        <v>3.104663</v>
      </c>
      <c r="L96" s="173">
        <v>1.7294940000000001</v>
      </c>
      <c r="M96" s="173">
        <v>2.8349500000000001</v>
      </c>
      <c r="N96" s="173">
        <v>3.210191</v>
      </c>
      <c r="O96" s="173">
        <v>3.9370180000000001</v>
      </c>
      <c r="P96" s="173">
        <v>1.2013069999999999</v>
      </c>
      <c r="Q96"/>
      <c r="R96"/>
      <c r="S96"/>
      <c r="T96"/>
      <c r="U96"/>
      <c r="V96"/>
      <c r="W96"/>
      <c r="X96"/>
      <c r="Y96"/>
      <c r="Z96"/>
    </row>
    <row r="97" spans="1:26" ht="15">
      <c r="A97" s="211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12.5411815</v>
      </c>
      <c r="J97" s="173">
        <v>14.683114</v>
      </c>
      <c r="K97" s="173">
        <v>9.9340825000000006</v>
      </c>
      <c r="L97" s="173">
        <v>10.860910000000001</v>
      </c>
      <c r="M97" s="173">
        <v>10.810193999999999</v>
      </c>
      <c r="N97" s="173">
        <v>8.9918355000000005</v>
      </c>
      <c r="O97" s="173">
        <v>10.485035</v>
      </c>
      <c r="P97" s="173">
        <v>1.722</v>
      </c>
      <c r="Q97"/>
      <c r="R97"/>
      <c r="S97"/>
      <c r="T97"/>
      <c r="U97"/>
      <c r="V97"/>
      <c r="W97"/>
      <c r="X97"/>
      <c r="Y97"/>
      <c r="Z97"/>
    </row>
    <row r="98" spans="1:26" ht="15">
      <c r="A98" s="211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12.5411815</v>
      </c>
      <c r="J98" s="173">
        <v>14.683114</v>
      </c>
      <c r="K98" s="173">
        <v>9.9340825000000006</v>
      </c>
      <c r="L98" s="173">
        <v>10.860910000000001</v>
      </c>
      <c r="M98" s="173">
        <v>10.810193999999999</v>
      </c>
      <c r="N98" s="173">
        <v>8.9918355000000005</v>
      </c>
      <c r="O98" s="173">
        <v>10.485035</v>
      </c>
      <c r="P98" s="173">
        <v>1.722</v>
      </c>
      <c r="Q98"/>
      <c r="R98"/>
      <c r="S98"/>
      <c r="T98"/>
      <c r="U98"/>
      <c r="V98"/>
      <c r="W98"/>
      <c r="X98"/>
      <c r="Y98"/>
      <c r="Z98"/>
    </row>
    <row r="99" spans="1:26" ht="15">
      <c r="A99" s="211"/>
      <c r="B99" s="137" t="s">
        <v>2</v>
      </c>
      <c r="C99" s="174">
        <v>326.63051000000002</v>
      </c>
      <c r="D99" s="174">
        <v>342.61162200000001</v>
      </c>
      <c r="E99" s="174">
        <v>332.45654999999999</v>
      </c>
      <c r="F99" s="174">
        <v>307.69163700000001</v>
      </c>
      <c r="G99" s="174">
        <v>340.88645400000001</v>
      </c>
      <c r="H99" s="174">
        <v>421.476586</v>
      </c>
      <c r="I99" s="174">
        <v>565.78934400000003</v>
      </c>
      <c r="J99" s="174">
        <v>529.34347600000001</v>
      </c>
      <c r="K99" s="174">
        <v>435.06932</v>
      </c>
      <c r="L99" s="174">
        <v>363.589969</v>
      </c>
      <c r="M99" s="174">
        <v>302.01390600000002</v>
      </c>
      <c r="N99" s="174">
        <v>305.13724000000002</v>
      </c>
      <c r="O99" s="174">
        <v>322.53600799999998</v>
      </c>
      <c r="P99" s="174">
        <v>89.973007999999993</v>
      </c>
      <c r="Q99"/>
      <c r="R99"/>
      <c r="S99"/>
      <c r="T99"/>
      <c r="U99"/>
      <c r="V99"/>
      <c r="W99"/>
      <c r="X99"/>
      <c r="Y99"/>
      <c r="Z99"/>
    </row>
    <row r="100" spans="1:26" ht="15">
      <c r="A100" s="211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70.767787999999996</v>
      </c>
      <c r="N100" s="173">
        <v>112.440268</v>
      </c>
      <c r="O100" s="173">
        <v>122.760274</v>
      </c>
      <c r="P100" s="173">
        <v>36.610900000000001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12"/>
      <c r="B101" s="137" t="s">
        <v>79</v>
      </c>
      <c r="C101" s="174">
        <v>450.58064100000001</v>
      </c>
      <c r="D101" s="174">
        <v>432.34588400000001</v>
      </c>
      <c r="E101" s="174">
        <v>414.65085800000003</v>
      </c>
      <c r="F101" s="174">
        <v>405.72505100000001</v>
      </c>
      <c r="G101" s="174">
        <v>459.64886999999999</v>
      </c>
      <c r="H101" s="174">
        <v>545.82672000000002</v>
      </c>
      <c r="I101" s="174">
        <v>734.33716800000002</v>
      </c>
      <c r="J101" s="174">
        <v>704.35276699999997</v>
      </c>
      <c r="K101" s="174">
        <v>565.92402200000004</v>
      </c>
      <c r="L101" s="174">
        <v>495.03745900000001</v>
      </c>
      <c r="M101" s="174">
        <v>372.78169400000002</v>
      </c>
      <c r="N101" s="174">
        <v>417.57750800000002</v>
      </c>
      <c r="O101" s="174">
        <v>445.29628200000002</v>
      </c>
      <c r="P101" s="174">
        <v>126.58390799999999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15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0.28212599999999999</v>
      </c>
      <c r="F102" s="173">
        <v>0.27610800000000002</v>
      </c>
      <c r="G102" s="173">
        <v>0.29790899999999998</v>
      </c>
      <c r="H102" s="173">
        <v>0.28383700000000001</v>
      </c>
      <c r="I102" s="173">
        <v>0.30198999999999998</v>
      </c>
      <c r="J102" s="173">
        <v>0.28963</v>
      </c>
      <c r="K102" s="173">
        <v>0.28927700000000001</v>
      </c>
      <c r="L102" s="173">
        <v>0.30293500000000001</v>
      </c>
      <c r="M102" s="173">
        <v>0.28046900000000002</v>
      </c>
      <c r="N102" s="173">
        <v>0.30561100000000002</v>
      </c>
      <c r="O102" s="173">
        <v>0.29624200000000001</v>
      </c>
      <c r="P102" s="173">
        <v>0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11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152.672844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179.46748099999999</v>
      </c>
      <c r="M103" s="173">
        <v>168.212242</v>
      </c>
      <c r="N103" s="173">
        <v>171.03556599999999</v>
      </c>
      <c r="O103" s="173">
        <v>166.77709300000001</v>
      </c>
      <c r="P103" s="173">
        <v>52.155976000000003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11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7.650328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11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41.248581000000001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11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100.20851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11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11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8.3097000000000004E-2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11"/>
      <c r="B109" s="133" t="s">
        <v>5</v>
      </c>
      <c r="C109" s="173">
        <v>132.72816599999999</v>
      </c>
      <c r="D109" s="173">
        <v>42.67051</v>
      </c>
      <c r="E109" s="173">
        <v>130.23741999999999</v>
      </c>
      <c r="F109" s="173">
        <v>103.685765</v>
      </c>
      <c r="G109" s="173">
        <v>131.84913700000001</v>
      </c>
      <c r="H109" s="173">
        <v>63.874986999999997</v>
      </c>
      <c r="I109" s="173">
        <v>209.60142099999999</v>
      </c>
      <c r="J109" s="173">
        <v>178.40248800000001</v>
      </c>
      <c r="K109" s="173">
        <v>103.232878</v>
      </c>
      <c r="L109" s="173">
        <v>57.758575</v>
      </c>
      <c r="M109" s="173">
        <v>99.872924999999995</v>
      </c>
      <c r="N109" s="173">
        <v>70.816050000000004</v>
      </c>
      <c r="O109" s="173">
        <v>53.196173999999999</v>
      </c>
      <c r="P109" s="173">
        <v>9.2204339999999991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11"/>
      <c r="B110" s="133" t="s">
        <v>4</v>
      </c>
      <c r="C110" s="173">
        <v>22.121485</v>
      </c>
      <c r="D110" s="173">
        <v>20.382895000000001</v>
      </c>
      <c r="E110" s="173">
        <v>32.428702000000001</v>
      </c>
      <c r="F110" s="173">
        <v>30.033574000000002</v>
      </c>
      <c r="G110" s="173">
        <v>30.564440999999999</v>
      </c>
      <c r="H110" s="173">
        <v>30.691880000000001</v>
      </c>
      <c r="I110" s="173">
        <v>35.002752999999998</v>
      </c>
      <c r="J110" s="173">
        <v>33.602015999999999</v>
      </c>
      <c r="K110" s="173">
        <v>31.322213000000001</v>
      </c>
      <c r="L110" s="173">
        <v>29.6997</v>
      </c>
      <c r="M110" s="173">
        <v>24.842165000000001</v>
      </c>
      <c r="N110" s="173">
        <v>23.549019999999999</v>
      </c>
      <c r="O110" s="173">
        <v>24.433125</v>
      </c>
      <c r="P110" s="173">
        <v>7.7383600000000001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11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0.52430399999999999</v>
      </c>
      <c r="M111" s="173">
        <v>0.42454199999999997</v>
      </c>
      <c r="N111" s="173">
        <v>0.44537900000000002</v>
      </c>
      <c r="O111" s="173">
        <v>0.50013399999999997</v>
      </c>
      <c r="P111" s="173">
        <v>0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11"/>
      <c r="B112" s="133" t="s">
        <v>23</v>
      </c>
      <c r="C112" s="173">
        <v>0</v>
      </c>
      <c r="D112" s="173">
        <v>0</v>
      </c>
      <c r="E112" s="173">
        <v>0</v>
      </c>
      <c r="F112" s="173">
        <v>0</v>
      </c>
      <c r="G112" s="173">
        <v>0</v>
      </c>
      <c r="H112" s="173">
        <v>0</v>
      </c>
      <c r="I112" s="173">
        <v>0</v>
      </c>
      <c r="J112" s="173">
        <v>0</v>
      </c>
      <c r="K112" s="173">
        <v>0</v>
      </c>
      <c r="L112" s="173">
        <v>0</v>
      </c>
      <c r="M112" s="173">
        <v>0</v>
      </c>
      <c r="N112" s="173">
        <v>0</v>
      </c>
      <c r="O112" s="173">
        <v>0</v>
      </c>
      <c r="P112" s="173">
        <v>0</v>
      </c>
      <c r="Q112"/>
      <c r="R112"/>
      <c r="S112"/>
      <c r="T112"/>
      <c r="U112"/>
      <c r="V112"/>
      <c r="W112"/>
      <c r="X112"/>
      <c r="Y112"/>
      <c r="Z112"/>
    </row>
    <row r="113" spans="1:26" ht="15">
      <c r="A113" s="211"/>
      <c r="B113" s="137" t="s">
        <v>2</v>
      </c>
      <c r="C113" s="174">
        <v>719.42066</v>
      </c>
      <c r="D113" s="174">
        <v>650.39298299999996</v>
      </c>
      <c r="E113" s="174">
        <v>711.93171700000005</v>
      </c>
      <c r="F113" s="174">
        <v>675.84350199999994</v>
      </c>
      <c r="G113" s="174">
        <v>701.77814499999999</v>
      </c>
      <c r="H113" s="174">
        <v>713.11271499999998</v>
      </c>
      <c r="I113" s="174">
        <v>762.64916800000003</v>
      </c>
      <c r="J113" s="174">
        <v>802.54940299999998</v>
      </c>
      <c r="K113" s="174">
        <v>744.65127600000005</v>
      </c>
      <c r="L113" s="174">
        <v>803.95593199999996</v>
      </c>
      <c r="M113" s="174">
        <v>730.57827699999996</v>
      </c>
      <c r="N113" s="174">
        <v>733.42387499999995</v>
      </c>
      <c r="O113" s="174">
        <v>740.87555999999995</v>
      </c>
      <c r="P113" s="174">
        <v>218.305286</v>
      </c>
      <c r="Q113"/>
      <c r="R113"/>
      <c r="S113"/>
      <c r="T113"/>
      <c r="U113"/>
      <c r="V113"/>
      <c r="W113"/>
      <c r="X113"/>
      <c r="Y113"/>
      <c r="Z113"/>
    </row>
    <row r="114" spans="1:26" ht="15">
      <c r="A114" s="212"/>
      <c r="B114" s="137" t="s">
        <v>79</v>
      </c>
      <c r="C114" s="174">
        <v>719.42066</v>
      </c>
      <c r="D114" s="174">
        <v>650.39298299999996</v>
      </c>
      <c r="E114" s="174">
        <v>711.93171700000005</v>
      </c>
      <c r="F114" s="174">
        <v>675.84350199999994</v>
      </c>
      <c r="G114" s="174">
        <v>701.77814499999999</v>
      </c>
      <c r="H114" s="174">
        <v>713.11271499999998</v>
      </c>
      <c r="I114" s="174">
        <v>762.64916800000003</v>
      </c>
      <c r="J114" s="174">
        <v>802.54940299999998</v>
      </c>
      <c r="K114" s="174">
        <v>744.65127600000005</v>
      </c>
      <c r="L114" s="174">
        <v>803.95593199999996</v>
      </c>
      <c r="M114" s="174">
        <v>730.57827699999996</v>
      </c>
      <c r="N114" s="174">
        <v>733.42387499999995</v>
      </c>
      <c r="O114" s="174">
        <v>740.87555999999995</v>
      </c>
      <c r="P114" s="174">
        <v>218.305286</v>
      </c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enero 2023</v>
      </c>
      <c r="D117" s="111" t="str">
        <f t="shared" ref="D117:M117" si="6">TEXT(EDATE(E117,-1),"mmmm aaaa")</f>
        <v>febrero 2023</v>
      </c>
      <c r="E117" s="111" t="str">
        <f t="shared" si="6"/>
        <v>marzo 2023</v>
      </c>
      <c r="F117" s="111" t="str">
        <f t="shared" si="6"/>
        <v>abril 2023</v>
      </c>
      <c r="G117" s="111" t="str">
        <f t="shared" si="6"/>
        <v>mayo 2023</v>
      </c>
      <c r="H117" s="111" t="str">
        <f t="shared" si="6"/>
        <v>junio 2023</v>
      </c>
      <c r="I117" s="111" t="str">
        <f t="shared" si="6"/>
        <v>julio 2023</v>
      </c>
      <c r="J117" s="111" t="str">
        <f t="shared" si="6"/>
        <v>agosto 2023</v>
      </c>
      <c r="K117" s="111" t="str">
        <f t="shared" si="6"/>
        <v>septiembre 2023</v>
      </c>
      <c r="L117" s="111" t="str">
        <f t="shared" si="6"/>
        <v>octubre 2023</v>
      </c>
      <c r="M117" s="111" t="str">
        <f t="shared" si="6"/>
        <v>noviembre 2023</v>
      </c>
      <c r="N117" s="111" t="str">
        <f>TEXT(EDATE(O117,-1),"mmmm aaaa")</f>
        <v>diciembre 2023</v>
      </c>
      <c r="O117" s="112" t="str">
        <f>A2</f>
        <v>Enero 2024</v>
      </c>
    </row>
    <row r="118" spans="1:26">
      <c r="B118" s="209"/>
      <c r="C118" s="121" t="str">
        <f>TEXT(EDATE($A$2,-12),"mmm")&amp;".-"&amp;TEXT(EDATE($A$2,-12),"aa")</f>
        <v>ene.-23</v>
      </c>
      <c r="D118" s="121" t="str">
        <f>TEXT(EDATE($A$2,-11),"mmm")&amp;".-"&amp;TEXT(EDATE($A$2,-11),"aa")</f>
        <v>feb.-23</v>
      </c>
      <c r="E118" s="121" t="str">
        <f>TEXT(EDATE($A$2,-10),"mmm")&amp;".-"&amp;TEXT(EDATE($A$2,-10),"aa")</f>
        <v>mar.-23</v>
      </c>
      <c r="F118" s="121" t="str">
        <f>TEXT(EDATE($A$2,-9),"mmm")&amp;".-"&amp;TEXT(EDATE($A$2,-9),"aa")</f>
        <v>abr.-23</v>
      </c>
      <c r="G118" s="121" t="str">
        <f>TEXT(EDATE($A$2,-8),"mmm")&amp;".-"&amp;TEXT(EDATE($A$2,-8),"aa")</f>
        <v>may.-23</v>
      </c>
      <c r="H118" s="121" t="str">
        <f>TEXT(EDATE($A$2,-7),"mmm")&amp;".-"&amp;TEXT(EDATE($A$2,-7),"aa")</f>
        <v>jun.-23</v>
      </c>
      <c r="I118" s="121" t="str">
        <f>TEXT(EDATE($A$2,-6),"mmm")&amp;".-"&amp;TEXT(EDATE($A$2,-6),"aa")</f>
        <v>jul.-23</v>
      </c>
      <c r="J118" s="121" t="str">
        <f>TEXT(EDATE($A$2,-5),"mmm")&amp;".-"&amp;TEXT(EDATE($A$2,-5),"aa")</f>
        <v>ago.-23</v>
      </c>
      <c r="K118" s="121" t="str">
        <f>TEXT(EDATE($A$2,-4),"mmm")&amp;".-"&amp;TEXT(EDATE($A$2,-4),"aa")</f>
        <v>sep.-23</v>
      </c>
      <c r="L118" s="121" t="str">
        <f>TEXT(EDATE($A$2,-3),"mmm")&amp;".-"&amp;TEXT(EDATE($A$2,-3),"aa")</f>
        <v>oct.-23</v>
      </c>
      <c r="M118" s="121" t="str">
        <f>TEXT(EDATE($A$2,-2),"mmm")&amp;".-"&amp;TEXT(EDATE($A$2,-2),"aa")</f>
        <v>nov.-23</v>
      </c>
      <c r="N118" s="121" t="str">
        <f>TEXT(EDATE($A$2,-1),"mmm")&amp;".-"&amp;TEXT(EDATE($A$2,-1),"aa")</f>
        <v>dic.-23</v>
      </c>
      <c r="O118" s="143" t="str">
        <f>TEXT($A$2,"mmm")&amp;".-"&amp;TEXT($A$2,"aa")</f>
        <v>ene.-24</v>
      </c>
    </row>
    <row r="119" spans="1:26">
      <c r="A119" s="205" t="s">
        <v>76</v>
      </c>
      <c r="B119" s="122" t="s">
        <v>11</v>
      </c>
      <c r="C119" s="123">
        <f>HLOOKUP(C$117,$86:$101,3,FALSE)</f>
        <v>-0.72771799999999998</v>
      </c>
      <c r="D119" s="123">
        <f t="shared" ref="D119:N119" si="7">HLOOKUP(D$117,$86:$101,3,FALSE)</f>
        <v>-0.70697299999999996</v>
      </c>
      <c r="E119" s="123">
        <f t="shared" si="7"/>
        <v>-0.51834000000000002</v>
      </c>
      <c r="F119" s="123">
        <f t="shared" si="7"/>
        <v>-0.60865999999999998</v>
      </c>
      <c r="G119" s="123">
        <f t="shared" si="7"/>
        <v>-0.83296899999999996</v>
      </c>
      <c r="H119" s="123">
        <f t="shared" si="7"/>
        <v>3.1799559999999998</v>
      </c>
      <c r="I119" s="123">
        <f t="shared" si="7"/>
        <v>54.925434000000003</v>
      </c>
      <c r="J119" s="123">
        <f t="shared" si="7"/>
        <v>9.0232189999999992</v>
      </c>
      <c r="K119" s="123">
        <f t="shared" si="7"/>
        <v>-0.82337800000000005</v>
      </c>
      <c r="L119" s="123">
        <f t="shared" si="7"/>
        <v>-0.82724900000000001</v>
      </c>
      <c r="M119" s="123">
        <f t="shared" si="7"/>
        <v>-0.89542500000000003</v>
      </c>
      <c r="N119" s="123">
        <f t="shared" si="7"/>
        <v>-0.69586499999999996</v>
      </c>
      <c r="O119" s="124">
        <f>HLOOKUP(O$117,$86:$101,3,FALSE)</f>
        <v>-0.70605399999999996</v>
      </c>
    </row>
    <row r="120" spans="1:26">
      <c r="A120" s="206"/>
      <c r="B120" s="105" t="s">
        <v>10</v>
      </c>
      <c r="C120" s="107">
        <f>HLOOKUP(C$117,$86:$101,4,FALSE)</f>
        <v>5.0179289999999996</v>
      </c>
      <c r="D120" s="107">
        <f t="shared" ref="D120:O120" si="8">HLOOKUP(D$117,$86:$101,4,FALSE)</f>
        <v>15.008727</v>
      </c>
      <c r="E120" s="107">
        <f t="shared" si="8"/>
        <v>6.2192920000000003</v>
      </c>
      <c r="F120" s="107">
        <f t="shared" si="8"/>
        <v>7.134449</v>
      </c>
      <c r="G120" s="107">
        <f t="shared" si="8"/>
        <v>12.70701</v>
      </c>
      <c r="H120" s="107">
        <f t="shared" si="8"/>
        <v>20.755147999999998</v>
      </c>
      <c r="I120" s="107">
        <f t="shared" si="8"/>
        <v>57.618448999999998</v>
      </c>
      <c r="J120" s="107">
        <f t="shared" si="8"/>
        <v>64.924531000000002</v>
      </c>
      <c r="K120" s="107">
        <f t="shared" si="8"/>
        <v>32.782569000000002</v>
      </c>
      <c r="L120" s="107">
        <f t="shared" si="8"/>
        <v>16.979832999999999</v>
      </c>
      <c r="M120" s="107">
        <f t="shared" si="8"/>
        <v>5.9974980000000002</v>
      </c>
      <c r="N120" s="107">
        <f t="shared" si="8"/>
        <v>5.6586610000000004</v>
      </c>
      <c r="O120" s="124">
        <f t="shared" si="8"/>
        <v>5.2892989999999998</v>
      </c>
    </row>
    <row r="121" spans="1:26">
      <c r="A121" s="206"/>
      <c r="B121" s="105" t="s">
        <v>9</v>
      </c>
      <c r="C121" s="107">
        <f>HLOOKUP(C$117,$86:$101,5,FALSE)</f>
        <v>49.385100000000001</v>
      </c>
      <c r="D121" s="107">
        <f t="shared" ref="D121:O121" si="9">HLOOKUP(D$117,$86:$101,5,FALSE)</f>
        <v>32.328426999999998</v>
      </c>
      <c r="E121" s="107">
        <f t="shared" si="9"/>
        <v>34.532919999999997</v>
      </c>
      <c r="F121" s="107">
        <f t="shared" si="9"/>
        <v>29.44258</v>
      </c>
      <c r="G121" s="107">
        <f t="shared" si="9"/>
        <v>35.218071999999999</v>
      </c>
      <c r="H121" s="107">
        <f t="shared" si="9"/>
        <v>56.449230999999997</v>
      </c>
      <c r="I121" s="107">
        <f t="shared" si="9"/>
        <v>67.064257999999995</v>
      </c>
      <c r="J121" s="107">
        <f t="shared" si="9"/>
        <v>53.415241999999999</v>
      </c>
      <c r="K121" s="107">
        <f t="shared" si="9"/>
        <v>49.271726999999998</v>
      </c>
      <c r="L121" s="107">
        <f t="shared" si="9"/>
        <v>44.274278000000002</v>
      </c>
      <c r="M121" s="107">
        <f t="shared" si="9"/>
        <v>24.187601999999998</v>
      </c>
      <c r="N121" s="107">
        <f t="shared" si="9"/>
        <v>22.604486999999999</v>
      </c>
      <c r="O121" s="124">
        <f t="shared" si="9"/>
        <v>25.154277</v>
      </c>
    </row>
    <row r="122" spans="1:26" ht="14.25">
      <c r="A122" s="206"/>
      <c r="B122" s="105" t="s">
        <v>74</v>
      </c>
      <c r="C122" s="107">
        <f>HLOOKUP(C$117,$86:$101,6,FALSE)</f>
        <v>236.33414099999999</v>
      </c>
      <c r="D122" s="107">
        <f t="shared" ref="D122:O122" si="10">HLOOKUP(D$117,$86:$101,6,FALSE)</f>
        <v>250.50749099999999</v>
      </c>
      <c r="E122" s="107">
        <f t="shared" si="10"/>
        <v>233.28242</v>
      </c>
      <c r="F122" s="107">
        <f t="shared" si="10"/>
        <v>207.738203</v>
      </c>
      <c r="G122" s="107">
        <f t="shared" si="10"/>
        <v>231.47546199999999</v>
      </c>
      <c r="H122" s="107">
        <f t="shared" si="10"/>
        <v>269.55010299999998</v>
      </c>
      <c r="I122" s="107">
        <f t="shared" si="10"/>
        <v>316.35504600000002</v>
      </c>
      <c r="J122" s="107">
        <f t="shared" si="10"/>
        <v>324.37696499999998</v>
      </c>
      <c r="K122" s="107">
        <f t="shared" si="10"/>
        <v>296.32292799999999</v>
      </c>
      <c r="L122" s="107">
        <f t="shared" si="10"/>
        <v>247.112684</v>
      </c>
      <c r="M122" s="107">
        <f t="shared" si="10"/>
        <v>224.26124200000001</v>
      </c>
      <c r="N122" s="107">
        <f t="shared" si="10"/>
        <v>233.91494</v>
      </c>
      <c r="O122" s="124">
        <f t="shared" si="10"/>
        <v>244.02029300000001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0.21573000000000001</v>
      </c>
      <c r="D124" s="107">
        <f t="shared" ref="D124:O124" si="12">HLOOKUP(D$117,$86:$102,8,FALSE)</f>
        <v>0.18323999999999999</v>
      </c>
      <c r="E124" s="107">
        <f t="shared" si="12"/>
        <v>0.20035</v>
      </c>
      <c r="F124" s="107">
        <f t="shared" si="12"/>
        <v>0.12734500000000001</v>
      </c>
      <c r="G124" s="107">
        <f t="shared" si="12"/>
        <v>0.24965100000000001</v>
      </c>
      <c r="H124" s="107">
        <f t="shared" si="12"/>
        <v>5.6180000000000001E-2</v>
      </c>
      <c r="I124" s="107">
        <f t="shared" si="12"/>
        <v>0.118565</v>
      </c>
      <c r="J124" s="107">
        <f t="shared" si="12"/>
        <v>9.7920999999999994E-2</v>
      </c>
      <c r="K124" s="107">
        <f t="shared" si="12"/>
        <v>0</v>
      </c>
      <c r="L124" s="107">
        <f t="shared" si="12"/>
        <v>1.0359999999999999E-2</v>
      </c>
      <c r="M124" s="107">
        <f t="shared" si="12"/>
        <v>8.7279999999999996E-3</v>
      </c>
      <c r="N124" s="107">
        <f t="shared" si="12"/>
        <v>0</v>
      </c>
      <c r="O124" s="124">
        <f t="shared" si="12"/>
        <v>0</v>
      </c>
    </row>
    <row r="125" spans="1:26">
      <c r="A125" s="206"/>
      <c r="B125" s="105" t="s">
        <v>4</v>
      </c>
      <c r="C125" s="107">
        <f>HLOOKUP(C$117,$86:$102,9,FALSE)</f>
        <v>18.539918</v>
      </c>
      <c r="D125" s="107">
        <f t="shared" ref="D125:O125" si="13">HLOOKUP(D$117,$86:$102,9,FALSE)</f>
        <v>22.493357</v>
      </c>
      <c r="E125" s="107">
        <f t="shared" si="13"/>
        <v>35.774521</v>
      </c>
      <c r="F125" s="107">
        <f t="shared" si="13"/>
        <v>38.851148000000002</v>
      </c>
      <c r="G125" s="107">
        <f t="shared" si="13"/>
        <v>34.004562</v>
      </c>
      <c r="H125" s="107">
        <f t="shared" si="13"/>
        <v>36.423403999999998</v>
      </c>
      <c r="I125" s="107">
        <f t="shared" si="13"/>
        <v>41.343387999999997</v>
      </c>
      <c r="J125" s="107">
        <f t="shared" si="13"/>
        <v>44.372684</v>
      </c>
      <c r="K125" s="107">
        <f t="shared" si="13"/>
        <v>34.510787000000001</v>
      </c>
      <c r="L125" s="107">
        <f t="shared" si="13"/>
        <v>32.549160999999998</v>
      </c>
      <c r="M125" s="107">
        <f t="shared" si="13"/>
        <v>23.864156000000001</v>
      </c>
      <c r="N125" s="107">
        <f t="shared" si="13"/>
        <v>22.334897999999999</v>
      </c>
      <c r="O125" s="124">
        <f t="shared" si="13"/>
        <v>23.767339</v>
      </c>
    </row>
    <row r="126" spans="1:26">
      <c r="A126" s="206"/>
      <c r="B126" s="113" t="s">
        <v>22</v>
      </c>
      <c r="C126" s="107">
        <f>HLOOKUP(C$117,$86:$102,10,FALSE)</f>
        <v>9.3608999999999998E-2</v>
      </c>
      <c r="D126" s="107">
        <f t="shared" ref="D126:O126" si="14">HLOOKUP(D$117,$86:$102,10,FALSE)</f>
        <v>0.13599800000000001</v>
      </c>
      <c r="E126" s="107">
        <f t="shared" si="14"/>
        <v>0.11230800000000001</v>
      </c>
      <c r="F126" s="107">
        <f t="shared" si="14"/>
        <v>7.399E-2</v>
      </c>
      <c r="G126" s="107">
        <f t="shared" si="14"/>
        <v>9.0162999999999993E-2</v>
      </c>
      <c r="H126" s="107">
        <f t="shared" si="14"/>
        <v>8.4139000000000005E-2</v>
      </c>
      <c r="I126" s="107">
        <f t="shared" si="14"/>
        <v>3.7238E-2</v>
      </c>
      <c r="J126" s="107">
        <f t="shared" si="14"/>
        <v>2.6629E-2</v>
      </c>
      <c r="K126" s="107">
        <f t="shared" si="14"/>
        <v>3.1858999999999998E-2</v>
      </c>
      <c r="L126" s="107">
        <f t="shared" si="14"/>
        <v>3.9587999999999998E-2</v>
      </c>
      <c r="M126" s="107">
        <f t="shared" si="14"/>
        <v>0.134767</v>
      </c>
      <c r="N126" s="107">
        <f t="shared" si="14"/>
        <v>0.12625700000000001</v>
      </c>
      <c r="O126" s="124">
        <f t="shared" si="14"/>
        <v>0.103766</v>
      </c>
    </row>
    <row r="127" spans="1:26">
      <c r="A127" s="206"/>
      <c r="B127" s="113" t="s">
        <v>23</v>
      </c>
      <c r="C127" s="107">
        <f>HLOOKUP(C$117,$86:$102,11,FALSE)</f>
        <v>3.048152</v>
      </c>
      <c r="D127" s="107">
        <f t="shared" ref="D127:O127" si="15">HLOOKUP(D$117,$86:$102,11,FALSE)</f>
        <v>3.0015830000000001</v>
      </c>
      <c r="E127" s="107">
        <f t="shared" si="15"/>
        <v>3.577315</v>
      </c>
      <c r="F127" s="107">
        <f t="shared" si="15"/>
        <v>3.6179220000000001</v>
      </c>
      <c r="G127" s="107">
        <f t="shared" si="15"/>
        <v>3.5173019999999999</v>
      </c>
      <c r="H127" s="107">
        <f t="shared" si="15"/>
        <v>3.783118</v>
      </c>
      <c r="I127" s="107">
        <f t="shared" si="15"/>
        <v>3.2446030000000001</v>
      </c>
      <c r="J127" s="107">
        <f t="shared" si="15"/>
        <v>3.7400570000000002</v>
      </c>
      <c r="K127" s="107">
        <f t="shared" si="15"/>
        <v>3.104663</v>
      </c>
      <c r="L127" s="107">
        <f t="shared" si="15"/>
        <v>1.7294940000000001</v>
      </c>
      <c r="M127" s="107">
        <f t="shared" si="15"/>
        <v>2.8349500000000001</v>
      </c>
      <c r="N127" s="107">
        <f t="shared" si="15"/>
        <v>3.210191</v>
      </c>
      <c r="O127" s="124">
        <f t="shared" si="15"/>
        <v>3.9370180000000001</v>
      </c>
    </row>
    <row r="128" spans="1:26">
      <c r="A128" s="206"/>
      <c r="B128" s="105" t="s">
        <v>55</v>
      </c>
      <c r="C128" s="107">
        <f t="shared" ref="C128:O128" si="16">HLOOKUP(C$117,$86:$102,13,FALSE)</f>
        <v>7.3618245</v>
      </c>
      <c r="D128" s="107">
        <f t="shared" si="16"/>
        <v>9.8298860000000001</v>
      </c>
      <c r="E128" s="107">
        <f t="shared" si="16"/>
        <v>9.6378819999999994</v>
      </c>
      <c r="F128" s="107">
        <f t="shared" si="16"/>
        <v>10.65733</v>
      </c>
      <c r="G128" s="107">
        <f t="shared" si="16"/>
        <v>12.228600500000001</v>
      </c>
      <c r="H128" s="107">
        <f t="shared" si="16"/>
        <v>15.5976535</v>
      </c>
      <c r="I128" s="107">
        <f t="shared" si="16"/>
        <v>12.5411815</v>
      </c>
      <c r="J128" s="107">
        <f t="shared" si="16"/>
        <v>14.683114</v>
      </c>
      <c r="K128" s="107">
        <f t="shared" si="16"/>
        <v>9.9340825000000006</v>
      </c>
      <c r="L128" s="107">
        <f t="shared" si="16"/>
        <v>10.860910000000001</v>
      </c>
      <c r="M128" s="107">
        <f t="shared" si="16"/>
        <v>10.810193999999999</v>
      </c>
      <c r="N128" s="107">
        <f t="shared" si="16"/>
        <v>8.9918355000000005</v>
      </c>
      <c r="O128" s="124">
        <f t="shared" si="16"/>
        <v>10.485035</v>
      </c>
    </row>
    <row r="129" spans="1:15">
      <c r="A129" s="206"/>
      <c r="B129" s="105" t="s">
        <v>54</v>
      </c>
      <c r="C129" s="107">
        <f>HLOOKUP(C$117,$86:$102,12,FALSE)</f>
        <v>7.3618245</v>
      </c>
      <c r="D129" s="107">
        <f t="shared" ref="D129:O129" si="17">HLOOKUP(D$117,$86:$102,12,FALSE)</f>
        <v>9.8298860000000001</v>
      </c>
      <c r="E129" s="107">
        <f t="shared" si="17"/>
        <v>9.6378819999999994</v>
      </c>
      <c r="F129" s="107">
        <f t="shared" si="17"/>
        <v>10.65733</v>
      </c>
      <c r="G129" s="107">
        <f t="shared" si="17"/>
        <v>12.228600500000001</v>
      </c>
      <c r="H129" s="107">
        <f t="shared" si="17"/>
        <v>15.5976535</v>
      </c>
      <c r="I129" s="107">
        <f t="shared" si="17"/>
        <v>12.5411815</v>
      </c>
      <c r="J129" s="107">
        <f t="shared" si="17"/>
        <v>14.683114</v>
      </c>
      <c r="K129" s="107">
        <f t="shared" si="17"/>
        <v>9.9340825000000006</v>
      </c>
      <c r="L129" s="107">
        <f t="shared" si="17"/>
        <v>10.860910000000001</v>
      </c>
      <c r="M129" s="107">
        <f t="shared" si="17"/>
        <v>10.810193999999999</v>
      </c>
      <c r="N129" s="107">
        <f t="shared" si="17"/>
        <v>8.9918355000000005</v>
      </c>
      <c r="O129" s="124">
        <f t="shared" si="17"/>
        <v>10.485035</v>
      </c>
    </row>
    <row r="130" spans="1:15">
      <c r="A130" s="206"/>
      <c r="B130" s="114" t="s">
        <v>2</v>
      </c>
      <c r="C130" s="115">
        <f>HLOOKUP(C$117,$86:$102,14,FALSE)</f>
        <v>326.63051000000002</v>
      </c>
      <c r="D130" s="115">
        <f t="shared" ref="D130:O130" si="18">HLOOKUP(D$117,$86:$102,14,FALSE)</f>
        <v>342.61162200000001</v>
      </c>
      <c r="E130" s="115">
        <f t="shared" si="18"/>
        <v>332.45654999999999</v>
      </c>
      <c r="F130" s="115">
        <f t="shared" si="18"/>
        <v>307.69163700000001</v>
      </c>
      <c r="G130" s="115">
        <f t="shared" si="18"/>
        <v>340.88645400000001</v>
      </c>
      <c r="H130" s="115">
        <f t="shared" si="18"/>
        <v>421.476586</v>
      </c>
      <c r="I130" s="115">
        <f t="shared" si="18"/>
        <v>565.78934400000003</v>
      </c>
      <c r="J130" s="115">
        <f t="shared" si="18"/>
        <v>529.34347600000001</v>
      </c>
      <c r="K130" s="115">
        <f t="shared" si="18"/>
        <v>435.06932</v>
      </c>
      <c r="L130" s="115">
        <f t="shared" si="18"/>
        <v>363.589969</v>
      </c>
      <c r="M130" s="115">
        <f t="shared" si="18"/>
        <v>302.01390600000002</v>
      </c>
      <c r="N130" s="115">
        <f t="shared" si="18"/>
        <v>305.13724000000002</v>
      </c>
      <c r="O130" s="125">
        <f t="shared" si="18"/>
        <v>322.53600799999998</v>
      </c>
    </row>
    <row r="131" spans="1:15">
      <c r="A131" s="206"/>
      <c r="B131" s="105" t="s">
        <v>21</v>
      </c>
      <c r="C131" s="116">
        <f>HLOOKUP(C$117,$86:$102,15,FALSE)</f>
        <v>123.950131</v>
      </c>
      <c r="D131" s="116">
        <f t="shared" ref="D131:O131" si="19">HLOOKUP(D$117,$86:$102,15,FALSE)</f>
        <v>89.734262000000001</v>
      </c>
      <c r="E131" s="116">
        <f t="shared" si="19"/>
        <v>82.194308000000007</v>
      </c>
      <c r="F131" s="116">
        <f t="shared" si="19"/>
        <v>98.033413999999993</v>
      </c>
      <c r="G131" s="116">
        <f t="shared" si="19"/>
        <v>118.762416</v>
      </c>
      <c r="H131" s="116">
        <f t="shared" si="19"/>
        <v>124.350134</v>
      </c>
      <c r="I131" s="116">
        <f t="shared" si="19"/>
        <v>168.54782399999999</v>
      </c>
      <c r="J131" s="116">
        <f t="shared" si="19"/>
        <v>175.00929099999999</v>
      </c>
      <c r="K131" s="116">
        <f t="shared" si="19"/>
        <v>130.854702</v>
      </c>
      <c r="L131" s="116">
        <f t="shared" si="19"/>
        <v>131.44748999999999</v>
      </c>
      <c r="M131" s="116">
        <f t="shared" si="19"/>
        <v>70.767787999999996</v>
      </c>
      <c r="N131" s="116">
        <f t="shared" si="19"/>
        <v>112.440268</v>
      </c>
      <c r="O131" s="116">
        <f t="shared" si="19"/>
        <v>122.760274</v>
      </c>
    </row>
    <row r="132" spans="1:15">
      <c r="A132" s="206"/>
      <c r="B132" s="117" t="s">
        <v>1</v>
      </c>
      <c r="C132" s="118">
        <f>HLOOKUP(C$117,$86:$102,16,FALSE)</f>
        <v>450.58064100000001</v>
      </c>
      <c r="D132" s="118">
        <f t="shared" ref="D132:O132" si="20">HLOOKUP(D$117,$86:$102,16,FALSE)</f>
        <v>432.34588400000001</v>
      </c>
      <c r="E132" s="118">
        <f t="shared" si="20"/>
        <v>414.65085800000003</v>
      </c>
      <c r="F132" s="118">
        <f t="shared" si="20"/>
        <v>405.72505100000001</v>
      </c>
      <c r="G132" s="118">
        <f t="shared" si="20"/>
        <v>459.64886999999999</v>
      </c>
      <c r="H132" s="118">
        <f t="shared" si="20"/>
        <v>545.82672000000002</v>
      </c>
      <c r="I132" s="118">
        <f t="shared" si="20"/>
        <v>734.33716800000002</v>
      </c>
      <c r="J132" s="118">
        <f t="shared" si="20"/>
        <v>704.35276699999997</v>
      </c>
      <c r="K132" s="118">
        <f t="shared" si="20"/>
        <v>565.92402200000004</v>
      </c>
      <c r="L132" s="118">
        <f t="shared" si="20"/>
        <v>495.03745900000001</v>
      </c>
      <c r="M132" s="118">
        <f t="shared" si="20"/>
        <v>372.78169400000002</v>
      </c>
      <c r="N132" s="118">
        <f t="shared" si="20"/>
        <v>417.57750800000002</v>
      </c>
      <c r="O132" s="118">
        <f t="shared" si="20"/>
        <v>445.29628200000002</v>
      </c>
    </row>
    <row r="133" spans="1:15" ht="14.25">
      <c r="A133" s="207"/>
      <c r="B133" s="126" t="s">
        <v>75</v>
      </c>
      <c r="C133" s="127">
        <f>C120+C121+C123</f>
        <v>54.403029000000004</v>
      </c>
      <c r="D133" s="127">
        <f>D120+D121+D123</f>
        <v>47.337153999999998</v>
      </c>
      <c r="E133" s="127">
        <f t="shared" ref="E133:O133" si="21">E120+E121+E123</f>
        <v>40.752212</v>
      </c>
      <c r="F133" s="127">
        <f t="shared" si="21"/>
        <v>36.577028999999996</v>
      </c>
      <c r="G133" s="127">
        <f t="shared" si="21"/>
        <v>47.925082000000003</v>
      </c>
      <c r="H133" s="127">
        <f t="shared" si="21"/>
        <v>77.204378999999989</v>
      </c>
      <c r="I133" s="127">
        <f t="shared" si="21"/>
        <v>124.68270699999999</v>
      </c>
      <c r="J133" s="127">
        <f t="shared" si="21"/>
        <v>118.33977300000001</v>
      </c>
      <c r="K133" s="127">
        <f t="shared" si="21"/>
        <v>82.054295999999994</v>
      </c>
      <c r="L133" s="127">
        <f t="shared" si="21"/>
        <v>61.254111000000002</v>
      </c>
      <c r="M133" s="127">
        <f t="shared" si="21"/>
        <v>30.185099999999998</v>
      </c>
      <c r="N133" s="127">
        <f t="shared" si="21"/>
        <v>28.263148000000001</v>
      </c>
      <c r="O133" s="127">
        <f t="shared" si="21"/>
        <v>30.443576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ene.-23</v>
      </c>
      <c r="D134" s="111" t="str">
        <f>TEXT(EDATE($A$2,-11),"mmm")&amp;".-"&amp;TEXT(EDATE($A$2,-11),"aa")</f>
        <v>feb.-23</v>
      </c>
      <c r="E134" s="111" t="str">
        <f>TEXT(EDATE($A$2,-10),"mmm")&amp;".-"&amp;TEXT(EDATE($A$2,-10),"aa")</f>
        <v>mar.-23</v>
      </c>
      <c r="F134" s="111" t="str">
        <f>TEXT(EDATE($A$2,-9),"mmm")&amp;".-"&amp;TEXT(EDATE($A$2,-9),"aa")</f>
        <v>abr.-23</v>
      </c>
      <c r="G134" s="111" t="str">
        <f>TEXT(EDATE($A$2,-8),"mmm")&amp;".-"&amp;TEXT(EDATE($A$2,-8),"aa")</f>
        <v>may.-23</v>
      </c>
      <c r="H134" s="111" t="str">
        <f>TEXT(EDATE($A$2,-7),"mmm")&amp;".-"&amp;TEXT(EDATE($A$2,-7),"aa")</f>
        <v>jun.-23</v>
      </c>
      <c r="I134" s="111" t="str">
        <f>TEXT(EDATE($A$2,-6),"mmm")&amp;".-"&amp;TEXT(EDATE($A$2,-6),"aa")</f>
        <v>jul.-23</v>
      </c>
      <c r="J134" s="111" t="str">
        <f>TEXT(EDATE($A$2,-5),"mmm")&amp;".-"&amp;TEXT(EDATE($A$2,-5),"aa")</f>
        <v>ago.-23</v>
      </c>
      <c r="K134" s="111" t="str">
        <f>TEXT(EDATE($A$2,-4),"mmm")&amp;".-"&amp;TEXT(EDATE($A$2,-4),"aa")</f>
        <v>sep.-23</v>
      </c>
      <c r="L134" s="111" t="str">
        <f>TEXT(EDATE($A$2,-3),"mmm")&amp;".-"&amp;TEXT(EDATE($A$2,-3),"aa")</f>
        <v>oct.-23</v>
      </c>
      <c r="M134" s="111" t="str">
        <f>TEXT(EDATE($A$2,-2),"mmm")&amp;".-"&amp;TEXT(EDATE($A$2,-2),"aa")</f>
        <v>nov.-23</v>
      </c>
      <c r="N134" s="111" t="str">
        <f>TEXT(EDATE($A$2,-1),"mmm")&amp;".-"&amp;TEXT(EDATE($A$2,-1),"aa")</f>
        <v>dic.-23</v>
      </c>
      <c r="O134" s="112" t="str">
        <f>TEXT($A$2,"mmm")&amp;".-"&amp;TEXT($A$2,"aa")</f>
        <v>ene.-24</v>
      </c>
    </row>
    <row r="135" spans="1:15" ht="15" customHeight="1">
      <c r="A135" s="206"/>
      <c r="B135" s="105" t="s">
        <v>12</v>
      </c>
      <c r="C135" s="107">
        <f>HLOOKUP(C$117,$86:$115,17,FALSE)</f>
        <v>0.27497500000000002</v>
      </c>
      <c r="D135" s="107">
        <f t="shared" ref="D135:N135" si="22">HLOOKUP(D$117,$86:$115,17,FALSE)</f>
        <v>0.25442500000000001</v>
      </c>
      <c r="E135" s="107">
        <f t="shared" si="22"/>
        <v>0.28212599999999999</v>
      </c>
      <c r="F135" s="107">
        <f t="shared" si="22"/>
        <v>0.27610800000000002</v>
      </c>
      <c r="G135" s="107">
        <f t="shared" si="22"/>
        <v>0.29790899999999998</v>
      </c>
      <c r="H135" s="107">
        <f t="shared" si="22"/>
        <v>0.28383700000000001</v>
      </c>
      <c r="I135" s="107">
        <f t="shared" si="22"/>
        <v>0.30198999999999998</v>
      </c>
      <c r="J135" s="107">
        <f t="shared" si="22"/>
        <v>0.28963</v>
      </c>
      <c r="K135" s="107">
        <f t="shared" si="22"/>
        <v>0.28927700000000001</v>
      </c>
      <c r="L135" s="107">
        <f t="shared" si="22"/>
        <v>0.30293500000000001</v>
      </c>
      <c r="M135" s="107">
        <f t="shared" si="22"/>
        <v>0.28046900000000002</v>
      </c>
      <c r="N135" s="107">
        <f t="shared" si="22"/>
        <v>0.30561100000000002</v>
      </c>
      <c r="O135" s="144">
        <f>HLOOKUP(O$117,$86:$115,17,FALSE)</f>
        <v>0.29624200000000001</v>
      </c>
    </row>
    <row r="136" spans="1:15">
      <c r="A136" s="206"/>
      <c r="B136" s="105" t="s">
        <v>10</v>
      </c>
      <c r="C136" s="107">
        <f>HLOOKUP(C$117,$86:$115,18,FALSE)+HLOOKUP(C$117,$86:$115,22,FALSE)</f>
        <v>149.65270200000001</v>
      </c>
      <c r="D136" s="107">
        <f>HLOOKUP(D$117,$86:$115,18,FALSE)+HLOOKUP(D$117,$86:$115,22,FALSE)</f>
        <v>151.16905</v>
      </c>
      <c r="E136" s="107">
        <f t="shared" ref="E136:N136" si="23">HLOOKUP(E$117,$86:$115,18,FALSE)+HLOOKUP(E$117,$86:$115,22,FALSE)</f>
        <v>141.34883499999998</v>
      </c>
      <c r="F136" s="107">
        <f t="shared" si="23"/>
        <v>149.84285</v>
      </c>
      <c r="G136" s="107">
        <f t="shared" si="23"/>
        <v>152.65936299999998</v>
      </c>
      <c r="H136" s="107">
        <f t="shared" si="23"/>
        <v>159.42586699999998</v>
      </c>
      <c r="I136" s="107">
        <f t="shared" si="23"/>
        <v>147.371253</v>
      </c>
      <c r="J136" s="107">
        <f t="shared" si="23"/>
        <v>158.13818499999999</v>
      </c>
      <c r="K136" s="107">
        <f t="shared" si="23"/>
        <v>154.76962499999999</v>
      </c>
      <c r="L136" s="107">
        <f t="shared" si="23"/>
        <v>179.46748099999999</v>
      </c>
      <c r="M136" s="107">
        <f t="shared" si="23"/>
        <v>168.212242</v>
      </c>
      <c r="N136" s="107">
        <f t="shared" si="23"/>
        <v>171.03556599999999</v>
      </c>
      <c r="O136" s="124">
        <f>HLOOKUP(O$117,$86:$115,18,FALSE)+HLOOKUP(O$117,$86:$115,22,FALSE)</f>
        <v>166.77709300000001</v>
      </c>
    </row>
    <row r="137" spans="1:15">
      <c r="A137" s="206"/>
      <c r="B137" s="105" t="s">
        <v>9</v>
      </c>
      <c r="C137" s="107">
        <f>HLOOKUP(C$117,$86:$115,19,FALSE)</f>
        <v>14.760491</v>
      </c>
      <c r="D137" s="107">
        <f t="shared" ref="D137:O137" si="24">HLOOKUP(D$117,$86:$115,19,FALSE)</f>
        <v>26.990496</v>
      </c>
      <c r="E137" s="107">
        <f t="shared" si="24"/>
        <v>16.813075000000001</v>
      </c>
      <c r="F137" s="107">
        <f t="shared" si="24"/>
        <v>21.092299000000001</v>
      </c>
      <c r="G137" s="107">
        <f t="shared" si="24"/>
        <v>23.467611000000002</v>
      </c>
      <c r="H137" s="107">
        <f t="shared" si="24"/>
        <v>20.997603000000002</v>
      </c>
      <c r="I137" s="107">
        <f t="shared" si="24"/>
        <v>15.379733999999999</v>
      </c>
      <c r="J137" s="107">
        <f t="shared" si="24"/>
        <v>16.795183000000002</v>
      </c>
      <c r="K137" s="107">
        <f t="shared" si="24"/>
        <v>18.188441000000001</v>
      </c>
      <c r="L137" s="107">
        <f t="shared" si="24"/>
        <v>30.707764999999998</v>
      </c>
      <c r="M137" s="107">
        <f t="shared" si="24"/>
        <v>24.331886999999998</v>
      </c>
      <c r="N137" s="107">
        <f t="shared" si="24"/>
        <v>26.447642999999999</v>
      </c>
      <c r="O137" s="124">
        <f t="shared" si="24"/>
        <v>28.032011000000001</v>
      </c>
    </row>
    <row r="138" spans="1:15">
      <c r="A138" s="206"/>
      <c r="B138" s="105" t="s">
        <v>8</v>
      </c>
      <c r="C138" s="107">
        <f>HLOOKUP(C$117,$86:$115,20,FALSE)</f>
        <v>118.030389</v>
      </c>
      <c r="D138" s="107">
        <f t="shared" ref="D138:O138" si="25">HLOOKUP(D$117,$86:$115,20,FALSE)</f>
        <v>118.052049</v>
      </c>
      <c r="E138" s="107">
        <f t="shared" si="25"/>
        <v>103.679242</v>
      </c>
      <c r="F138" s="107">
        <f t="shared" si="25"/>
        <v>89.164951000000002</v>
      </c>
      <c r="G138" s="107">
        <f t="shared" si="25"/>
        <v>84.880949000000001</v>
      </c>
      <c r="H138" s="107">
        <f t="shared" si="25"/>
        <v>84.905440999999996</v>
      </c>
      <c r="I138" s="107">
        <f t="shared" si="25"/>
        <v>101.065799</v>
      </c>
      <c r="J138" s="107">
        <f t="shared" si="25"/>
        <v>105.31614999999999</v>
      </c>
      <c r="K138" s="107">
        <f t="shared" si="25"/>
        <v>105.510948</v>
      </c>
      <c r="L138" s="107">
        <f t="shared" si="25"/>
        <v>119.677701</v>
      </c>
      <c r="M138" s="107">
        <f t="shared" si="25"/>
        <v>90.916317000000006</v>
      </c>
      <c r="N138" s="107">
        <f t="shared" si="25"/>
        <v>96.450059999999993</v>
      </c>
      <c r="O138" s="124">
        <f t="shared" si="25"/>
        <v>118.36447</v>
      </c>
    </row>
    <row r="139" spans="1:15" ht="14.25">
      <c r="A139" s="206"/>
      <c r="B139" s="105" t="s">
        <v>74</v>
      </c>
      <c r="C139" s="107">
        <f>HLOOKUP(C$117,$86:$115,21,FALSE)</f>
        <v>279.418815</v>
      </c>
      <c r="D139" s="107">
        <f t="shared" ref="D139:O139" si="26">HLOOKUP(D$117,$86:$115,21,FALSE)</f>
        <v>289.33312999999998</v>
      </c>
      <c r="E139" s="107">
        <f t="shared" si="26"/>
        <v>284.83144399999998</v>
      </c>
      <c r="F139" s="107">
        <f t="shared" si="26"/>
        <v>279.54366599999997</v>
      </c>
      <c r="G139" s="107">
        <f t="shared" si="26"/>
        <v>275.34098399999999</v>
      </c>
      <c r="H139" s="107">
        <f t="shared" si="26"/>
        <v>351.45923099999999</v>
      </c>
      <c r="I139" s="107">
        <f t="shared" si="26"/>
        <v>250.52108799999999</v>
      </c>
      <c r="J139" s="107">
        <f t="shared" si="26"/>
        <v>306.93109600000003</v>
      </c>
      <c r="K139" s="107">
        <f t="shared" si="26"/>
        <v>329.65078499999998</v>
      </c>
      <c r="L139" s="107">
        <f t="shared" si="26"/>
        <v>385.37423100000001</v>
      </c>
      <c r="M139" s="107">
        <f t="shared" si="26"/>
        <v>320.60776499999997</v>
      </c>
      <c r="N139" s="107">
        <f t="shared" si="26"/>
        <v>343.70541600000001</v>
      </c>
      <c r="O139" s="124">
        <f t="shared" si="26"/>
        <v>348.60822999999999</v>
      </c>
    </row>
    <row r="140" spans="1:15">
      <c r="A140" s="206"/>
      <c r="B140" s="105" t="s">
        <v>6</v>
      </c>
      <c r="C140" s="107">
        <f>HLOOKUP(C$117,$86:$115,23,FALSE)</f>
        <v>1.6495040000000001</v>
      </c>
      <c r="D140" s="107">
        <f t="shared" ref="D140:O140" si="27">HLOOKUP(D$117,$86:$115,23,FALSE)</f>
        <v>0.82934099999999999</v>
      </c>
      <c r="E140" s="107">
        <f t="shared" si="27"/>
        <v>1.5724450000000001</v>
      </c>
      <c r="F140" s="107">
        <f t="shared" si="27"/>
        <v>1.573337</v>
      </c>
      <c r="G140" s="107">
        <f t="shared" si="27"/>
        <v>2.0671949999999999</v>
      </c>
      <c r="H140" s="107">
        <f t="shared" si="27"/>
        <v>0.80873799999999996</v>
      </c>
      <c r="I140" s="107">
        <f t="shared" si="27"/>
        <v>2.7590569999999999</v>
      </c>
      <c r="J140" s="107">
        <f t="shared" si="27"/>
        <v>2.6998280000000001</v>
      </c>
      <c r="K140" s="107">
        <f t="shared" si="27"/>
        <v>1.3149919999999999</v>
      </c>
      <c r="L140" s="107">
        <f t="shared" si="27"/>
        <v>0.44324000000000002</v>
      </c>
      <c r="M140" s="107">
        <f t="shared" si="27"/>
        <v>1.0899650000000001</v>
      </c>
      <c r="N140" s="107">
        <f t="shared" si="27"/>
        <v>0.66913</v>
      </c>
      <c r="O140" s="124">
        <f t="shared" si="27"/>
        <v>0.66808100000000004</v>
      </c>
    </row>
    <row r="141" spans="1:15">
      <c r="A141" s="206"/>
      <c r="B141" s="105" t="s">
        <v>5</v>
      </c>
      <c r="C141" s="107">
        <f>HLOOKUP(C$117,$86:$115,24,FALSE)</f>
        <v>132.72816599999999</v>
      </c>
      <c r="D141" s="107">
        <f t="shared" ref="D141:O141" si="28">HLOOKUP(D$117,$86:$115,24,FALSE)</f>
        <v>42.67051</v>
      </c>
      <c r="E141" s="107">
        <f t="shared" si="28"/>
        <v>130.23741999999999</v>
      </c>
      <c r="F141" s="107">
        <f t="shared" si="28"/>
        <v>103.685765</v>
      </c>
      <c r="G141" s="107">
        <f t="shared" si="28"/>
        <v>131.84913700000001</v>
      </c>
      <c r="H141" s="107">
        <f t="shared" si="28"/>
        <v>63.874986999999997</v>
      </c>
      <c r="I141" s="107">
        <f t="shared" si="28"/>
        <v>209.60142099999999</v>
      </c>
      <c r="J141" s="107">
        <f t="shared" si="28"/>
        <v>178.40248800000001</v>
      </c>
      <c r="K141" s="107">
        <f t="shared" si="28"/>
        <v>103.232878</v>
      </c>
      <c r="L141" s="107">
        <f t="shared" si="28"/>
        <v>57.758575</v>
      </c>
      <c r="M141" s="107">
        <f t="shared" si="28"/>
        <v>99.872924999999995</v>
      </c>
      <c r="N141" s="107">
        <f t="shared" si="28"/>
        <v>70.816050000000004</v>
      </c>
      <c r="O141" s="124">
        <f t="shared" si="28"/>
        <v>53.196173999999999</v>
      </c>
    </row>
    <row r="142" spans="1:15">
      <c r="A142" s="206"/>
      <c r="B142" s="105" t="s">
        <v>4</v>
      </c>
      <c r="C142" s="107">
        <f>HLOOKUP(C$117,$86:$115,25,FALSE)</f>
        <v>22.121485</v>
      </c>
      <c r="D142" s="107">
        <f t="shared" ref="D142:O142" si="29">HLOOKUP(D$117,$86:$115,25,FALSE)</f>
        <v>20.382895000000001</v>
      </c>
      <c r="E142" s="107">
        <f t="shared" si="29"/>
        <v>32.428702000000001</v>
      </c>
      <c r="F142" s="107">
        <f t="shared" si="29"/>
        <v>30.033574000000002</v>
      </c>
      <c r="G142" s="107">
        <f t="shared" si="29"/>
        <v>30.564440999999999</v>
      </c>
      <c r="H142" s="107">
        <f t="shared" si="29"/>
        <v>30.691880000000001</v>
      </c>
      <c r="I142" s="107">
        <f t="shared" si="29"/>
        <v>35.002752999999998</v>
      </c>
      <c r="J142" s="107">
        <f t="shared" si="29"/>
        <v>33.602015999999999</v>
      </c>
      <c r="K142" s="107">
        <f t="shared" si="29"/>
        <v>31.322213000000001</v>
      </c>
      <c r="L142" s="107">
        <f t="shared" si="29"/>
        <v>29.6997</v>
      </c>
      <c r="M142" s="107">
        <f t="shared" si="29"/>
        <v>24.842165000000001</v>
      </c>
      <c r="N142" s="107">
        <f t="shared" si="29"/>
        <v>23.549019999999999</v>
      </c>
      <c r="O142" s="124">
        <f t="shared" si="29"/>
        <v>24.433125</v>
      </c>
    </row>
    <row r="143" spans="1:15">
      <c r="A143" s="206"/>
      <c r="B143" s="105" t="s">
        <v>22</v>
      </c>
      <c r="C143" s="107">
        <f>HLOOKUP(C$117,$86:$115,26,FALSE)</f>
        <v>0.78413299999999997</v>
      </c>
      <c r="D143" s="107">
        <f t="shared" ref="D143:O143" si="30">HLOOKUP(D$117,$86:$115,26,FALSE)</f>
        <v>0.71108700000000002</v>
      </c>
      <c r="E143" s="107">
        <f t="shared" si="30"/>
        <v>0.73842799999999997</v>
      </c>
      <c r="F143" s="107">
        <f t="shared" si="30"/>
        <v>0.63095199999999996</v>
      </c>
      <c r="G143" s="107">
        <f t="shared" si="30"/>
        <v>0.65055600000000002</v>
      </c>
      <c r="H143" s="107">
        <f t="shared" si="30"/>
        <v>0.66513100000000003</v>
      </c>
      <c r="I143" s="107">
        <f t="shared" si="30"/>
        <v>0.64607300000000001</v>
      </c>
      <c r="J143" s="107">
        <f t="shared" si="30"/>
        <v>0.37482700000000002</v>
      </c>
      <c r="K143" s="107">
        <f t="shared" si="30"/>
        <v>0.37211699999999998</v>
      </c>
      <c r="L143" s="107">
        <f t="shared" si="30"/>
        <v>0.52430399999999999</v>
      </c>
      <c r="M143" s="107">
        <f t="shared" si="30"/>
        <v>0.42454199999999997</v>
      </c>
      <c r="N143" s="107">
        <f t="shared" si="30"/>
        <v>0.44537900000000002</v>
      </c>
      <c r="O143" s="124">
        <f t="shared" si="30"/>
        <v>0.50013399999999997</v>
      </c>
    </row>
    <row r="144" spans="1:15">
      <c r="A144" s="206"/>
      <c r="B144" s="117" t="s">
        <v>1</v>
      </c>
      <c r="C144" s="118">
        <f>HLOOKUP(C$117,$86:$115,28,FALSE)</f>
        <v>719.42066</v>
      </c>
      <c r="D144" s="118">
        <f t="shared" ref="D144:O144" si="31">HLOOKUP(D$117,$86:$115,28,FALSE)</f>
        <v>650.39298299999996</v>
      </c>
      <c r="E144" s="118">
        <f t="shared" si="31"/>
        <v>711.93171700000005</v>
      </c>
      <c r="F144" s="118">
        <f t="shared" si="31"/>
        <v>675.84350199999994</v>
      </c>
      <c r="G144" s="118">
        <f t="shared" si="31"/>
        <v>701.77814499999999</v>
      </c>
      <c r="H144" s="118">
        <f t="shared" si="31"/>
        <v>713.11271499999998</v>
      </c>
      <c r="I144" s="118">
        <f t="shared" si="31"/>
        <v>762.64916800000003</v>
      </c>
      <c r="J144" s="118">
        <f t="shared" si="31"/>
        <v>802.54940299999998</v>
      </c>
      <c r="K144" s="118">
        <f t="shared" si="31"/>
        <v>744.65127600000005</v>
      </c>
      <c r="L144" s="118">
        <f t="shared" si="31"/>
        <v>803.95593199999996</v>
      </c>
      <c r="M144" s="118">
        <f t="shared" si="31"/>
        <v>730.57827699999996</v>
      </c>
      <c r="N144" s="118">
        <f t="shared" si="31"/>
        <v>733.42387499999995</v>
      </c>
      <c r="O144" s="118">
        <f t="shared" si="31"/>
        <v>740.87555999999995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282.44358199999999</v>
      </c>
      <c r="D146" s="130">
        <f t="shared" ref="D146:N146" si="32">SUM(D136:D138)</f>
        <v>296.21159499999999</v>
      </c>
      <c r="E146" s="130">
        <f t="shared" si="32"/>
        <v>261.84115199999997</v>
      </c>
      <c r="F146" s="130">
        <f t="shared" si="32"/>
        <v>260.1001</v>
      </c>
      <c r="G146" s="130">
        <f t="shared" si="32"/>
        <v>261.00792300000001</v>
      </c>
      <c r="H146" s="130">
        <f t="shared" si="32"/>
        <v>265.32891099999995</v>
      </c>
      <c r="I146" s="130">
        <f t="shared" si="32"/>
        <v>263.81678599999998</v>
      </c>
      <c r="J146" s="130">
        <f t="shared" si="32"/>
        <v>280.24951799999997</v>
      </c>
      <c r="K146" s="130">
        <f t="shared" si="32"/>
        <v>278.46901400000002</v>
      </c>
      <c r="L146" s="130">
        <f t="shared" si="32"/>
        <v>329.85294699999997</v>
      </c>
      <c r="M146" s="130">
        <f t="shared" si="32"/>
        <v>283.46044599999999</v>
      </c>
      <c r="N146" s="130">
        <f t="shared" si="32"/>
        <v>293.933269</v>
      </c>
      <c r="O146" s="131">
        <f>SUM(O136:O138)</f>
        <v>313.17357400000003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118</v>
      </c>
      <c r="B152" s="159" t="s">
        <v>119</v>
      </c>
      <c r="C152" s="175">
        <v>-1.1730000000000001E-2</v>
      </c>
      <c r="D152" s="175">
        <v>-2.9399999999999999E-3</v>
      </c>
      <c r="E152" s="175">
        <v>-4.4880000000000003E-2</v>
      </c>
      <c r="F152" s="175">
        <v>3.6089999999999997E-2</v>
      </c>
      <c r="G152" s="175">
        <v>-1.1730000000000001E-2</v>
      </c>
      <c r="H152" s="175">
        <v>-2.9399999999999999E-3</v>
      </c>
      <c r="I152" s="175">
        <v>-4.4880000000000003E-2</v>
      </c>
      <c r="J152" s="175">
        <v>3.6089999999999997E-2</v>
      </c>
      <c r="K152" s="175">
        <v>-5.62E-3</v>
      </c>
      <c r="L152" s="175">
        <v>-5.5000000000000003E-4</v>
      </c>
      <c r="M152" s="175">
        <v>4.4099999999999999E-3</v>
      </c>
      <c r="N152" s="175">
        <v>-9.4800000000000006E-3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118</v>
      </c>
      <c r="B158" s="159" t="s">
        <v>119</v>
      </c>
      <c r="C158" s="175">
        <v>2.9819999999999999E-2</v>
      </c>
      <c r="D158" s="175">
        <v>2.9199999999999999E-3</v>
      </c>
      <c r="E158" s="175">
        <v>-1.82E-3</v>
      </c>
      <c r="F158" s="175">
        <v>2.8719999999999999E-2</v>
      </c>
      <c r="G158" s="175">
        <v>2.9819999999999999E-2</v>
      </c>
      <c r="H158" s="175">
        <v>2.9199999999999999E-3</v>
      </c>
      <c r="I158" s="175">
        <v>-1.82E-3</v>
      </c>
      <c r="J158" s="175">
        <v>2.8719999999999999E-2</v>
      </c>
      <c r="K158" s="175">
        <v>2.6839999999999999E-2</v>
      </c>
      <c r="L158" s="175">
        <v>4.0999999999999999E-4</v>
      </c>
      <c r="M158" s="175">
        <v>2.5899999999999999E-3</v>
      </c>
      <c r="N158" s="175">
        <v>2.384E-2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P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Enero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Enero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445.29628200000002</v>
      </c>
      <c r="G9" s="147">
        <f>Dat_01!T24*100</f>
        <v>-1.1727887399999999</v>
      </c>
      <c r="H9" s="75">
        <f>Dat_01!U24/1000</f>
        <v>445.29628200000002</v>
      </c>
      <c r="I9" s="147">
        <f>Dat_01!W24*100</f>
        <v>-1.1727887399999999</v>
      </c>
      <c r="J9" s="75">
        <f>Dat_01!X24/1000</f>
        <v>5993.5042830000002</v>
      </c>
      <c r="K9" s="147">
        <f>Dat_01!Y24*100</f>
        <v>-0.56179263999999995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-0.29399999999999998</v>
      </c>
      <c r="H12" s="94"/>
      <c r="I12" s="94">
        <f>Dat_01!H152*100</f>
        <v>-0.29399999999999998</v>
      </c>
      <c r="J12" s="94"/>
      <c r="K12" s="94">
        <f>Dat_01!L152*100</f>
        <v>-5.5E-2</v>
      </c>
    </row>
    <row r="13" spans="3:12">
      <c r="E13" s="77" t="s">
        <v>42</v>
      </c>
      <c r="F13" s="76"/>
      <c r="G13" s="94">
        <f>Dat_01!E152*100</f>
        <v>-4.4880000000000004</v>
      </c>
      <c r="H13" s="94"/>
      <c r="I13" s="94">
        <f>Dat_01!I152*100</f>
        <v>-4.4880000000000004</v>
      </c>
      <c r="J13" s="94"/>
      <c r="K13" s="94">
        <f>Dat_01!M152*100</f>
        <v>0.441</v>
      </c>
    </row>
    <row r="14" spans="3:12">
      <c r="E14" s="78" t="s">
        <v>43</v>
      </c>
      <c r="F14" s="79"/>
      <c r="G14" s="95">
        <f>Dat_01!F152*100</f>
        <v>3.6089999999999995</v>
      </c>
      <c r="H14" s="95"/>
      <c r="I14" s="95">
        <f>Dat_01!J152*100</f>
        <v>3.6089999999999995</v>
      </c>
      <c r="J14" s="95"/>
      <c r="K14" s="95">
        <f>Dat_01!N152*100</f>
        <v>-0.94800000000000006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Enero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Enero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740.87556000000006</v>
      </c>
      <c r="G9" s="147">
        <f>Dat_01!AB24*100</f>
        <v>2.9822468500000001</v>
      </c>
      <c r="H9" s="75">
        <f>Dat_01!AC24/1000</f>
        <v>740.87556000000006</v>
      </c>
      <c r="I9" s="147">
        <f>Dat_01!AE24*100</f>
        <v>2.9822468500000001</v>
      </c>
      <c r="J9" s="75">
        <f>Dat_01!AF24/1000</f>
        <v>8771.742553</v>
      </c>
      <c r="K9" s="147">
        <f>Dat_01!AG24*100</f>
        <v>2.6836905099999999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0.29199999999999998</v>
      </c>
      <c r="H12" s="94"/>
      <c r="I12" s="94">
        <f>Dat_01!H158*100</f>
        <v>0.29199999999999998</v>
      </c>
      <c r="J12" s="94"/>
      <c r="K12" s="94">
        <f>Dat_01!L158*100</f>
        <v>4.1000000000000002E-2</v>
      </c>
    </row>
    <row r="13" spans="3:12">
      <c r="E13" s="77" t="s">
        <v>42</v>
      </c>
      <c r="F13" s="76"/>
      <c r="G13" s="94">
        <f>Dat_01!E158*100</f>
        <v>-0.182</v>
      </c>
      <c r="H13" s="94"/>
      <c r="I13" s="94">
        <f>Dat_01!I158*100</f>
        <v>-0.182</v>
      </c>
      <c r="J13" s="94"/>
      <c r="K13" s="94">
        <f>Dat_01!M158*100</f>
        <v>0.25900000000000001</v>
      </c>
    </row>
    <row r="14" spans="3:12">
      <c r="E14" s="78" t="s">
        <v>43</v>
      </c>
      <c r="F14" s="79"/>
      <c r="G14" s="95">
        <f>Dat_01!F158*100</f>
        <v>2.8719999999999999</v>
      </c>
      <c r="H14" s="95"/>
      <c r="I14" s="95">
        <f>Dat_01!J158*100</f>
        <v>2.8719999999999999</v>
      </c>
      <c r="J14" s="95"/>
      <c r="K14" s="95">
        <f>Dat_01!N158*100</f>
        <v>2.3839999999999999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125</v>
      </c>
    </row>
    <row r="2" spans="1:2">
      <c r="A2" t="s">
        <v>120</v>
      </c>
    </row>
    <row r="3" spans="1:2">
      <c r="A3" t="s">
        <v>121</v>
      </c>
    </row>
    <row r="4" spans="1:2">
      <c r="A4" t="s">
        <v>123</v>
      </c>
    </row>
    <row r="5" spans="1:2">
      <c r="A5" t="s">
        <v>124</v>
      </c>
    </row>
    <row r="6" spans="1:2">
      <c r="A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Enero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0.29624200000000001</v>
      </c>
      <c r="I9" s="14">
        <f>IF(Dat_01!AB8*100=-100,"-",Dat_01!AB8*100)</f>
        <v>7.7341576499999993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0.66808100000000004</v>
      </c>
      <c r="I10" s="14">
        <f>Dat_01!AB15*100</f>
        <v>-59.498067300000002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</v>
      </c>
      <c r="G11" s="14" t="str">
        <f>IF(Dat_01!R16=0,"-",Dat_01!T16*100)</f>
        <v>-</v>
      </c>
      <c r="H11" s="138">
        <f>Dat_01!Z16/1000</f>
        <v>53.196173999999999</v>
      </c>
      <c r="I11" s="14">
        <f>Dat_01!AB16*100</f>
        <v>-59.920960560000005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23.767339</v>
      </c>
      <c r="G12" s="14">
        <f>Dat_01!T17*100</f>
        <v>28.195491480000001</v>
      </c>
      <c r="H12" s="138">
        <f>Dat_01!Z17/1000</f>
        <v>24.433125</v>
      </c>
      <c r="I12" s="14">
        <f>Dat_01!AB17*100</f>
        <v>10.449750550000001</v>
      </c>
      <c r="J12" s="138" t="s">
        <v>3</v>
      </c>
      <c r="K12" s="14" t="s">
        <v>3</v>
      </c>
      <c r="L12" s="138">
        <f>Dat_01!J17/1000</f>
        <v>3.4919999999999999E-3</v>
      </c>
      <c r="M12" s="14">
        <f>IF(Dat_01!L17*100=-100,"-",Dat_01!L17*100)</f>
        <v>-19.594750170000001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0.10376600000000001</v>
      </c>
      <c r="G13" s="14">
        <f>Dat_01!T18*100</f>
        <v>10.850452409999999</v>
      </c>
      <c r="H13" s="138">
        <f>Dat_01!Z18/1000</f>
        <v>0.50013399999999997</v>
      </c>
      <c r="I13" s="14">
        <f>IF(Dat_01!AB18*100=-100,"-",Dat_01!AB18*100)</f>
        <v>-36.21821808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10.485035</v>
      </c>
      <c r="G14" s="14">
        <f>Dat_01!T21*100</f>
        <v>42.424408509999999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0.62511249999999996</v>
      </c>
      <c r="M14" s="14">
        <f>Dat_01!L21*100</f>
        <v>34.79136973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34.356139999999996</v>
      </c>
      <c r="G15" s="156">
        <f>((SUM(Dat_01!R8,Dat_01!R15:R18,Dat_01!R20)/SUM(Dat_01!S8,Dat_01!S15:S18,Dat_01!S20))-1)*100</f>
        <v>31.074866178261274</v>
      </c>
      <c r="H15" s="155">
        <f>SUM(H9:H14)</f>
        <v>79.093755999999999</v>
      </c>
      <c r="I15" s="156">
        <f>((SUM(Dat_01!Z8,Dat_01!Z15:Z18,Dat_01!Z20)/SUM(Dat_01!AA8,Dat_01!AA15:AA18,Dat_01!AA20))-1)*100</f>
        <v>-49.800312281939782</v>
      </c>
      <c r="J15" s="155" t="s">
        <v>3</v>
      </c>
      <c r="K15" s="156" t="s">
        <v>3</v>
      </c>
      <c r="L15" s="156">
        <f>SUM(L9:L14)</f>
        <v>0.62860450000000001</v>
      </c>
      <c r="M15" s="156">
        <f>((SUM(Dat_01!J8,Dat_01!J15:J18,Dat_01!J21)/SUM(Dat_01!K8,Dat_01!K15:K18,Dat_01!K20))-1)*100</f>
        <v>34.286785471666661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-0.70605399999999996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5.2892989999999998</v>
      </c>
      <c r="G17" s="20">
        <f>((SUM(Dat_01!R10,Dat_01!R14)/SUM(Dat_01!S10,Dat_01!S14))-1)*100</f>
        <v>5.4080079650389523</v>
      </c>
      <c r="H17" s="139">
        <f>SUM(Dat_01!Z10,Dat_01!Z14)/1000</f>
        <v>166.77709299999998</v>
      </c>
      <c r="I17" s="20">
        <f>((SUM(Dat_01!Z10,Dat_01!Z14)/SUM(Dat_01!AA10,Dat_01!AA14))-1)*100</f>
        <v>11.442754304563119</v>
      </c>
      <c r="J17" s="139">
        <f>Dat_01!B10/1000</f>
        <v>15.930575999999999</v>
      </c>
      <c r="K17" s="20">
        <f>Dat_01!D10*100</f>
        <v>-4.25477478</v>
      </c>
      <c r="L17" s="139">
        <f>Dat_01!J10/1000</f>
        <v>15.293357</v>
      </c>
      <c r="M17" s="20">
        <f>Dat_01!L10*100</f>
        <v>-0.19296577000000001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25.154276999999997</v>
      </c>
      <c r="G18" s="20">
        <f>Dat_01!T11*100</f>
        <v>-49.065047960000001</v>
      </c>
      <c r="H18" s="139">
        <f>Dat_01!Z11/1000</f>
        <v>28.032010999999997</v>
      </c>
      <c r="I18" s="20">
        <f>Dat_01!AB11*100</f>
        <v>89.912456160000005</v>
      </c>
      <c r="J18" s="139">
        <f>Dat_01!B11/1000</f>
        <v>3.6589999999999999E-3</v>
      </c>
      <c r="K18" s="20">
        <f>IF(Dat_01!D11=-100%,"-",Dat_01!D11*100)</f>
        <v>-1.7718120800000001</v>
      </c>
      <c r="L18" s="139">
        <f>Dat_01!J11/1000</f>
        <v>2.4480000000000001E-3</v>
      </c>
      <c r="M18" s="20">
        <f>IF(Dat_01!L11*100=-100,"-",Dat_01!L11*100)</f>
        <v>-29.695577249999999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118.36447</v>
      </c>
      <c r="I19" s="20">
        <f>Dat_01!AB12*100</f>
        <v>0.28304659999999998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30.443575999999997</v>
      </c>
      <c r="G20" s="14">
        <f>((SUM(Dat_01!R10:R12,Dat_01!R14)/SUM(Dat_01!S10:S12,Dat_01!S14))-1)*100</f>
        <v>-44.040659941930805</v>
      </c>
      <c r="H20" s="138">
        <f>SUM(H17:H19)</f>
        <v>313.17357399999997</v>
      </c>
      <c r="I20" s="14">
        <f>(H20/(H17/(I17/100+1)+H18/(I18/100+1)+H19/(I19/100+1))-1)*100</f>
        <v>10.880046126517096</v>
      </c>
      <c r="J20" s="138">
        <f>SUM(J17:J19)</f>
        <v>15.934234999999999</v>
      </c>
      <c r="K20" s="14">
        <f>((SUM(Dat_01!B10:B12)/SUM(Dat_01!C10:C12))-1)*100</f>
        <v>-4.2542190254288066</v>
      </c>
      <c r="L20" s="138">
        <f>SUM(L17:L19)</f>
        <v>15.295805</v>
      </c>
      <c r="M20" s="14">
        <f>((SUM(Dat_01!J10:J12)/SUM(Dat_01!K10:K12))-1)*100</f>
        <v>-0.19966845458299076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244.02029300000001</v>
      </c>
      <c r="G21" s="14">
        <f>Dat_01!T13*100</f>
        <v>3.2522393800000002</v>
      </c>
      <c r="H21" s="138">
        <f>Dat_01!Z13/1000</f>
        <v>348.60822999999999</v>
      </c>
      <c r="I21" s="14">
        <f>Dat_01!AB13*100</f>
        <v>24.761902669999998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3.9370180000000001</v>
      </c>
      <c r="G22" s="14">
        <f>Dat_01!T19*100</f>
        <v>29.160816130000001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10.485035</v>
      </c>
      <c r="G23" s="14">
        <f>Dat_01!T20*100</f>
        <v>42.424408509999999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0.62511249999999996</v>
      </c>
      <c r="M23" s="14">
        <f>Dat_01!L20*100</f>
        <v>34.79136973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288.179868</v>
      </c>
      <c r="G24" s="156">
        <f>((SUM(Dat_01!R9:R14,Dat_01!R19,Dat_01!R21)/SUM(Dat_01!S9:S14,Dat_01!S19,Dat_01!S21))-1)*100</f>
        <v>-4.0741574408527441</v>
      </c>
      <c r="H24" s="140">
        <f>SUM(H16,H20:H23)</f>
        <v>661.78180399999997</v>
      </c>
      <c r="I24" s="156">
        <f>((SUM(Dat_01!Z9:Z14,Dat_01!Z19,Dat_01!Z21)/SUM(Dat_01!AA9:AA14,Dat_01!AA19,Dat_01!AA21))-1)*100</f>
        <v>17.783608145607932</v>
      </c>
      <c r="J24" s="140">
        <f>SUM(J16,J20:J23)</f>
        <v>15.934234999999999</v>
      </c>
      <c r="K24" s="156">
        <f>((SUM(Dat_01!B9:B14,Dat_01!B19,Dat_01!B21)/SUM(Dat_01!C9:C14,Dat_01!C19,Dat_01!C21))-1)*100</f>
        <v>-4.2542190254288066</v>
      </c>
      <c r="L24" s="140">
        <f>SUM(L16,L20:L23)</f>
        <v>15.9209175</v>
      </c>
      <c r="M24" s="156">
        <f>((SUM(Dat_01!J9:J14,Dat_01!J19,Dat_01!J21)/SUM(Dat_01!K9:K14,Dat_01!K19,Dat_01!K21))-1)*100</f>
        <v>0.8280309838336164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122.76027400000001</v>
      </c>
      <c r="G25" s="11">
        <f>Dat_01!T23*100</f>
        <v>-0.95994815999999994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445.29628200000002</v>
      </c>
      <c r="G26" s="8">
        <f>Dat_01!T24*100</f>
        <v>-1.1727887399999999</v>
      </c>
      <c r="H26" s="142">
        <f>Dat_01!Z24/1000</f>
        <v>740.87556000000006</v>
      </c>
      <c r="I26" s="8">
        <f>Dat_01!AB24*100</f>
        <v>2.9822468500000001</v>
      </c>
      <c r="J26" s="142">
        <f>Dat_01!B24/1000</f>
        <v>15.934235000000001</v>
      </c>
      <c r="K26" s="8">
        <f>Dat_01!D24*100</f>
        <v>-4.2542190299999998</v>
      </c>
      <c r="L26" s="142">
        <f>Dat_01!J24/1000</f>
        <v>16.549522</v>
      </c>
      <c r="M26" s="8">
        <f>Dat_01!L24*100</f>
        <v>1.79137075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6" zoomScaleNormal="100" workbookViewId="0">
      <selection activeCell="I21" sqref="I21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Enero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Enero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G25" sqref="G25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Enero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Enero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2024-02-13T08:32:32Z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