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ENE\INF_ELABORADA\"/>
    </mc:Choice>
  </mc:AlternateContent>
  <xr:revisionPtr revIDLastSave="0" documentId="13_ncr:1_{B8979B49-A769-459C-AE3F-7C402E030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B47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<sst xmlns="http://schemas.openxmlformats.org/spreadsheetml/2006/main" count="423" uniqueCount="127">
  <si>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</si>
  <si>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</si>
  <si>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</si>
  <si>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</si>
  <si>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</si>
  <si>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</si>
  <si>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</si>
  <si>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</si>
  <si>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</si>
  <si>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</si>
  <si>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</si>
  <si>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</si>
  <si>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</si>
  <si>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</si>
  <si>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</si>
  <si>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</si>
  <si>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</si>
  <si>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</si>
  <si>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</si>
  <si>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</si>
  <si>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</si>
  <si>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</si>
  <si>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</si>
  <si>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</si>
  <si>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</si>
  <si>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</si>
  <si>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</si>
  <si>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</si>
  <si>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</si>
  <si>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</si>
  <si>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</si>
  <si>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</si>
  <si>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</si>
  <si>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</si>
  <si>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</si>
  <si>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</si>
  <si>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</si>
  <si>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</si>
  <si>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</si>
  <si>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</si>
  <si>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</si>
  <si>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</si>
  <si>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</si>
  <si>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</si>
  <si>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</si>
  <si>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</si>
  <si>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</si>
  <si>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</si>
  <si>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</si>
  <si>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</si>
  <si>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</si>
  <si>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</si>
  <si>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</si>
  <si>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</si>
  <si>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</si>
  <si>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</si>
  <si>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</si>
  <si>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</si>
  <si>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</si>
  <si>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</si>
  <si>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</si>
  <si>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</si>
  <si>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</si>
  <si>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</si>
  <si>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</si>
  <si>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</si>
  <si>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</si>
  <si>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</si>
  <si>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</si>
  <si>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</si>
  <si>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</si>
  <si>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</si>
  <si>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</si>
  <si>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</si>
  <si>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</si>
  <si>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</si>
  <si>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</si>
  <si>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</si>
  <si>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</si>
  <si>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</si>
  <si>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</si>
  <si>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</si>
  <si>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</si>
  <si>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</si>
  <si>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</si>
  <si>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</si>
  <si>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</si>
  <si>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</si>
  <si>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</si>
  <si>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</si>
  <si>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</si>
  <si>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</si>
  <si>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</si>
  <si>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</si>
  <si>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</si>
  <si>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</si>
  <si>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</si>
  <si>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</si>
  <si>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</si>
  <si>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</si>
  <si>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</si>
  <si>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</si>
  <si>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</si>
  <si>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</si>
  <si>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</si>
  <si>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</si>
  <si>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</si>
  <si>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</si>
  <si>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</si>
  <si>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</si>
  <si>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</si>
  <si>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</si>
  <si>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</si>
  <si>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</si>
  <si>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</si>
  <si>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</si>
  <si>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</si>
  <si>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</si>
  <si>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</si>
  <si>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31/01/2023</t>
  </si>
  <si>
    <t>Febrero 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</si>
  <si>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ut="02/14/2023 12:10:51" si="2.00000001efef40b67f7f7ee5bbc1b5af8f2325369abbced11be1d2b2325ba14864a7dbcc5e08a2aba0a4562d19d78a5c794e92b5d2ff4ac74add9160829de3ba838c87407b820870aa068156686e077e0f7e100920e0724bbd0b2a6940ac879df90ddc1ec92df01174606c1997295db1195b6a20c2d91b6232a4a23da77d43364ab5a7f2ea96cc1d260f9f967510c0b65d343d7e981b618e1575fea7dd804bbe9b67.p.3082.0.1.Europe/Madrid.upriv*_1*_pidn2*_85*_session*-lat*_1.00000001dda54e62408dcc72d62e269d3c73e738bc6025e0ad7f5d96e7922f75a7a9897651753ad26adb91957b4a3ca80ae9215c4c6f080f.00000001fb9b574ca4090c7e6a05bf426fb34844bc6025e07fbb4936d8dafbf72e40b1e915668c991d357374ad2e11b4cbfb81764f4aa8c0.0.1.1.BDEbi.D066E1C611E6257C10D00080EF253B44.0-3082.1.1_-0.1.0_-3082.1.1_5.5.0.*0.0000000142776c4e8770b09e7122c34369d34b4ec911585acf9b82bd93702bf80719987d207c6298.0.23.11*.2*.0400*.31152J.e.00000001ca1336911d3c45d16a4c4368d589edc8c911585ac4d0e5213d43f3b8ae43e2d25c56a0d5.0.10*.131*.122*.122.0.0" msgID="9A51CEEF11EDAC60CD200080EFD51D39"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</si>
  <si>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ut="02/14/2023 12:13:29" si="2.00000001efef40b67f7f7ee5bbc1b5af8f2325369abbced11be1d2b2325ba14864a7dbcc5e08a2aba0a4562d19d78a5c794e92b5d2ff4ac74add9160829de3ba838c87407b820870aa068156686e077e0f7e100920e0724bbd0b2a6940ac879df90ddc1ec92df01174606c1997295db1195b6a20c2d91b6232a4a23da77d43364ab5a7f2ea96cc1d260f9f967510c0b65d343d7e981b618e1575fea7dd804bbe9b67.p.3082.0.1.Europe/Madrid.upriv*_1*_pidn2*_85*_session*-lat*_1.00000001dda54e62408dcc72d62e269d3c73e738bc6025e0ad7f5d96e7922f75a7a9897651753ad26adb91957b4a3ca80ae9215c4c6f080f.00000001fb9b574ca4090c7e6a05bf426fb34844bc6025e07fbb4936d8dafbf72e40b1e915668c991d357374ad2e11b4cbfb81764f4aa8c0.0.1.1.BDEbi.D066E1C611E6257C10D00080EF253B44.0-3082.1.1_-0.1.0_-3082.1.1_5.5.0.*0.0000000142776c4e8770b09e7122c34369d34b4ec911585acf9b82bd93702bf80719987d207c6298.0.23.11*.2*.0400*.31152J.e.00000001ca1336911d3c45d16a4c4368d589edc8c911585ac4d0e5213d43f3b8ae43e2d25c56a0d5.0.10*.131*.122*.122.0.0" msgID="A8AB919711EDAC60CD200080EF755D3A"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nrr="1258" nrc="2368"&gt;&lt;pg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</si>
  <si>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ut="02/14/2023 12:19:13" si="2.00000001efef40b67f7f7ee5bbc1b5af8f2325369abbced11be1d2b2325ba14864a7dbcc5e08a2aba0a4562d19d78a5c794e92b5d2ff4ac74add9160829de3ba838c87407b820870aa068156686e077e0f7e100920e0724bbd0b2a6940ac879df90ddc1ec92df01174606c1997295db1195b6a20c2d91b6232a4a23da77d43364ab5a7f2ea96cc1d260f9f967510c0b65d343d7e981b618e1575fea7dd804bbe9b67.p.3082.0.1.Europe/Madrid.upriv*_1*_pidn2*_85*_session*-lat*_1.00000001dda54e62408dcc72d62e269d3c73e738bc6025e0ad7f5d96e7922f75a7a9897651753ad26adb91957b4a3ca80ae9215c4c6f080f.00000001fb9b574ca4090c7e6a05bf426fb34844bc6025e07fbb4936d8dafbf72e40b1e915668c991d357374ad2e11b4cbfb81764f4aa8c0.0.1.1.BDEbi.D066E1C611E6257C10D00080EF253B44.0-3082.1.1_-0.1.0_-3082.1.1_5.5.0.*0.0000000142776c4e8770b09e7122c34369d34b4ec911585acf9b82bd93702bf80719987d207c6298.0.23.11*.2*.0400*.31152J.e.00000001ca1336911d3c45d16a4c4368d589edc8c911585ac4d0e5213d43f3b8ae43e2d25c56a0d5.0.10*.131*.122*.122.0.0" msgID="5ABE5E1911EDAC61CD200080EF45FC38"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cols="16" /&gt;&lt;esdo ews="" ece="" ptn="" /&gt;&lt;/excel&gt;&lt;pgs&gt;&lt;pg rows="27" cols="14" nrr="1791" nrc="1397"&gt;&lt;pg /&gt;&lt;bls&gt;&lt;bl sr="1" sc="1" rfetch="27" cfetch="14" posid="1" darows="0" dacols="1"&gt;&lt;excel&gt;&lt;epo ews="Dat_01" ece="A85" enr="MSTR.Serie_Balance_B.C._Mensual_Baleares_y_Canarias" ptn="" qtn="" rows="30" cols="16" /&gt;&lt;esdo ews="" ece="" ptn="" /&gt;&lt;/excel&gt;&lt;gridRng&gt;&lt;sect id="TITLE_AREA" rngprop="1:1:3:2" /&gt;&lt;sect id="ROWHEADERS_AREA" rngprop="4:1:27:2" /&gt;&lt;sect id="COLUMNHEADERS_AREA" rngprop="1:3:3:14" /&gt;&lt;sect id="DATA_AREA" rngprop="4:3:27:14"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</si>
  <si>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ut="02/14/2023 12:20:11" si="2.000000017247298aa3e84b566f1c851fadd14b3753db9c9159000eb2595ef7ed2593ae2c834437c56dd0642faedacce07de7b9ae23c4f36ec518f428eddcf37d3e726b3d3d6e95f4bcb41e4c9431152170e23fc878681a03d8bd4c25db850fcee6941cac19d6d2a57424338bc4bf796f8ef37946232600a05f27e2677cceec6f671e29a9076053d76d540d31cd30926c8ff95b4b4568b3c419526a36c84f7fbad4fe.p.3082.0.1.Europe/Madrid.upriv*_1*_pidn2*_85*_session*-lat*_1.00000001654392d1a2fe5ba34c4b07424fabb498bc6025e01b114d047960619764568bf0bc793e1d45b796277bb5639703650b3051eed445.00000001da5244c72e8acb7162b4846b5cc18d8cbc6025e0f2c064a5f86b0932c3c7e27edde9a12b5b30ead7c27bc7c9840c690981c7ed7c.0.1.1.BDEbi.D066E1C611E6257C10D00080EF253B44.0-3082.1.1_-0.1.0_-3082.1.1_5.5.0.*0.0000000136160235451c2981117339766f0177a1c911585ac48729ea2e68c0ca0f56ede46416591a.0.23.11*.2*.0400*.31152J.e.00000001607f0bc9d82d8c21e0fdb9ed0d54ac7dc911585a6eec6b10d925a53a08b7186931ee7a45.0.10*.131*.122*.122.0.0" msgID="E5720D2B11EDAC61CD200080EFF55D39"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nrr="100" nrc="636"&gt;&lt;pg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</si>
  <si>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150e001f9cb94d469b2a53485e203cc2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</si>
  <si>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ut="02/14/2023 12:20:36" si="2.000000017247298aa3e84b566f1c851fadd14b3753db9c9159000eb2595ef7ed2593ae2c834437c56dd0642faedacce07de7b9ae23c4f36ec518f428eddcf37d3e726b3d3d6e95f4bcb41e4c9431152170e23fc878681a03d8bd4c25db850fcee6941cac19d6d2a57424338bc4bf796f8ef37946232600a05f27e2677cceec6f671e29a9076053d76d540d31cd30926c8ff95b4b4568b3c419526a36c84f7fbad4fe.p.3082.0.1.Europe/Madrid.upriv*_1*_pidn2*_85*_session*-lat*_1.00000001654392d1a2fe5ba34c4b07424fabb498bc6025e01b114d047960619764568bf0bc793e1d45b796277bb5639703650b3051eed445.00000001da5244c72e8acb7162b4846b5cc18d8cbc6025e0f2c064a5f86b0932c3c7e27edde9a12b5b30ead7c27bc7c9840c690981c7ed7c.0.1.1.BDEbi.D066E1C611E6257C10D00080EF253B44.0-3082.1.1_-0.1.0_-3082.1.1_5.5.0.*0.0000000136160235451c2981117339766f0177a1c911585ac48729ea2e68c0ca0f56ede46416591a.0.23.11*.2*.0400*.31152J.e.00000001607f0bc9d82d8c21e0fdb9ed0d54ac7dc911585a6eec6b10d925a53a08b7186931ee7a45.0.10*.131*.122*.122.0.0" msgID="F5AADE5711EDAC61CD200080EF45FD3A"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nrr="55" nrc="672"&gt;&lt;pg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</si>
</sst>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6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>
      <alignment horizontal="right" vertical="center"/>
    </xf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6565802445426034"/>
                  <c:y val="-0.13699822448664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1.1129279309195994</c:v>
                </c:pt>
                <c:pt idx="2">
                  <c:v>10.953135678336123</c:v>
                </c:pt>
                <c:pt idx="3">
                  <c:v>52.416617801645039</c:v>
                </c:pt>
                <c:pt idx="4">
                  <c:v>0</c:v>
                </c:pt>
                <c:pt idx="5">
                  <c:v>0.67770440794784181</c:v>
                </c:pt>
                <c:pt idx="6">
                  <c:v>1.6327811949069455</c:v>
                </c:pt>
                <c:pt idx="7">
                  <c:v>1.6327811949069455</c:v>
                </c:pt>
                <c:pt idx="8">
                  <c:v>4.7846819382515206E-2</c:v>
                </c:pt>
                <c:pt idx="9">
                  <c:v>4.0145078352022292</c:v>
                </c:pt>
                <c:pt idx="10">
                  <c:v>2.0761567309033821E-2</c:v>
                </c:pt>
                <c:pt idx="11">
                  <c:v>27.490935569443746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11.383450166727545</c:v>
                </c:pt>
                <c:pt idx="1">
                  <c:v>6.5789923434569646</c:v>
                </c:pt>
                <c:pt idx="2">
                  <c:v>28.46334492352149</c:v>
                </c:pt>
                <c:pt idx="3">
                  <c:v>38.836820655887635</c:v>
                </c:pt>
                <c:pt idx="4">
                  <c:v>0</c:v>
                </c:pt>
                <c:pt idx="5">
                  <c:v>0.54382875734328973</c:v>
                </c:pt>
                <c:pt idx="6">
                  <c:v>1.7650955067811367</c:v>
                </c:pt>
                <c:pt idx="7">
                  <c:v>1.7650955067811367</c:v>
                </c:pt>
                <c:pt idx="8">
                  <c:v>0.17025620429713773</c:v>
                </c:pt>
                <c:pt idx="9">
                  <c:v>10.392590442437776</c:v>
                </c:pt>
                <c:pt idx="10">
                  <c:v>0.10052549276587756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-0.627467</c:v>
                </c:pt>
                <c:pt idx="1">
                  <c:v>-0.58012699999999995</c:v>
                </c:pt>
                <c:pt idx="2">
                  <c:v>-0.66887300000000005</c:v>
                </c:pt>
                <c:pt idx="3">
                  <c:v>-0.60548299999999999</c:v>
                </c:pt>
                <c:pt idx="4">
                  <c:v>-1.0302370000000001</c:v>
                </c:pt>
                <c:pt idx="5">
                  <c:v>29.141857000000002</c:v>
                </c:pt>
                <c:pt idx="6">
                  <c:v>50.189168000000002</c:v>
                </c:pt>
                <c:pt idx="7">
                  <c:v>5.2653150000000002</c:v>
                </c:pt>
                <c:pt idx="8">
                  <c:v>-0.60380599999999995</c:v>
                </c:pt>
                <c:pt idx="9">
                  <c:v>-0.613232</c:v>
                </c:pt>
                <c:pt idx="10">
                  <c:v>-0.58811800000000003</c:v>
                </c:pt>
                <c:pt idx="11">
                  <c:v>-0.62679200000000002</c:v>
                </c:pt>
                <c:pt idx="12">
                  <c:v>-0.72771799999999998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46.216616000000002</c:v>
                </c:pt>
                <c:pt idx="1">
                  <c:v>39.304194000000003</c:v>
                </c:pt>
                <c:pt idx="2">
                  <c:v>43.217820000000003</c:v>
                </c:pt>
                <c:pt idx="3">
                  <c:v>55.506872999999999</c:v>
                </c:pt>
                <c:pt idx="4">
                  <c:v>70.042819000000009</c:v>
                </c:pt>
                <c:pt idx="5">
                  <c:v>85.898263999999998</c:v>
                </c:pt>
                <c:pt idx="6">
                  <c:v>121.496702</c:v>
                </c:pt>
                <c:pt idx="7">
                  <c:v>132.46422999999999</c:v>
                </c:pt>
                <c:pt idx="8">
                  <c:v>93.246324000000001</c:v>
                </c:pt>
                <c:pt idx="9">
                  <c:v>60.668753000000002</c:v>
                </c:pt>
                <c:pt idx="10">
                  <c:v>32.393524999999997</c:v>
                </c:pt>
                <c:pt idx="11">
                  <c:v>28.980339000000001</c:v>
                </c:pt>
                <c:pt idx="12">
                  <c:v>54.403029000000004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350.086611</c:v>
                </c:pt>
                <c:pt idx="1">
                  <c:v>298.62258500000002</c:v>
                </c:pt>
                <c:pt idx="2">
                  <c:v>331.00133499999998</c:v>
                </c:pt>
                <c:pt idx="3">
                  <c:v>307.42903200000001</c:v>
                </c:pt>
                <c:pt idx="4">
                  <c:v>317.55595499999998</c:v>
                </c:pt>
                <c:pt idx="5">
                  <c:v>367.58788099999998</c:v>
                </c:pt>
                <c:pt idx="6">
                  <c:v>396.959791</c:v>
                </c:pt>
                <c:pt idx="7">
                  <c:v>456.377207</c:v>
                </c:pt>
                <c:pt idx="8">
                  <c:v>377.07382699999999</c:v>
                </c:pt>
                <c:pt idx="9">
                  <c:v>297.32130999999998</c:v>
                </c:pt>
                <c:pt idx="10">
                  <c:v>234.47985499999999</c:v>
                </c:pt>
                <c:pt idx="11">
                  <c:v>251.18496099999999</c:v>
                </c:pt>
                <c:pt idx="12">
                  <c:v>236.33414099999999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0.215638</c:v>
                </c:pt>
                <c:pt idx="1">
                  <c:v>0.22824</c:v>
                </c:pt>
                <c:pt idx="2">
                  <c:v>0.33845999999999998</c:v>
                </c:pt>
                <c:pt idx="3">
                  <c:v>0.239788</c:v>
                </c:pt>
                <c:pt idx="4">
                  <c:v>0.16079099999999999</c:v>
                </c:pt>
                <c:pt idx="5">
                  <c:v>6.1122000000000003E-2</c:v>
                </c:pt>
                <c:pt idx="6">
                  <c:v>3.0289E-2</c:v>
                </c:pt>
                <c:pt idx="7">
                  <c:v>3.2219999999999999E-2</c:v>
                </c:pt>
                <c:pt idx="8">
                  <c:v>1.2760000000000001E-2</c:v>
                </c:pt>
                <c:pt idx="9">
                  <c:v>2.8530000000000001E-3</c:v>
                </c:pt>
                <c:pt idx="10">
                  <c:v>2.5883E-2</c:v>
                </c:pt>
                <c:pt idx="11">
                  <c:v>0.100989</c:v>
                </c:pt>
                <c:pt idx="12">
                  <c:v>0.21573000000000001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14.437344</c:v>
                </c:pt>
                <c:pt idx="1">
                  <c:v>17.860306999999999</c:v>
                </c:pt>
                <c:pt idx="2">
                  <c:v>13.718277</c:v>
                </c:pt>
                <c:pt idx="3">
                  <c:v>22.443795999999999</c:v>
                </c:pt>
                <c:pt idx="4">
                  <c:v>27.347473999999998</c:v>
                </c:pt>
                <c:pt idx="5">
                  <c:v>29.225943999999998</c:v>
                </c:pt>
                <c:pt idx="6">
                  <c:v>33.049954</c:v>
                </c:pt>
                <c:pt idx="7">
                  <c:v>29.653044000000001</c:v>
                </c:pt>
                <c:pt idx="8">
                  <c:v>25.055993000000001</c:v>
                </c:pt>
                <c:pt idx="9">
                  <c:v>23.236149000000001</c:v>
                </c:pt>
                <c:pt idx="10">
                  <c:v>17.029163</c:v>
                </c:pt>
                <c:pt idx="11">
                  <c:v>14.799557</c:v>
                </c:pt>
                <c:pt idx="12">
                  <c:v>18.100466999999998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0.285244</c:v>
                </c:pt>
                <c:pt idx="1">
                  <c:v>0.28095199999999998</c:v>
                </c:pt>
                <c:pt idx="2">
                  <c:v>0.29118100000000002</c:v>
                </c:pt>
                <c:pt idx="3">
                  <c:v>0.16531499999999999</c:v>
                </c:pt>
                <c:pt idx="4">
                  <c:v>0.166327</c:v>
                </c:pt>
                <c:pt idx="5">
                  <c:v>0.111179</c:v>
                </c:pt>
                <c:pt idx="6">
                  <c:v>9.5128000000000004E-2</c:v>
                </c:pt>
                <c:pt idx="7">
                  <c:v>5.6752999999999998E-2</c:v>
                </c:pt>
                <c:pt idx="8">
                  <c:v>7.1822999999999998E-2</c:v>
                </c:pt>
                <c:pt idx="9">
                  <c:v>9.6991999999999995E-2</c:v>
                </c:pt>
                <c:pt idx="10">
                  <c:v>8.4503999999999996E-2</c:v>
                </c:pt>
                <c:pt idx="11">
                  <c:v>7.7099000000000001E-2</c:v>
                </c:pt>
                <c:pt idx="12">
                  <c:v>9.3608999999999998E-2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3.4010050000000001</c:v>
                </c:pt>
                <c:pt idx="1">
                  <c:v>3.0684070000000001</c:v>
                </c:pt>
                <c:pt idx="2">
                  <c:v>3.993204</c:v>
                </c:pt>
                <c:pt idx="3">
                  <c:v>1.8386769999999999</c:v>
                </c:pt>
                <c:pt idx="4">
                  <c:v>1.9461250000000001</c:v>
                </c:pt>
                <c:pt idx="5">
                  <c:v>1.5363420000000001</c:v>
                </c:pt>
                <c:pt idx="6">
                  <c:v>1.1719729999999999</c:v>
                </c:pt>
                <c:pt idx="7">
                  <c:v>5.1333999999999998E-2</c:v>
                </c:pt>
                <c:pt idx="8">
                  <c:v>2.0373130000000002</c:v>
                </c:pt>
                <c:pt idx="9">
                  <c:v>1.826864</c:v>
                </c:pt>
                <c:pt idx="10">
                  <c:v>2.5541079999999998</c:v>
                </c:pt>
                <c:pt idx="11">
                  <c:v>2.6199620000000001</c:v>
                </c:pt>
                <c:pt idx="12">
                  <c:v>3.055609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9.8711500000000001</c:v>
                </c:pt>
                <c:pt idx="1">
                  <c:v>5.4414375000000001</c:v>
                </c:pt>
                <c:pt idx="2">
                  <c:v>9.6633200000000006</c:v>
                </c:pt>
                <c:pt idx="3">
                  <c:v>7.8050050000000004</c:v>
                </c:pt>
                <c:pt idx="4">
                  <c:v>11.846197500000001</c:v>
                </c:pt>
                <c:pt idx="5">
                  <c:v>13.186323</c:v>
                </c:pt>
                <c:pt idx="6">
                  <c:v>16.1606655</c:v>
                </c:pt>
                <c:pt idx="7">
                  <c:v>13.6723105</c:v>
                </c:pt>
                <c:pt idx="8">
                  <c:v>13.5816645</c:v>
                </c:pt>
                <c:pt idx="9">
                  <c:v>11.230755</c:v>
                </c:pt>
                <c:pt idx="10">
                  <c:v>10.188828000000001</c:v>
                </c:pt>
                <c:pt idx="11">
                  <c:v>10.4136255</c:v>
                </c:pt>
                <c:pt idx="12">
                  <c:v>7.3618245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9.8711500000000001</c:v>
                </c:pt>
                <c:pt idx="1">
                  <c:v>5.4414375000000001</c:v>
                </c:pt>
                <c:pt idx="2">
                  <c:v>9.6633200000000006</c:v>
                </c:pt>
                <c:pt idx="3">
                  <c:v>7.8050050000000004</c:v>
                </c:pt>
                <c:pt idx="4">
                  <c:v>11.846197500000001</c:v>
                </c:pt>
                <c:pt idx="5">
                  <c:v>13.186323</c:v>
                </c:pt>
                <c:pt idx="6">
                  <c:v>16.1606655</c:v>
                </c:pt>
                <c:pt idx="7">
                  <c:v>13.6723105</c:v>
                </c:pt>
                <c:pt idx="8">
                  <c:v>13.5816645</c:v>
                </c:pt>
                <c:pt idx="9">
                  <c:v>11.230755</c:v>
                </c:pt>
                <c:pt idx="10">
                  <c:v>10.188828000000001</c:v>
                </c:pt>
                <c:pt idx="11">
                  <c:v>10.4136255</c:v>
                </c:pt>
                <c:pt idx="12">
                  <c:v>7.3618245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31.159338999999999</c:v>
                </c:pt>
                <c:pt idx="1">
                  <c:v>27.502502</c:v>
                </c:pt>
                <c:pt idx="2">
                  <c:v>30.689281000000001</c:v>
                </c:pt>
                <c:pt idx="3">
                  <c:v>33.641058999999998</c:v>
                </c:pt>
                <c:pt idx="4">
                  <c:v>32.047055999999998</c:v>
                </c:pt>
                <c:pt idx="5">
                  <c:v>35.225064000000003</c:v>
                </c:pt>
                <c:pt idx="6">
                  <c:v>67.033137999999994</c:v>
                </c:pt>
                <c:pt idx="7">
                  <c:v>77.653036</c:v>
                </c:pt>
                <c:pt idx="8">
                  <c:v>70.647335999999996</c:v>
                </c:pt>
                <c:pt idx="9">
                  <c:v>61.365385000000003</c:v>
                </c:pt>
                <c:pt idx="10">
                  <c:v>55.991686000000001</c:v>
                </c:pt>
                <c:pt idx="11">
                  <c:v>79.778822000000005</c:v>
                </c:pt>
                <c:pt idx="12">
                  <c:v>123.950131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15.286108537743488</c:v>
                </c:pt>
                <c:pt idx="1">
                  <c:v>16.324011609035193</c:v>
                </c:pt>
                <c:pt idx="2">
                  <c:v>15.129372948602487</c:v>
                </c:pt>
                <c:pt idx="3">
                  <c:v>27.127795768524347</c:v>
                </c:pt>
                <c:pt idx="4">
                  <c:v>1.1974599010372433</c:v>
                </c:pt>
                <c:pt idx="5">
                  <c:v>4.764761909886412E-2</c:v>
                </c:pt>
                <c:pt idx="6">
                  <c:v>0.35484937381522491</c:v>
                </c:pt>
                <c:pt idx="7">
                  <c:v>17.97177285767453</c:v>
                </c:pt>
                <c:pt idx="8">
                  <c:v>6.4451224369755966</c:v>
                </c:pt>
                <c:pt idx="9">
                  <c:v>0.1158589474930275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4959349593495935"/>
                  <c:y val="-0.12886508176862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3008130081300817"/>
                  <c:y val="-0.131221630384437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6.0162729658792651E-2"/>
                  <c:y val="-0.138400301065308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2845656488061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20.826462325241504</c:v>
                </c:pt>
                <c:pt idx="1">
                  <c:v>2.0541463453905879</c:v>
                </c:pt>
                <c:pt idx="2">
                  <c:v>16.425719998703258</c:v>
                </c:pt>
                <c:pt idx="3">
                  <c:v>38.885368899016903</c:v>
                </c:pt>
                <c:pt idx="4">
                  <c:v>0</c:v>
                </c:pt>
                <c:pt idx="5">
                  <c:v>3.8266944597153109E-2</c:v>
                </c:pt>
                <c:pt idx="6">
                  <c:v>0.2295535164316117</c:v>
                </c:pt>
                <c:pt idx="7">
                  <c:v>18.369796013005345</c:v>
                </c:pt>
                <c:pt idx="8">
                  <c:v>3.0615619497300175</c:v>
                </c:pt>
                <c:pt idx="9">
                  <c:v>0.10912400788362379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0.294213</c:v>
                </c:pt>
                <c:pt idx="1">
                  <c:v>0.25058200000000003</c:v>
                </c:pt>
                <c:pt idx="2">
                  <c:v>0.29644599999999999</c:v>
                </c:pt>
                <c:pt idx="3">
                  <c:v>0.27407199999999998</c:v>
                </c:pt>
                <c:pt idx="4">
                  <c:v>0.29880499999999999</c:v>
                </c:pt>
                <c:pt idx="5">
                  <c:v>0.28138299999999999</c:v>
                </c:pt>
                <c:pt idx="6">
                  <c:v>0.29436099999999998</c:v>
                </c:pt>
                <c:pt idx="7">
                  <c:v>0.29274699999999998</c:v>
                </c:pt>
                <c:pt idx="8">
                  <c:v>0.28892499999999999</c:v>
                </c:pt>
                <c:pt idx="9">
                  <c:v>0.29362700000000003</c:v>
                </c:pt>
                <c:pt idx="10">
                  <c:v>0.27748800000000001</c:v>
                </c:pt>
                <c:pt idx="11">
                  <c:v>0.28889599999999999</c:v>
                </c:pt>
                <c:pt idx="12">
                  <c:v>0.27497500000000002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282.52956800000004</c:v>
                </c:pt>
                <c:pt idx="1">
                  <c:v>254.21433599999997</c:v>
                </c:pt>
                <c:pt idx="2">
                  <c:v>285.51521100000002</c:v>
                </c:pt>
                <c:pt idx="3">
                  <c:v>258.29193100000003</c:v>
                </c:pt>
                <c:pt idx="4">
                  <c:v>244.42555600000003</c:v>
                </c:pt>
                <c:pt idx="5">
                  <c:v>215.54716999999999</c:v>
                </c:pt>
                <c:pt idx="6">
                  <c:v>238.316866</c:v>
                </c:pt>
                <c:pt idx="7">
                  <c:v>264.80307199999999</c:v>
                </c:pt>
                <c:pt idx="8">
                  <c:v>286.04636799999997</c:v>
                </c:pt>
                <c:pt idx="9">
                  <c:v>308.95148699999999</c:v>
                </c:pt>
                <c:pt idx="10">
                  <c:v>271.88263999999998</c:v>
                </c:pt>
                <c:pt idx="11">
                  <c:v>312.87707</c:v>
                </c:pt>
                <c:pt idx="12">
                  <c:v>282.44370800000002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350.33219100000002</c:v>
                </c:pt>
                <c:pt idx="1">
                  <c:v>285.34500700000001</c:v>
                </c:pt>
                <c:pt idx="2">
                  <c:v>288.52109999999999</c:v>
                </c:pt>
                <c:pt idx="3">
                  <c:v>265.37271800000002</c:v>
                </c:pt>
                <c:pt idx="4">
                  <c:v>303.45663500000001</c:v>
                </c:pt>
                <c:pt idx="5">
                  <c:v>283.58392400000002</c:v>
                </c:pt>
                <c:pt idx="6">
                  <c:v>295.51749599999999</c:v>
                </c:pt>
                <c:pt idx="7">
                  <c:v>269.79137200000002</c:v>
                </c:pt>
                <c:pt idx="8">
                  <c:v>285.29845599999999</c:v>
                </c:pt>
                <c:pt idx="9">
                  <c:v>305.38632699999999</c:v>
                </c:pt>
                <c:pt idx="10">
                  <c:v>309.74341800000002</c:v>
                </c:pt>
                <c:pt idx="11">
                  <c:v>347.66188299999999</c:v>
                </c:pt>
                <c:pt idx="12">
                  <c:v>279.418815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1.110916</c:v>
                </c:pt>
                <c:pt idx="1">
                  <c:v>1.4820450000000001</c:v>
                </c:pt>
                <c:pt idx="2">
                  <c:v>2.1263230000000002</c:v>
                </c:pt>
                <c:pt idx="3">
                  <c:v>1.7525280000000001</c:v>
                </c:pt>
                <c:pt idx="4">
                  <c:v>1.9171739999999999</c:v>
                </c:pt>
                <c:pt idx="5">
                  <c:v>2.44956</c:v>
                </c:pt>
                <c:pt idx="6">
                  <c:v>3.5629430000000002</c:v>
                </c:pt>
                <c:pt idx="7">
                  <c:v>3.5176750000000001</c:v>
                </c:pt>
                <c:pt idx="8">
                  <c:v>2.0750950000000001</c:v>
                </c:pt>
                <c:pt idx="9">
                  <c:v>1.3500719999999999</c:v>
                </c:pt>
                <c:pt idx="10">
                  <c:v>1.1694089999999999</c:v>
                </c:pt>
                <c:pt idx="11">
                  <c:v>0.36710399999999999</c:v>
                </c:pt>
                <c:pt idx="12">
                  <c:v>1.6495040000000001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60.12574</c:v>
                </c:pt>
                <c:pt idx="1">
                  <c:v>88.964033999999998</c:v>
                </c:pt>
                <c:pt idx="2">
                  <c:v>109.414616</c:v>
                </c:pt>
                <c:pt idx="3">
                  <c:v>120.73900500000001</c:v>
                </c:pt>
                <c:pt idx="4">
                  <c:v>116.77421</c:v>
                </c:pt>
                <c:pt idx="5">
                  <c:v>159.50470799999999</c:v>
                </c:pt>
                <c:pt idx="6">
                  <c:v>180.96485300000001</c:v>
                </c:pt>
                <c:pt idx="7">
                  <c:v>183.70770899999999</c:v>
                </c:pt>
                <c:pt idx="8">
                  <c:v>123.26133799999999</c:v>
                </c:pt>
                <c:pt idx="9">
                  <c:v>85.114315000000005</c:v>
                </c:pt>
                <c:pt idx="10">
                  <c:v>102.415227</c:v>
                </c:pt>
                <c:pt idx="11">
                  <c:v>37.762255000000003</c:v>
                </c:pt>
                <c:pt idx="12">
                  <c:v>131.99994699999999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18.056702999999999</c:v>
                </c:pt>
                <c:pt idx="1">
                  <c:v>18.872744999999998</c:v>
                </c:pt>
                <c:pt idx="2">
                  <c:v>25.047723999999999</c:v>
                </c:pt>
                <c:pt idx="3">
                  <c:v>26.389223999999999</c:v>
                </c:pt>
                <c:pt idx="4">
                  <c:v>32.969079000000001</c:v>
                </c:pt>
                <c:pt idx="5">
                  <c:v>30.72391</c:v>
                </c:pt>
                <c:pt idx="6">
                  <c:v>34.258988000000002</c:v>
                </c:pt>
                <c:pt idx="7">
                  <c:v>32.216773000000003</c:v>
                </c:pt>
                <c:pt idx="8">
                  <c:v>26.500267000000001</c:v>
                </c:pt>
                <c:pt idx="9">
                  <c:v>26.61814</c:v>
                </c:pt>
                <c:pt idx="10">
                  <c:v>23.099277000000001</c:v>
                </c:pt>
                <c:pt idx="11">
                  <c:v>18.862687999999999</c:v>
                </c:pt>
                <c:pt idx="12">
                  <c:v>21.999483000000001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ene.-22</c:v>
                </c:pt>
                <c:pt idx="1">
                  <c:v>feb.-22</c:v>
                </c:pt>
                <c:pt idx="2">
                  <c:v>mar.-22</c:v>
                </c:pt>
                <c:pt idx="3">
                  <c:v>abr.-22</c:v>
                </c:pt>
                <c:pt idx="4">
                  <c:v>may.-22</c:v>
                </c:pt>
                <c:pt idx="5">
                  <c:v>jun.-22</c:v>
                </c:pt>
                <c:pt idx="6">
                  <c:v>jul.-22</c:v>
                </c:pt>
                <c:pt idx="7">
                  <c:v>ago.-22</c:v>
                </c:pt>
                <c:pt idx="8">
                  <c:v>sep.-22</c:v>
                </c:pt>
                <c:pt idx="9">
                  <c:v>oct.-22</c:v>
                </c:pt>
                <c:pt idx="10">
                  <c:v>nov.-22</c:v>
                </c:pt>
                <c:pt idx="11">
                  <c:v>dic.-22</c:v>
                </c:pt>
                <c:pt idx="12">
                  <c:v>ene.-23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0.86053100000000005</c:v>
                </c:pt>
                <c:pt idx="1">
                  <c:v>0.72069799999999995</c:v>
                </c:pt>
                <c:pt idx="2">
                  <c:v>0.90984399999999999</c:v>
                </c:pt>
                <c:pt idx="3">
                  <c:v>0.61352399999999996</c:v>
                </c:pt>
                <c:pt idx="4">
                  <c:v>0.72146399999999999</c:v>
                </c:pt>
                <c:pt idx="5">
                  <c:v>0.696106</c:v>
                </c:pt>
                <c:pt idx="6">
                  <c:v>0.688222</c:v>
                </c:pt>
                <c:pt idx="7">
                  <c:v>0.71531400000000001</c:v>
                </c:pt>
                <c:pt idx="8">
                  <c:v>0.714812</c:v>
                </c:pt>
                <c:pt idx="9">
                  <c:v>0.73132799999999998</c:v>
                </c:pt>
                <c:pt idx="10">
                  <c:v>0.76498500000000003</c:v>
                </c:pt>
                <c:pt idx="11">
                  <c:v>0.78453200000000001</c:v>
                </c:pt>
                <c:pt idx="12">
                  <c:v>0.78413299999999997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Enero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9" zoomScaleNormal="100" workbookViewId="0">
      <selection activeCell="C32" sqref="C32"/>
    </sheetView>
  </sheetViews>
  <sheetFormatPr baseColWidth="10" defaultColWidth="11.42578125" defaultRowHeight="12"/>
  <cols>
    <col min="1" max="1" width="8.8554687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118</v>
      </c>
      <c r="B2" s="133" t="s">
        <v>119</v>
      </c>
    </row>
    <row r="4" spans="1:33" ht="15">
      <c r="A4" s="134" t="s">
        <v>67</v>
      </c>
      <c r="B4" s="197" t="s">
        <v>118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</row>
    <row r="5" spans="1:33" ht="15">
      <c r="A5" s="134" t="s">
        <v>68</v>
      </c>
      <c r="B5" s="213" t="s">
        <v>15</v>
      </c>
      <c r="C5" s="214"/>
      <c r="D5" s="214"/>
      <c r="E5" s="214"/>
      <c r="F5" s="214"/>
      <c r="G5" s="214"/>
      <c r="H5" s="214"/>
      <c r="I5" s="215"/>
      <c r="J5" s="213" t="s">
        <v>14</v>
      </c>
      <c r="K5" s="214"/>
      <c r="L5" s="214"/>
      <c r="M5" s="214"/>
      <c r="N5" s="214"/>
      <c r="O5" s="214"/>
      <c r="P5" s="214"/>
      <c r="Q5" s="215"/>
      <c r="R5" s="213" t="s">
        <v>57</v>
      </c>
      <c r="S5" s="214"/>
      <c r="T5" s="214"/>
      <c r="U5" s="214"/>
      <c r="V5" s="214"/>
      <c r="W5" s="214"/>
      <c r="X5" s="214"/>
      <c r="Y5" s="215"/>
      <c r="Z5" s="213" t="s">
        <v>58</v>
      </c>
      <c r="AA5" s="214"/>
      <c r="AB5" s="214"/>
      <c r="AC5" s="214"/>
      <c r="AD5" s="214"/>
      <c r="AE5" s="214"/>
      <c r="AF5" s="214"/>
      <c r="AG5" s="214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3">
        <v>0</v>
      </c>
      <c r="C8" s="173">
        <v>0</v>
      </c>
      <c r="D8" s="174">
        <v>0</v>
      </c>
      <c r="E8" s="173">
        <v>0</v>
      </c>
      <c r="F8" s="173">
        <v>0</v>
      </c>
      <c r="G8" s="174">
        <v>0</v>
      </c>
      <c r="H8" s="173">
        <v>0</v>
      </c>
      <c r="I8" s="174">
        <v>0</v>
      </c>
      <c r="J8" s="173">
        <v>0</v>
      </c>
      <c r="K8" s="173">
        <v>0</v>
      </c>
      <c r="L8" s="174">
        <v>0</v>
      </c>
      <c r="M8" s="173">
        <v>0</v>
      </c>
      <c r="N8" s="173">
        <v>0</v>
      </c>
      <c r="O8" s="174">
        <v>0</v>
      </c>
      <c r="P8" s="173">
        <v>0</v>
      </c>
      <c r="Q8" s="174">
        <v>0</v>
      </c>
      <c r="R8" s="173">
        <v>0</v>
      </c>
      <c r="S8" s="173">
        <v>0</v>
      </c>
      <c r="T8" s="174">
        <v>0</v>
      </c>
      <c r="U8" s="173">
        <v>0</v>
      </c>
      <c r="V8" s="173">
        <v>0</v>
      </c>
      <c r="W8" s="174">
        <v>0</v>
      </c>
      <c r="X8" s="173">
        <v>0</v>
      </c>
      <c r="Y8" s="174">
        <v>0</v>
      </c>
      <c r="Z8" s="173">
        <v>274.97500000000002</v>
      </c>
      <c r="AA8" s="173">
        <v>294.21300000000002</v>
      </c>
      <c r="AB8" s="174">
        <v>-6.5388001200000004E-2</v>
      </c>
      <c r="AC8" s="173">
        <v>274.97500000000002</v>
      </c>
      <c r="AD8" s="173">
        <v>294.21300000000002</v>
      </c>
      <c r="AE8" s="174">
        <v>-6.5388001200000004E-2</v>
      </c>
      <c r="AF8" s="173">
        <v>3412.3069999999998</v>
      </c>
      <c r="AG8" s="174">
        <v>0.12252221069999999</v>
      </c>
    </row>
    <row r="9" spans="1:33">
      <c r="A9" s="133" t="s">
        <v>11</v>
      </c>
      <c r="B9" s="173">
        <v>0</v>
      </c>
      <c r="C9" s="173">
        <v>0</v>
      </c>
      <c r="D9" s="174">
        <v>0</v>
      </c>
      <c r="E9" s="173">
        <v>0</v>
      </c>
      <c r="F9" s="173">
        <v>0</v>
      </c>
      <c r="G9" s="174">
        <v>0</v>
      </c>
      <c r="H9" s="173">
        <v>0</v>
      </c>
      <c r="I9" s="174">
        <v>0</v>
      </c>
      <c r="J9" s="173">
        <v>0</v>
      </c>
      <c r="K9" s="173">
        <v>0</v>
      </c>
      <c r="L9" s="174">
        <v>0</v>
      </c>
      <c r="M9" s="173">
        <v>0</v>
      </c>
      <c r="N9" s="173">
        <v>0</v>
      </c>
      <c r="O9" s="174">
        <v>0</v>
      </c>
      <c r="P9" s="173">
        <v>0</v>
      </c>
      <c r="Q9" s="174">
        <v>0</v>
      </c>
      <c r="R9" s="173">
        <v>-727.71799999999996</v>
      </c>
      <c r="S9" s="173">
        <v>-627.46699999999998</v>
      </c>
      <c r="T9" s="174">
        <v>0.1597709521</v>
      </c>
      <c r="U9" s="173">
        <v>-727.71799999999996</v>
      </c>
      <c r="V9" s="173">
        <v>-627.46699999999998</v>
      </c>
      <c r="W9" s="174">
        <v>0.1597709521</v>
      </c>
      <c r="X9" s="173">
        <v>78551.953999999998</v>
      </c>
      <c r="Y9" s="174">
        <v>0.76094427669999998</v>
      </c>
      <c r="Z9" s="173">
        <v>0</v>
      </c>
      <c r="AA9" s="173">
        <v>0</v>
      </c>
      <c r="AB9" s="174">
        <v>0</v>
      </c>
      <c r="AC9" s="173">
        <v>0</v>
      </c>
      <c r="AD9" s="173">
        <v>0</v>
      </c>
      <c r="AE9" s="174">
        <v>0</v>
      </c>
      <c r="AF9" s="173">
        <v>0</v>
      </c>
      <c r="AG9" s="174">
        <v>0</v>
      </c>
    </row>
    <row r="10" spans="1:33">
      <c r="A10" s="133" t="s">
        <v>78</v>
      </c>
      <c r="B10" s="173">
        <v>16638.507000000001</v>
      </c>
      <c r="C10" s="173">
        <v>17218.489000000001</v>
      </c>
      <c r="D10" s="174">
        <v>-3.3683675699999999E-2</v>
      </c>
      <c r="E10" s="173">
        <v>16638.507000000001</v>
      </c>
      <c r="F10" s="173">
        <v>17218.489000000001</v>
      </c>
      <c r="G10" s="174">
        <v>-3.3683675699999999E-2</v>
      </c>
      <c r="H10" s="173">
        <v>194340.799</v>
      </c>
      <c r="I10" s="174">
        <v>-5.2176462999999999E-3</v>
      </c>
      <c r="J10" s="173">
        <v>15322.566000000001</v>
      </c>
      <c r="K10" s="173">
        <v>16001.846</v>
      </c>
      <c r="L10" s="174">
        <v>-4.2450102300000001E-2</v>
      </c>
      <c r="M10" s="173">
        <v>15322.566000000001</v>
      </c>
      <c r="N10" s="173">
        <v>16001.846</v>
      </c>
      <c r="O10" s="174">
        <v>-4.2450102300000001E-2</v>
      </c>
      <c r="P10" s="173">
        <v>183894.47500000001</v>
      </c>
      <c r="Q10" s="174">
        <v>-4.2001929E-2</v>
      </c>
      <c r="R10" s="173">
        <v>5017.9290000000001</v>
      </c>
      <c r="S10" s="173">
        <v>31928.664000000001</v>
      </c>
      <c r="T10" s="174">
        <v>-0.84283936839999996</v>
      </c>
      <c r="U10" s="173">
        <v>5017.9290000000001</v>
      </c>
      <c r="V10" s="173">
        <v>31928.664000000001</v>
      </c>
      <c r="W10" s="174">
        <v>-0.84283936839999996</v>
      </c>
      <c r="X10" s="173">
        <v>374505.07</v>
      </c>
      <c r="Y10" s="174">
        <v>-7.2116130299999998E-2</v>
      </c>
      <c r="Z10" s="173">
        <v>149666.67600000001</v>
      </c>
      <c r="AA10" s="173">
        <v>144976.166</v>
      </c>
      <c r="AB10" s="174">
        <v>3.2353662900000003E-2</v>
      </c>
      <c r="AC10" s="173">
        <v>149666.67600000001</v>
      </c>
      <c r="AD10" s="173">
        <v>144976.166</v>
      </c>
      <c r="AE10" s="174">
        <v>3.2353662900000003E-2</v>
      </c>
      <c r="AF10" s="173">
        <v>1759931.912</v>
      </c>
      <c r="AG10" s="174">
        <v>2.27202853E-2</v>
      </c>
    </row>
    <row r="11" spans="1:33">
      <c r="A11" s="133" t="s">
        <v>9</v>
      </c>
      <c r="B11" s="173">
        <v>3.7250000000000001</v>
      </c>
      <c r="C11" s="173">
        <v>34.707999999999998</v>
      </c>
      <c r="D11" s="174">
        <v>-0.89267604010000001</v>
      </c>
      <c r="E11" s="173">
        <v>3.7250000000000001</v>
      </c>
      <c r="F11" s="173">
        <v>34.707999999999998</v>
      </c>
      <c r="G11" s="174">
        <v>-0.89267604010000001</v>
      </c>
      <c r="H11" s="173">
        <v>447.548</v>
      </c>
      <c r="I11" s="174">
        <v>0.86264904799999997</v>
      </c>
      <c r="J11" s="173">
        <v>3.4820000000000002</v>
      </c>
      <c r="K11" s="173">
        <v>0.504</v>
      </c>
      <c r="L11" s="174">
        <v>5.9087301587000001</v>
      </c>
      <c r="M11" s="173">
        <v>3.4820000000000002</v>
      </c>
      <c r="N11" s="173">
        <v>0.504</v>
      </c>
      <c r="O11" s="174">
        <v>5.9087301587000001</v>
      </c>
      <c r="P11" s="173">
        <v>102.87</v>
      </c>
      <c r="Q11" s="174">
        <v>2.8125416945000001</v>
      </c>
      <c r="R11" s="173">
        <v>49385.1</v>
      </c>
      <c r="S11" s="173">
        <v>14287.951999999999</v>
      </c>
      <c r="T11" s="174">
        <v>2.4564155871</v>
      </c>
      <c r="U11" s="173">
        <v>49385.1</v>
      </c>
      <c r="V11" s="173">
        <v>14287.951999999999</v>
      </c>
      <c r="W11" s="174">
        <v>2.4564155871</v>
      </c>
      <c r="X11" s="173">
        <v>431000.30099999998</v>
      </c>
      <c r="Y11" s="174">
        <v>0.95907742389999995</v>
      </c>
      <c r="Z11" s="173">
        <v>14760.491</v>
      </c>
      <c r="AA11" s="173">
        <v>20123.599999999999</v>
      </c>
      <c r="AB11" s="174">
        <v>-0.26650842790000001</v>
      </c>
      <c r="AC11" s="173">
        <v>14760.491</v>
      </c>
      <c r="AD11" s="173">
        <v>20123.599999999999</v>
      </c>
      <c r="AE11" s="174">
        <v>-0.26650842790000001</v>
      </c>
      <c r="AF11" s="173">
        <v>255627.86</v>
      </c>
      <c r="AG11" s="174">
        <v>0.22314971780000001</v>
      </c>
    </row>
    <row r="12" spans="1:33">
      <c r="A12" s="133" t="s">
        <v>8</v>
      </c>
      <c r="B12" s="173">
        <v>0</v>
      </c>
      <c r="C12" s="173">
        <v>0</v>
      </c>
      <c r="D12" s="174">
        <v>0</v>
      </c>
      <c r="E12" s="173">
        <v>0</v>
      </c>
      <c r="F12" s="173">
        <v>0</v>
      </c>
      <c r="G12" s="174">
        <v>0</v>
      </c>
      <c r="H12" s="173">
        <v>0</v>
      </c>
      <c r="I12" s="174">
        <v>0</v>
      </c>
      <c r="J12" s="173">
        <v>0</v>
      </c>
      <c r="K12" s="173">
        <v>0</v>
      </c>
      <c r="L12" s="174">
        <v>0</v>
      </c>
      <c r="M12" s="173">
        <v>0</v>
      </c>
      <c r="N12" s="173">
        <v>0</v>
      </c>
      <c r="O12" s="174">
        <v>0</v>
      </c>
      <c r="P12" s="173">
        <v>0</v>
      </c>
      <c r="Q12" s="174">
        <v>0</v>
      </c>
      <c r="R12" s="173">
        <v>0</v>
      </c>
      <c r="S12" s="173">
        <v>0</v>
      </c>
      <c r="T12" s="174">
        <v>0</v>
      </c>
      <c r="U12" s="173">
        <v>0</v>
      </c>
      <c r="V12" s="173">
        <v>0</v>
      </c>
      <c r="W12" s="174">
        <v>0</v>
      </c>
      <c r="X12" s="173">
        <v>0</v>
      </c>
      <c r="Y12" s="174">
        <v>0</v>
      </c>
      <c r="Z12" s="173">
        <v>118030.389</v>
      </c>
      <c r="AA12" s="173">
        <v>117429.802</v>
      </c>
      <c r="AB12" s="174">
        <v>5.1144342000000002E-3</v>
      </c>
      <c r="AC12" s="173">
        <v>118030.389</v>
      </c>
      <c r="AD12" s="173">
        <v>117429.802</v>
      </c>
      <c r="AE12" s="174">
        <v>5.1144342000000002E-3</v>
      </c>
      <c r="AF12" s="173">
        <v>1207835.1629999999</v>
      </c>
      <c r="AG12" s="174">
        <v>8.8920958800000005E-2</v>
      </c>
    </row>
    <row r="13" spans="1:33">
      <c r="A13" s="133" t="s">
        <v>25</v>
      </c>
      <c r="B13" s="173">
        <v>0</v>
      </c>
      <c r="C13" s="173">
        <v>0</v>
      </c>
      <c r="D13" s="174">
        <v>0</v>
      </c>
      <c r="E13" s="173">
        <v>0</v>
      </c>
      <c r="F13" s="173">
        <v>0</v>
      </c>
      <c r="G13" s="174">
        <v>0</v>
      </c>
      <c r="H13" s="173">
        <v>0</v>
      </c>
      <c r="I13" s="174">
        <v>0</v>
      </c>
      <c r="J13" s="173">
        <v>0</v>
      </c>
      <c r="K13" s="173">
        <v>0</v>
      </c>
      <c r="L13" s="174">
        <v>0</v>
      </c>
      <c r="M13" s="173">
        <v>0</v>
      </c>
      <c r="N13" s="173">
        <v>0</v>
      </c>
      <c r="O13" s="174">
        <v>0</v>
      </c>
      <c r="P13" s="173">
        <v>0</v>
      </c>
      <c r="Q13" s="174">
        <v>0</v>
      </c>
      <c r="R13" s="173">
        <v>236334.141</v>
      </c>
      <c r="S13" s="173">
        <v>350086.61099999998</v>
      </c>
      <c r="T13" s="174">
        <v>-0.32492665079999999</v>
      </c>
      <c r="U13" s="173">
        <v>236334.141</v>
      </c>
      <c r="V13" s="173">
        <v>350086.61099999998</v>
      </c>
      <c r="W13" s="174">
        <v>-0.32492665079999999</v>
      </c>
      <c r="X13" s="173">
        <v>3871927.88</v>
      </c>
      <c r="Y13" s="174">
        <v>8.3946293000000005E-2</v>
      </c>
      <c r="Z13" s="173">
        <v>279418.815</v>
      </c>
      <c r="AA13" s="173">
        <v>350332.19099999999</v>
      </c>
      <c r="AB13" s="174">
        <v>-0.2024175278</v>
      </c>
      <c r="AC13" s="173">
        <v>279418.815</v>
      </c>
      <c r="AD13" s="173">
        <v>350332.19099999999</v>
      </c>
      <c r="AE13" s="174">
        <v>-0.2024175278</v>
      </c>
      <c r="AF13" s="173">
        <v>3519097.1510000001</v>
      </c>
      <c r="AG13" s="174">
        <v>5.4753909E-3</v>
      </c>
    </row>
    <row r="14" spans="1:33">
      <c r="A14" s="133" t="s">
        <v>24</v>
      </c>
      <c r="B14" s="173">
        <v>0</v>
      </c>
      <c r="C14" s="173">
        <v>0</v>
      </c>
      <c r="D14" s="174">
        <v>0</v>
      </c>
      <c r="E14" s="173">
        <v>0</v>
      </c>
      <c r="F14" s="173">
        <v>0</v>
      </c>
      <c r="G14" s="174">
        <v>0</v>
      </c>
      <c r="H14" s="173">
        <v>0</v>
      </c>
      <c r="I14" s="174">
        <v>0</v>
      </c>
      <c r="J14" s="173">
        <v>0</v>
      </c>
      <c r="K14" s="173">
        <v>0</v>
      </c>
      <c r="L14" s="174">
        <v>0</v>
      </c>
      <c r="M14" s="173">
        <v>0</v>
      </c>
      <c r="N14" s="173">
        <v>0</v>
      </c>
      <c r="O14" s="174">
        <v>0</v>
      </c>
      <c r="P14" s="173">
        <v>0</v>
      </c>
      <c r="Q14" s="174">
        <v>0</v>
      </c>
      <c r="R14" s="173">
        <v>0</v>
      </c>
      <c r="S14" s="173">
        <v>0</v>
      </c>
      <c r="T14" s="174">
        <v>0</v>
      </c>
      <c r="U14" s="173">
        <v>0</v>
      </c>
      <c r="V14" s="173">
        <v>0</v>
      </c>
      <c r="W14" s="174">
        <v>0</v>
      </c>
      <c r="X14" s="173">
        <v>12117.501</v>
      </c>
      <c r="Y14" s="174">
        <v>7.6034033000000004E-3</v>
      </c>
      <c r="Z14" s="173">
        <v>-13.848000000000001</v>
      </c>
      <c r="AA14" s="173">
        <v>0</v>
      </c>
      <c r="AB14" s="174">
        <v>0</v>
      </c>
      <c r="AC14" s="173">
        <v>-13.848000000000001</v>
      </c>
      <c r="AD14" s="173">
        <v>0</v>
      </c>
      <c r="AE14" s="174">
        <v>0</v>
      </c>
      <c r="AF14" s="173">
        <v>-79.52</v>
      </c>
      <c r="AG14" s="174">
        <v>0</v>
      </c>
    </row>
    <row r="15" spans="1:33">
      <c r="A15" s="133" t="s">
        <v>6</v>
      </c>
      <c r="B15" s="173">
        <v>0</v>
      </c>
      <c r="C15" s="173">
        <v>0</v>
      </c>
      <c r="D15" s="174">
        <v>0</v>
      </c>
      <c r="E15" s="173">
        <v>0</v>
      </c>
      <c r="F15" s="173">
        <v>0</v>
      </c>
      <c r="G15" s="174">
        <v>0</v>
      </c>
      <c r="H15" s="173">
        <v>0</v>
      </c>
      <c r="I15" s="174">
        <v>0</v>
      </c>
      <c r="J15" s="173">
        <v>0</v>
      </c>
      <c r="K15" s="173">
        <v>0</v>
      </c>
      <c r="L15" s="174">
        <v>0</v>
      </c>
      <c r="M15" s="173">
        <v>0</v>
      </c>
      <c r="N15" s="173">
        <v>0</v>
      </c>
      <c r="O15" s="174">
        <v>0</v>
      </c>
      <c r="P15" s="173">
        <v>0</v>
      </c>
      <c r="Q15" s="174">
        <v>0</v>
      </c>
      <c r="R15" s="173">
        <v>0</v>
      </c>
      <c r="S15" s="173">
        <v>0</v>
      </c>
      <c r="T15" s="174">
        <v>0</v>
      </c>
      <c r="U15" s="173">
        <v>0</v>
      </c>
      <c r="V15" s="173">
        <v>0</v>
      </c>
      <c r="W15" s="174">
        <v>0</v>
      </c>
      <c r="X15" s="173">
        <v>0</v>
      </c>
      <c r="Y15" s="174">
        <v>0</v>
      </c>
      <c r="Z15" s="173">
        <v>1649.5039999999999</v>
      </c>
      <c r="AA15" s="173">
        <v>1110.9159999999999</v>
      </c>
      <c r="AB15" s="174">
        <v>0.48481433340000002</v>
      </c>
      <c r="AC15" s="173">
        <v>1649.5039999999999</v>
      </c>
      <c r="AD15" s="173">
        <v>1110.9159999999999</v>
      </c>
      <c r="AE15" s="174">
        <v>0.48481433340000002</v>
      </c>
      <c r="AF15" s="173">
        <v>23419.432000000001</v>
      </c>
      <c r="AG15" s="174">
        <v>8.7632292999999997E-3</v>
      </c>
    </row>
    <row r="16" spans="1:33">
      <c r="A16" s="133" t="s">
        <v>5</v>
      </c>
      <c r="B16" s="173">
        <v>0</v>
      </c>
      <c r="C16" s="173">
        <v>0</v>
      </c>
      <c r="D16" s="174">
        <v>0</v>
      </c>
      <c r="E16" s="173">
        <v>0</v>
      </c>
      <c r="F16" s="173">
        <v>0</v>
      </c>
      <c r="G16" s="174">
        <v>0</v>
      </c>
      <c r="H16" s="173">
        <v>0</v>
      </c>
      <c r="I16" s="174">
        <v>0</v>
      </c>
      <c r="J16" s="173">
        <v>0</v>
      </c>
      <c r="K16" s="173">
        <v>0</v>
      </c>
      <c r="L16" s="174">
        <v>0</v>
      </c>
      <c r="M16" s="173">
        <v>0</v>
      </c>
      <c r="N16" s="173">
        <v>0</v>
      </c>
      <c r="O16" s="174">
        <v>0</v>
      </c>
      <c r="P16" s="173">
        <v>0</v>
      </c>
      <c r="Q16" s="174">
        <v>0</v>
      </c>
      <c r="R16" s="173">
        <v>215.73</v>
      </c>
      <c r="S16" s="173">
        <v>215.63800000000001</v>
      </c>
      <c r="T16" s="174">
        <v>4.2664089999999998E-4</v>
      </c>
      <c r="U16" s="173">
        <v>215.73</v>
      </c>
      <c r="V16" s="173">
        <v>215.63800000000001</v>
      </c>
      <c r="W16" s="174">
        <v>4.2664089999999998E-4</v>
      </c>
      <c r="X16" s="173">
        <v>1449.125</v>
      </c>
      <c r="Y16" s="174">
        <v>-0.3626813277</v>
      </c>
      <c r="Z16" s="173">
        <v>131999.94699999999</v>
      </c>
      <c r="AA16" s="173">
        <v>60125.74</v>
      </c>
      <c r="AB16" s="174">
        <v>1.1953982936000001</v>
      </c>
      <c r="AC16" s="173">
        <v>131999.94699999999</v>
      </c>
      <c r="AD16" s="173">
        <v>60125.74</v>
      </c>
      <c r="AE16" s="174">
        <v>1.1953982936000001</v>
      </c>
      <c r="AF16" s="173">
        <v>1440622.2169999999</v>
      </c>
      <c r="AG16" s="174">
        <v>0.11082739530000001</v>
      </c>
    </row>
    <row r="17" spans="1:33">
      <c r="A17" s="133" t="s">
        <v>4</v>
      </c>
      <c r="B17" s="173">
        <v>0</v>
      </c>
      <c r="C17" s="173">
        <v>0</v>
      </c>
      <c r="D17" s="174">
        <v>0</v>
      </c>
      <c r="E17" s="173">
        <v>0</v>
      </c>
      <c r="F17" s="173">
        <v>0</v>
      </c>
      <c r="G17" s="174">
        <v>0</v>
      </c>
      <c r="H17" s="173">
        <v>0</v>
      </c>
      <c r="I17" s="174">
        <v>0</v>
      </c>
      <c r="J17" s="173">
        <v>0</v>
      </c>
      <c r="K17" s="173">
        <v>4.82</v>
      </c>
      <c r="L17" s="174">
        <v>-1</v>
      </c>
      <c r="M17" s="173">
        <v>0</v>
      </c>
      <c r="N17" s="173">
        <v>4.82</v>
      </c>
      <c r="O17" s="174">
        <v>-1</v>
      </c>
      <c r="P17" s="173">
        <v>67.397999999999996</v>
      </c>
      <c r="Q17" s="174">
        <v>0.1082098755</v>
      </c>
      <c r="R17" s="173">
        <v>18100.467000000001</v>
      </c>
      <c r="S17" s="173">
        <v>14437.343999999999</v>
      </c>
      <c r="T17" s="174">
        <v>0.25372554670000003</v>
      </c>
      <c r="U17" s="173">
        <v>18100.467000000001</v>
      </c>
      <c r="V17" s="173">
        <v>14437.343999999999</v>
      </c>
      <c r="W17" s="174">
        <v>0.25372554670000003</v>
      </c>
      <c r="X17" s="173">
        <v>271520.125</v>
      </c>
      <c r="Y17" s="174">
        <v>0.39827125299999999</v>
      </c>
      <c r="Z17" s="173">
        <v>21999.483</v>
      </c>
      <c r="AA17" s="173">
        <v>18056.703000000001</v>
      </c>
      <c r="AB17" s="174">
        <v>0.21835547720000001</v>
      </c>
      <c r="AC17" s="173">
        <v>21999.483</v>
      </c>
      <c r="AD17" s="173">
        <v>18056.703000000001</v>
      </c>
      <c r="AE17" s="174">
        <v>0.21835547720000001</v>
      </c>
      <c r="AF17" s="173">
        <v>317558.29800000001</v>
      </c>
      <c r="AG17" s="174">
        <v>0.20256524949999999</v>
      </c>
    </row>
    <row r="18" spans="1:33">
      <c r="A18" s="133" t="s">
        <v>22</v>
      </c>
      <c r="B18" s="173">
        <v>0</v>
      </c>
      <c r="C18" s="173">
        <v>0</v>
      </c>
      <c r="D18" s="174">
        <v>0</v>
      </c>
      <c r="E18" s="173">
        <v>0</v>
      </c>
      <c r="F18" s="173">
        <v>0</v>
      </c>
      <c r="G18" s="174">
        <v>0</v>
      </c>
      <c r="H18" s="173">
        <v>0</v>
      </c>
      <c r="I18" s="174">
        <v>0</v>
      </c>
      <c r="J18" s="173">
        <v>0</v>
      </c>
      <c r="K18" s="173">
        <v>0</v>
      </c>
      <c r="L18" s="174">
        <v>0</v>
      </c>
      <c r="M18" s="173">
        <v>0</v>
      </c>
      <c r="N18" s="173">
        <v>0</v>
      </c>
      <c r="O18" s="174">
        <v>0</v>
      </c>
      <c r="P18" s="173">
        <v>0</v>
      </c>
      <c r="Q18" s="174">
        <v>0</v>
      </c>
      <c r="R18" s="173">
        <v>93.608999999999995</v>
      </c>
      <c r="S18" s="173">
        <v>285.24400000000003</v>
      </c>
      <c r="T18" s="174">
        <v>-0.67182832940000003</v>
      </c>
      <c r="U18" s="173">
        <v>93.608999999999995</v>
      </c>
      <c r="V18" s="173">
        <v>285.24400000000003</v>
      </c>
      <c r="W18" s="174">
        <v>-0.67182832940000003</v>
      </c>
      <c r="X18" s="173">
        <v>1590.8620000000001</v>
      </c>
      <c r="Y18" s="174">
        <v>-0.116282041</v>
      </c>
      <c r="Z18" s="173">
        <v>784.13300000000004</v>
      </c>
      <c r="AA18" s="173">
        <v>860.53099999999995</v>
      </c>
      <c r="AB18" s="174">
        <v>-8.8780067200000007E-2</v>
      </c>
      <c r="AC18" s="173">
        <v>784.13300000000004</v>
      </c>
      <c r="AD18" s="173">
        <v>860.53099999999995</v>
      </c>
      <c r="AE18" s="174">
        <v>-8.8780067200000007E-2</v>
      </c>
      <c r="AF18" s="173">
        <v>8844.9619999999995</v>
      </c>
      <c r="AG18" s="174">
        <v>3.3231049399999997E-2</v>
      </c>
    </row>
    <row r="19" spans="1:33">
      <c r="A19" s="133" t="s">
        <v>23</v>
      </c>
      <c r="B19" s="173">
        <v>0</v>
      </c>
      <c r="C19" s="173">
        <v>0</v>
      </c>
      <c r="D19" s="174">
        <v>0</v>
      </c>
      <c r="E19" s="173">
        <v>0</v>
      </c>
      <c r="F19" s="173">
        <v>0</v>
      </c>
      <c r="G19" s="174">
        <v>0</v>
      </c>
      <c r="H19" s="173">
        <v>0</v>
      </c>
      <c r="I19" s="174">
        <v>0</v>
      </c>
      <c r="J19" s="173">
        <v>0</v>
      </c>
      <c r="K19" s="173">
        <v>0</v>
      </c>
      <c r="L19" s="174">
        <v>0</v>
      </c>
      <c r="M19" s="173">
        <v>0</v>
      </c>
      <c r="N19" s="173">
        <v>0</v>
      </c>
      <c r="O19" s="174">
        <v>0</v>
      </c>
      <c r="P19" s="173">
        <v>0</v>
      </c>
      <c r="Q19" s="174">
        <v>0</v>
      </c>
      <c r="R19" s="173">
        <v>3055.6089999999999</v>
      </c>
      <c r="S19" s="173">
        <v>3401.0050000000001</v>
      </c>
      <c r="T19" s="174">
        <v>-0.1015570398</v>
      </c>
      <c r="U19" s="173">
        <v>3055.6089999999999</v>
      </c>
      <c r="V19" s="173">
        <v>3401.0050000000001</v>
      </c>
      <c r="W19" s="174">
        <v>-0.1015570398</v>
      </c>
      <c r="X19" s="173">
        <v>25699.918000000001</v>
      </c>
      <c r="Y19" s="174">
        <v>-0.377314924</v>
      </c>
      <c r="Z19" s="173">
        <v>0</v>
      </c>
      <c r="AA19" s="173">
        <v>0</v>
      </c>
      <c r="AB19" s="174">
        <v>0</v>
      </c>
      <c r="AC19" s="173">
        <v>0</v>
      </c>
      <c r="AD19" s="173">
        <v>0</v>
      </c>
      <c r="AE19" s="174">
        <v>0</v>
      </c>
      <c r="AF19" s="173">
        <v>0</v>
      </c>
      <c r="AG19" s="174">
        <v>0</v>
      </c>
    </row>
    <row r="20" spans="1:33">
      <c r="A20" s="133" t="s">
        <v>54</v>
      </c>
      <c r="B20" s="173">
        <v>0</v>
      </c>
      <c r="C20" s="173">
        <v>0</v>
      </c>
      <c r="D20" s="174">
        <v>0</v>
      </c>
      <c r="E20" s="173">
        <v>0</v>
      </c>
      <c r="F20" s="173">
        <v>0</v>
      </c>
      <c r="G20" s="174">
        <v>0</v>
      </c>
      <c r="H20" s="173">
        <v>0</v>
      </c>
      <c r="I20" s="174">
        <v>0</v>
      </c>
      <c r="J20" s="173">
        <v>463.76299999999998</v>
      </c>
      <c r="K20" s="173">
        <v>519.01300000000003</v>
      </c>
      <c r="L20" s="174">
        <v>-0.10645205419999999</v>
      </c>
      <c r="M20" s="173">
        <v>463.76299999999998</v>
      </c>
      <c r="N20" s="173">
        <v>519.01300000000003</v>
      </c>
      <c r="O20" s="174">
        <v>-0.10645205419999999</v>
      </c>
      <c r="P20" s="173">
        <v>5792.0775000000003</v>
      </c>
      <c r="Q20" s="174">
        <v>-3.9237467999999998E-2</v>
      </c>
      <c r="R20" s="173">
        <v>7361.8244999999997</v>
      </c>
      <c r="S20" s="173">
        <v>9871.15</v>
      </c>
      <c r="T20" s="174">
        <v>-0.2542080203</v>
      </c>
      <c r="U20" s="173">
        <v>7361.8244999999997</v>
      </c>
      <c r="V20" s="173">
        <v>9871.15</v>
      </c>
      <c r="W20" s="174">
        <v>-0.2542080203</v>
      </c>
      <c r="X20" s="173">
        <v>130551.9565</v>
      </c>
      <c r="Y20" s="174">
        <v>5.5840364199999999E-2</v>
      </c>
      <c r="Z20" s="173">
        <v>0</v>
      </c>
      <c r="AA20" s="173">
        <v>0</v>
      </c>
      <c r="AB20" s="174">
        <v>0</v>
      </c>
      <c r="AC20" s="173">
        <v>0</v>
      </c>
      <c r="AD20" s="173">
        <v>0</v>
      </c>
      <c r="AE20" s="174">
        <v>0</v>
      </c>
      <c r="AF20" s="173">
        <v>0</v>
      </c>
      <c r="AG20" s="174">
        <v>0</v>
      </c>
    </row>
    <row r="21" spans="1:33">
      <c r="A21" s="133" t="s">
        <v>55</v>
      </c>
      <c r="B21" s="173">
        <v>0</v>
      </c>
      <c r="C21" s="173">
        <v>0</v>
      </c>
      <c r="D21" s="174">
        <v>0</v>
      </c>
      <c r="E21" s="173">
        <v>0</v>
      </c>
      <c r="F21" s="173">
        <v>0</v>
      </c>
      <c r="G21" s="174">
        <v>0</v>
      </c>
      <c r="H21" s="173">
        <v>0</v>
      </c>
      <c r="I21" s="174">
        <v>0</v>
      </c>
      <c r="J21" s="173">
        <v>463.76299999999998</v>
      </c>
      <c r="K21" s="173">
        <v>519.01300000000003</v>
      </c>
      <c r="L21" s="174">
        <v>-0.10645205419999999</v>
      </c>
      <c r="M21" s="173">
        <v>463.76299999999998</v>
      </c>
      <c r="N21" s="173">
        <v>519.01300000000003</v>
      </c>
      <c r="O21" s="174">
        <v>-0.10645205419999999</v>
      </c>
      <c r="P21" s="173">
        <v>5792.0775000000003</v>
      </c>
      <c r="Q21" s="174">
        <v>-3.9237467999999998E-2</v>
      </c>
      <c r="R21" s="173">
        <v>7361.8244999999997</v>
      </c>
      <c r="S21" s="173">
        <v>9871.15</v>
      </c>
      <c r="T21" s="174">
        <v>-0.2542080203</v>
      </c>
      <c r="U21" s="173">
        <v>7361.8244999999997</v>
      </c>
      <c r="V21" s="173">
        <v>9871.15</v>
      </c>
      <c r="W21" s="174">
        <v>-0.2542080203</v>
      </c>
      <c r="X21" s="173">
        <v>130551.9565</v>
      </c>
      <c r="Y21" s="174">
        <v>5.5840364199999999E-2</v>
      </c>
      <c r="Z21" s="173">
        <v>0</v>
      </c>
      <c r="AA21" s="173">
        <v>0</v>
      </c>
      <c r="AB21" s="174">
        <v>0</v>
      </c>
      <c r="AC21" s="173">
        <v>0</v>
      </c>
      <c r="AD21" s="173">
        <v>0</v>
      </c>
      <c r="AE21" s="174">
        <v>0</v>
      </c>
      <c r="AF21" s="173">
        <v>0</v>
      </c>
      <c r="AG21" s="174">
        <v>0</v>
      </c>
    </row>
    <row r="22" spans="1:33">
      <c r="A22" s="138" t="s">
        <v>2</v>
      </c>
      <c r="B22" s="175">
        <v>16642.232</v>
      </c>
      <c r="C22" s="175">
        <v>17253.197</v>
      </c>
      <c r="D22" s="176">
        <v>-3.5411697899999997E-2</v>
      </c>
      <c r="E22" s="175">
        <v>16642.232</v>
      </c>
      <c r="F22" s="175">
        <v>17253.197</v>
      </c>
      <c r="G22" s="176">
        <v>-3.5411697899999997E-2</v>
      </c>
      <c r="H22" s="175">
        <v>194788.34700000001</v>
      </c>
      <c r="I22" s="176">
        <v>-4.1515611999999999E-3</v>
      </c>
      <c r="J22" s="175">
        <v>16253.574000000001</v>
      </c>
      <c r="K22" s="175">
        <v>17045.196</v>
      </c>
      <c r="L22" s="176">
        <v>-4.6442528400000002E-2</v>
      </c>
      <c r="M22" s="175">
        <v>16253.574000000001</v>
      </c>
      <c r="N22" s="175">
        <v>17045.196</v>
      </c>
      <c r="O22" s="176">
        <v>-4.6442528400000002E-2</v>
      </c>
      <c r="P22" s="175">
        <v>195648.89799999999</v>
      </c>
      <c r="Q22" s="176">
        <v>-4.1416493899999997E-2</v>
      </c>
      <c r="R22" s="175">
        <v>326198.516</v>
      </c>
      <c r="S22" s="175">
        <v>433757.29100000003</v>
      </c>
      <c r="T22" s="176">
        <v>-0.24796995290000001</v>
      </c>
      <c r="U22" s="175">
        <v>326198.516</v>
      </c>
      <c r="V22" s="175">
        <v>433757.29100000003</v>
      </c>
      <c r="W22" s="176">
        <v>-0.24796995290000001</v>
      </c>
      <c r="X22" s="175">
        <v>5329466.6490000002</v>
      </c>
      <c r="Y22" s="176">
        <v>0.124564543</v>
      </c>
      <c r="Z22" s="175">
        <v>718570.56499999994</v>
      </c>
      <c r="AA22" s="175">
        <v>713309.86199999996</v>
      </c>
      <c r="AB22" s="176">
        <v>7.3750600000000001E-3</v>
      </c>
      <c r="AC22" s="175">
        <v>718570.56499999994</v>
      </c>
      <c r="AD22" s="175">
        <v>713309.86199999996</v>
      </c>
      <c r="AE22" s="176">
        <v>7.3750600000000001E-3</v>
      </c>
      <c r="AF22" s="175">
        <v>8536269.7819999997</v>
      </c>
      <c r="AG22" s="176">
        <v>4.9360164099999999E-2</v>
      </c>
    </row>
    <row r="23" spans="1:33">
      <c r="A23" s="133" t="s">
        <v>21</v>
      </c>
      <c r="B23" s="173">
        <v>0</v>
      </c>
      <c r="C23" s="173">
        <v>0</v>
      </c>
      <c r="D23" s="174">
        <v>0</v>
      </c>
      <c r="E23" s="173">
        <v>0</v>
      </c>
      <c r="F23" s="173">
        <v>0</v>
      </c>
      <c r="G23" s="174">
        <v>0</v>
      </c>
      <c r="H23" s="173">
        <v>0</v>
      </c>
      <c r="I23" s="174">
        <v>0</v>
      </c>
      <c r="J23" s="173">
        <v>0</v>
      </c>
      <c r="K23" s="173">
        <v>0</v>
      </c>
      <c r="L23" s="174">
        <v>0</v>
      </c>
      <c r="M23" s="173">
        <v>0</v>
      </c>
      <c r="N23" s="173">
        <v>0</v>
      </c>
      <c r="O23" s="174">
        <v>0</v>
      </c>
      <c r="P23" s="173">
        <v>0</v>
      </c>
      <c r="Q23" s="174">
        <v>0</v>
      </c>
      <c r="R23" s="173">
        <v>123950.13099999999</v>
      </c>
      <c r="S23" s="173">
        <v>31159.339</v>
      </c>
      <c r="T23" s="174">
        <v>2.9779448145999998</v>
      </c>
      <c r="U23" s="173">
        <v>123950.13099999999</v>
      </c>
      <c r="V23" s="173">
        <v>31159.339</v>
      </c>
      <c r="W23" s="174">
        <v>2.9779448145999998</v>
      </c>
      <c r="X23" s="173">
        <v>695524.49600000004</v>
      </c>
      <c r="Y23" s="174">
        <v>-0.11187480349999999</v>
      </c>
      <c r="Z23" s="173">
        <v>0</v>
      </c>
      <c r="AA23" s="173">
        <v>0</v>
      </c>
      <c r="AB23" s="174">
        <v>0</v>
      </c>
      <c r="AC23" s="173">
        <v>0</v>
      </c>
      <c r="AD23" s="173">
        <v>0</v>
      </c>
      <c r="AE23" s="174">
        <v>0</v>
      </c>
      <c r="AF23" s="173">
        <v>0</v>
      </c>
      <c r="AG23" s="174">
        <v>0</v>
      </c>
    </row>
    <row r="24" spans="1:33">
      <c r="A24" s="138" t="s">
        <v>79</v>
      </c>
      <c r="B24" s="175">
        <v>16642.232</v>
      </c>
      <c r="C24" s="175">
        <v>17253.197</v>
      </c>
      <c r="D24" s="176">
        <v>-3.5411697899999997E-2</v>
      </c>
      <c r="E24" s="175">
        <v>16642.232</v>
      </c>
      <c r="F24" s="175">
        <v>17253.197</v>
      </c>
      <c r="G24" s="176">
        <v>-3.5411697899999997E-2</v>
      </c>
      <c r="H24" s="175">
        <v>194788.34700000001</v>
      </c>
      <c r="I24" s="176">
        <v>-4.1515611999999999E-3</v>
      </c>
      <c r="J24" s="175">
        <v>16253.574000000001</v>
      </c>
      <c r="K24" s="175">
        <v>17045.196</v>
      </c>
      <c r="L24" s="176">
        <v>-4.6442528400000002E-2</v>
      </c>
      <c r="M24" s="175">
        <v>16253.574000000001</v>
      </c>
      <c r="N24" s="175">
        <v>17045.196</v>
      </c>
      <c r="O24" s="176">
        <v>-4.6442528400000002E-2</v>
      </c>
      <c r="P24" s="175">
        <v>195648.89799999999</v>
      </c>
      <c r="Q24" s="176">
        <v>-4.1416493899999997E-2</v>
      </c>
      <c r="R24" s="175">
        <v>450148.647</v>
      </c>
      <c r="S24" s="175">
        <v>464916.63</v>
      </c>
      <c r="T24" s="176">
        <v>-3.1764798300000001E-2</v>
      </c>
      <c r="U24" s="175">
        <v>450148.647</v>
      </c>
      <c r="V24" s="175">
        <v>464916.63</v>
      </c>
      <c r="W24" s="176">
        <v>-3.1764798300000001E-2</v>
      </c>
      <c r="X24" s="175">
        <v>6024991.1449999996</v>
      </c>
      <c r="Y24" s="176">
        <v>9.10340543E-2</v>
      </c>
      <c r="Z24" s="175">
        <v>718570.56499999994</v>
      </c>
      <c r="AA24" s="175">
        <v>713309.86199999996</v>
      </c>
      <c r="AB24" s="176">
        <v>7.3750600000000001E-3</v>
      </c>
      <c r="AC24" s="175">
        <v>718570.56499999994</v>
      </c>
      <c r="AD24" s="175">
        <v>713309.86199999996</v>
      </c>
      <c r="AE24" s="176">
        <v>7.3750600000000001E-3</v>
      </c>
      <c r="AF24" s="175">
        <v>8536269.7819999997</v>
      </c>
      <c r="AG24" s="176">
        <v>4.9360164099999999E-2</v>
      </c>
    </row>
    <row r="26" spans="1:33">
      <c r="A26" s="102" t="s">
        <v>103</v>
      </c>
      <c r="B26" s="163">
        <f>SUM(B24,J24,R24,Z24)</f>
        <v>1201615.0179999999</v>
      </c>
      <c r="C26" s="163">
        <f>SUM(C24,K24,S24,AA24)</f>
        <v>1212524.885</v>
      </c>
      <c r="D26" s="164">
        <f>((B26/C26)-1)*100</f>
        <v>-0.89976437885644911</v>
      </c>
      <c r="R26" s="164"/>
      <c r="Z26" s="164"/>
    </row>
    <row r="29" spans="1:33" ht="15">
      <c r="A29" s="134" t="s">
        <v>67</v>
      </c>
      <c r="B29" s="197" t="str">
        <f>A2</f>
        <v>Enero 2023</v>
      </c>
      <c r="C29" s="198"/>
    </row>
    <row r="30" spans="1:33" ht="15">
      <c r="A30" s="134" t="s">
        <v>69</v>
      </c>
      <c r="B30" s="208" t="s">
        <v>72</v>
      </c>
      <c r="C30" s="209"/>
    </row>
    <row r="31" spans="1:33">
      <c r="A31" s="132" t="s">
        <v>68</v>
      </c>
      <c r="B31" s="162" t="s">
        <v>57</v>
      </c>
      <c r="C31" s="162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36"/>
      <c r="C33" s="136">
        <v>1.52</v>
      </c>
    </row>
    <row r="34" spans="1:4">
      <c r="A34" s="133" t="s">
        <v>11</v>
      </c>
      <c r="B34" s="136">
        <v>241.2</v>
      </c>
      <c r="C34" s="136"/>
    </row>
    <row r="35" spans="1:4">
      <c r="A35" s="133" t="s">
        <v>78</v>
      </c>
      <c r="B35" s="136">
        <v>139.4</v>
      </c>
      <c r="C35" s="136">
        <v>487.64</v>
      </c>
    </row>
    <row r="36" spans="1:4">
      <c r="A36" s="133" t="s">
        <v>9</v>
      </c>
      <c r="B36" s="136">
        <v>603.1</v>
      </c>
      <c r="C36" s="136">
        <v>520.75</v>
      </c>
    </row>
    <row r="37" spans="1:4">
      <c r="A37" s="133" t="s">
        <v>8</v>
      </c>
      <c r="B37" s="136"/>
      <c r="C37" s="136">
        <v>482.64</v>
      </c>
    </row>
    <row r="38" spans="1:4">
      <c r="A38" s="133" t="s">
        <v>25</v>
      </c>
      <c r="B38" s="136">
        <v>822.9</v>
      </c>
      <c r="C38" s="136">
        <v>865.4</v>
      </c>
    </row>
    <row r="39" spans="1:4">
      <c r="A39" s="133" t="s">
        <v>24</v>
      </c>
      <c r="B39" s="136"/>
      <c r="C39" s="136"/>
    </row>
    <row r="40" spans="1:4">
      <c r="A40" s="133" t="s">
        <v>6</v>
      </c>
      <c r="B40" s="136"/>
      <c r="C40" s="136">
        <v>11.32</v>
      </c>
    </row>
    <row r="41" spans="1:4">
      <c r="A41" s="133" t="s">
        <v>5</v>
      </c>
      <c r="B41" s="136">
        <v>3.6074999999999999</v>
      </c>
      <c r="C41" s="136">
        <v>573.31500000000005</v>
      </c>
      <c r="D41" s="168"/>
    </row>
    <row r="42" spans="1:4">
      <c r="A42" s="133" t="s">
        <v>4</v>
      </c>
      <c r="B42" s="136">
        <v>220.205015</v>
      </c>
      <c r="C42" s="136">
        <v>205.60494499999999</v>
      </c>
      <c r="D42" s="168"/>
    </row>
    <row r="43" spans="1:4">
      <c r="A43" s="133" t="s">
        <v>22</v>
      </c>
      <c r="B43" s="136">
        <v>2.13</v>
      </c>
      <c r="C43" s="136">
        <v>3.6960000000000002</v>
      </c>
    </row>
    <row r="44" spans="1:4">
      <c r="A44" s="133" t="s">
        <v>23</v>
      </c>
      <c r="B44" s="136">
        <v>11.523</v>
      </c>
      <c r="C44" s="136">
        <v>38.200000000000003</v>
      </c>
    </row>
    <row r="45" spans="1:4">
      <c r="A45" s="133" t="s">
        <v>54</v>
      </c>
      <c r="B45" s="136">
        <v>37.4</v>
      </c>
      <c r="C45" s="136"/>
    </row>
    <row r="46" spans="1:4">
      <c r="A46" s="133" t="s">
        <v>55</v>
      </c>
      <c r="B46" s="136">
        <v>37.4</v>
      </c>
      <c r="C46" s="136"/>
    </row>
    <row r="47" spans="1:4">
      <c r="A47" s="138" t="s">
        <v>2</v>
      </c>
      <c r="B47" s="171">
        <f>SUM(B33:B46)</f>
        <v>2118.865515</v>
      </c>
      <c r="C47" s="171">
        <f>SUM(C33:C46)</f>
        <v>3190.0859449999998</v>
      </c>
    </row>
    <row r="48" spans="1:4" ht="15">
      <c r="A48"/>
      <c r="B48" s="172"/>
      <c r="C48"/>
      <c r="D48" s="167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11.383450166727545</v>
      </c>
      <c r="D52" s="166"/>
      <c r="F52" s="105" t="s">
        <v>10</v>
      </c>
      <c r="G52" s="106">
        <f>C35</f>
        <v>487.64</v>
      </c>
      <c r="H52" s="107">
        <f>G52/$G$62*100</f>
        <v>15.286108537743488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6.5789923434569646</v>
      </c>
      <c r="D53" s="166"/>
      <c r="F53" s="105" t="s">
        <v>9</v>
      </c>
      <c r="G53" s="106">
        <f>C36</f>
        <v>520.75</v>
      </c>
      <c r="H53" s="107">
        <f t="shared" ref="H53:H61" si="2">G53/$G$62*100</f>
        <v>16.324011609035193</v>
      </c>
    </row>
    <row r="54" spans="1:8">
      <c r="A54" s="105" t="s">
        <v>9</v>
      </c>
      <c r="B54" s="106">
        <f t="shared" si="1"/>
        <v>603.1</v>
      </c>
      <c r="C54" s="107">
        <f t="shared" si="0"/>
        <v>28.46334492352149</v>
      </c>
      <c r="D54" s="166"/>
      <c r="F54" s="105" t="s">
        <v>8</v>
      </c>
      <c r="G54" s="106">
        <f>C37</f>
        <v>482.64</v>
      </c>
      <c r="H54" s="107">
        <f t="shared" si="2"/>
        <v>15.129372948602487</v>
      </c>
    </row>
    <row r="55" spans="1:8">
      <c r="A55" s="105" t="s">
        <v>25</v>
      </c>
      <c r="B55" s="106">
        <f>B38</f>
        <v>822.9</v>
      </c>
      <c r="C55" s="107">
        <f t="shared" si="0"/>
        <v>38.836820655887635</v>
      </c>
      <c r="D55" s="166"/>
      <c r="F55" s="105" t="s">
        <v>25</v>
      </c>
      <c r="G55" s="106">
        <f>C38</f>
        <v>865.4</v>
      </c>
      <c r="H55" s="107">
        <f t="shared" si="2"/>
        <v>27.127795768524347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6"/>
      <c r="F56" s="105" t="s">
        <v>23</v>
      </c>
      <c r="G56" s="106">
        <f>C44</f>
        <v>38.200000000000003</v>
      </c>
      <c r="H56" s="107">
        <f t="shared" si="2"/>
        <v>1.1974599010372433</v>
      </c>
    </row>
    <row r="57" spans="1:8">
      <c r="A57" s="105" t="s">
        <v>23</v>
      </c>
      <c r="B57" s="106">
        <f>B44</f>
        <v>11.523</v>
      </c>
      <c r="C57" s="107">
        <f t="shared" si="0"/>
        <v>0.54382875734328973</v>
      </c>
      <c r="D57" s="166"/>
      <c r="F57" s="105" t="s">
        <v>12</v>
      </c>
      <c r="G57" s="107">
        <f>C33</f>
        <v>1.52</v>
      </c>
      <c r="H57" s="107">
        <f t="shared" si="2"/>
        <v>4.764761909886412E-2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1.7650955067811367</v>
      </c>
      <c r="D58" s="166"/>
      <c r="F58" s="105" t="s">
        <v>6</v>
      </c>
      <c r="G58" s="106">
        <f>C40</f>
        <v>11.32</v>
      </c>
      <c r="H58" s="107">
        <f t="shared" si="2"/>
        <v>0.35484937381522491</v>
      </c>
    </row>
    <row r="59" spans="1:8">
      <c r="A59" s="105" t="s">
        <v>54</v>
      </c>
      <c r="B59" s="106">
        <f>B45</f>
        <v>37.4</v>
      </c>
      <c r="C59" s="107">
        <f t="shared" si="3"/>
        <v>1.7650955067811367</v>
      </c>
      <c r="D59" s="166"/>
      <c r="F59" s="105" t="s">
        <v>5</v>
      </c>
      <c r="G59" s="106">
        <f>C41</f>
        <v>573.31500000000005</v>
      </c>
      <c r="H59" s="107">
        <f t="shared" si="2"/>
        <v>17.97177285767453</v>
      </c>
    </row>
    <row r="60" spans="1:8">
      <c r="A60" s="105" t="s">
        <v>5</v>
      </c>
      <c r="B60" s="106">
        <f>B41</f>
        <v>3.6074999999999999</v>
      </c>
      <c r="C60" s="107">
        <f t="shared" si="3"/>
        <v>0.17025620429713773</v>
      </c>
      <c r="D60" s="166"/>
      <c r="F60" s="105" t="s">
        <v>4</v>
      </c>
      <c r="G60" s="106">
        <f>C42</f>
        <v>205.60494499999999</v>
      </c>
      <c r="H60" s="107">
        <f t="shared" si="2"/>
        <v>6.4451224369755966</v>
      </c>
    </row>
    <row r="61" spans="1:8">
      <c r="A61" s="105" t="s">
        <v>4</v>
      </c>
      <c r="B61" s="106">
        <f>B42</f>
        <v>220.205015</v>
      </c>
      <c r="C61" s="107">
        <f t="shared" si="3"/>
        <v>10.392590442437776</v>
      </c>
      <c r="D61" s="166"/>
      <c r="F61" s="105" t="s">
        <v>22</v>
      </c>
      <c r="G61" s="106">
        <f>C43</f>
        <v>3.6960000000000002</v>
      </c>
      <c r="H61" s="107">
        <f t="shared" si="2"/>
        <v>0.1158589474930275</v>
      </c>
    </row>
    <row r="62" spans="1:8">
      <c r="A62" s="105" t="s">
        <v>22</v>
      </c>
      <c r="B62" s="106">
        <f>B43</f>
        <v>2.13</v>
      </c>
      <c r="C62" s="107">
        <f t="shared" si="3"/>
        <v>0.10052549276587756</v>
      </c>
      <c r="D62" s="166"/>
      <c r="F62" s="108" t="s">
        <v>20</v>
      </c>
      <c r="G62" s="109">
        <f>SUM(G52:G61)</f>
        <v>3190.0859449999998</v>
      </c>
      <c r="H62" s="110">
        <f>SUM(H52:H61)</f>
        <v>100</v>
      </c>
    </row>
    <row r="63" spans="1:8">
      <c r="A63" s="108" t="s">
        <v>20</v>
      </c>
      <c r="B63" s="109">
        <f>SUM(B52:B62)</f>
        <v>2118.8655150000004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6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9">
        <f>(C68/SUM($C$68:$C$78))*100</f>
        <v>0</v>
      </c>
      <c r="F68" s="105" t="s">
        <v>10</v>
      </c>
      <c r="G68" s="107">
        <f>SUM(Z10,Z14)/Z$24*100</f>
        <v>20.826462325241504</v>
      </c>
    </row>
    <row r="69" spans="1:7">
      <c r="A69" s="105" t="s">
        <v>10</v>
      </c>
      <c r="B69" s="107">
        <f t="shared" ref="B69:B78" si="4">C69/$C$80*100</f>
        <v>1.1129279309195994</v>
      </c>
      <c r="C69" s="106">
        <f>R10</f>
        <v>5017.9290000000001</v>
      </c>
      <c r="D69" s="169">
        <f t="shared" ref="D69:D78" si="5">(C69/SUM($C$68:$C$78))*100</f>
        <v>1.5348811071552004</v>
      </c>
      <c r="F69" s="105" t="s">
        <v>9</v>
      </c>
      <c r="G69" s="107">
        <f>Z11/Z$24*100</f>
        <v>2.0541463453905879</v>
      </c>
    </row>
    <row r="70" spans="1:7">
      <c r="A70" s="105" t="s">
        <v>9</v>
      </c>
      <c r="B70" s="107">
        <f t="shared" si="4"/>
        <v>10.953135678336123</v>
      </c>
      <c r="C70" s="106">
        <f>R11</f>
        <v>49385.1</v>
      </c>
      <c r="D70" s="169">
        <f t="shared" si="5"/>
        <v>15.10588471159522</v>
      </c>
      <c r="F70" s="105" t="s">
        <v>8</v>
      </c>
      <c r="G70" s="107">
        <f>Z12/Z$24*100</f>
        <v>16.425719998703258</v>
      </c>
    </row>
    <row r="71" spans="1:7">
      <c r="A71" s="105" t="s">
        <v>25</v>
      </c>
      <c r="B71" s="107">
        <f t="shared" si="4"/>
        <v>52.416617801645039</v>
      </c>
      <c r="C71" s="106">
        <f>R13</f>
        <v>236334.141</v>
      </c>
      <c r="D71" s="169">
        <f>(C71/SUM($C$68:$C$78))*100</f>
        <v>72.28974503159634</v>
      </c>
      <c r="F71" s="105" t="s">
        <v>25</v>
      </c>
      <c r="G71" s="107">
        <f>Z13/Z$24*100</f>
        <v>38.885368899016903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70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0.67770440794784181</v>
      </c>
      <c r="C73" s="106">
        <f>R19</f>
        <v>3055.6089999999999</v>
      </c>
      <c r="D73" s="169">
        <f t="shared" si="5"/>
        <v>0.934647844748978</v>
      </c>
      <c r="F73" s="105" t="s">
        <v>12</v>
      </c>
      <c r="G73" s="107">
        <f>Z8/Z$24*100</f>
        <v>3.8266944597153109E-2</v>
      </c>
    </row>
    <row r="74" spans="1:7">
      <c r="A74" s="105" t="s">
        <v>55</v>
      </c>
      <c r="B74" s="107">
        <f t="shared" si="4"/>
        <v>1.6327811949069455</v>
      </c>
      <c r="C74" s="106">
        <f>R21</f>
        <v>7361.8244999999997</v>
      </c>
      <c r="D74" s="169">
        <f t="shared" si="5"/>
        <v>2.251830454205765</v>
      </c>
      <c r="F74" s="105" t="s">
        <v>6</v>
      </c>
      <c r="G74" s="107">
        <f>Z15/Z$24*100</f>
        <v>0.2295535164316117</v>
      </c>
    </row>
    <row r="75" spans="1:7">
      <c r="A75" s="105" t="s">
        <v>54</v>
      </c>
      <c r="B75" s="107">
        <f t="shared" si="4"/>
        <v>1.6327811949069455</v>
      </c>
      <c r="C75" s="106">
        <f>R20</f>
        <v>7361.8244999999997</v>
      </c>
      <c r="D75" s="169">
        <f t="shared" si="5"/>
        <v>2.251830454205765</v>
      </c>
      <c r="F75" s="105" t="s">
        <v>5</v>
      </c>
      <c r="G75" s="107">
        <f>Z16/Z$24*100</f>
        <v>18.369796013005345</v>
      </c>
    </row>
    <row r="76" spans="1:7">
      <c r="A76" s="105" t="s">
        <v>5</v>
      </c>
      <c r="B76" s="107">
        <f t="shared" si="4"/>
        <v>4.7846819382515206E-2</v>
      </c>
      <c r="C76" s="106">
        <f>R16</f>
        <v>215.73</v>
      </c>
      <c r="D76" s="169">
        <f t="shared" si="5"/>
        <v>6.5987362763919408E-2</v>
      </c>
      <c r="F76" s="105" t="s">
        <v>4</v>
      </c>
      <c r="G76" s="107">
        <f>Z17/Z$24*100</f>
        <v>3.0615619497300175</v>
      </c>
    </row>
    <row r="77" spans="1:7">
      <c r="A77" s="105" t="s">
        <v>4</v>
      </c>
      <c r="B77" s="107">
        <f t="shared" si="4"/>
        <v>4.0145078352022292</v>
      </c>
      <c r="C77" s="106">
        <f>R17</f>
        <v>18100.467000000001</v>
      </c>
      <c r="D77" s="169">
        <f t="shared" si="5"/>
        <v>5.5365599690601774</v>
      </c>
      <c r="F77" s="105" t="s">
        <v>22</v>
      </c>
      <c r="G77" s="107">
        <f>Z18/Z$24*100</f>
        <v>0.10912400788362379</v>
      </c>
    </row>
    <row r="78" spans="1:7">
      <c r="A78" s="105" t="s">
        <v>22</v>
      </c>
      <c r="B78" s="107">
        <f t="shared" si="4"/>
        <v>2.0761567309033821E-2</v>
      </c>
      <c r="C78" s="106">
        <f>R18</f>
        <v>93.608999999999995</v>
      </c>
      <c r="D78" s="169">
        <f t="shared" si="5"/>
        <v>2.8633064668649386E-2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27.490935569443746</v>
      </c>
      <c r="C79" s="106">
        <f>R23</f>
        <v>123950.13099999999</v>
      </c>
      <c r="D79" s="166"/>
    </row>
    <row r="80" spans="1:7">
      <c r="A80" s="108" t="s">
        <v>20</v>
      </c>
      <c r="B80" s="110">
        <f>SUM(B68:B79)</f>
        <v>100.00000000000001</v>
      </c>
      <c r="C80" s="109">
        <f>SUM(C68:C79)</f>
        <v>450876.36499999993</v>
      </c>
      <c r="D80" s="166"/>
    </row>
    <row r="85" spans="1:26" ht="15">
      <c r="A85" s="134"/>
      <c r="B85" s="134" t="s">
        <v>69</v>
      </c>
      <c r="C85" s="211" t="s">
        <v>13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/>
      <c r="R85"/>
      <c r="S8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120</v>
      </c>
      <c r="Q86"/>
      <c r="R86"/>
      <c r="S86"/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/>
      <c r="R87"/>
      <c r="S87"/>
      <c r="T87"/>
      <c r="U87"/>
      <c r="V87"/>
      <c r="W87"/>
      <c r="X87"/>
      <c r="Y87"/>
      <c r="Z87"/>
    </row>
    <row r="88" spans="1:26" ht="15">
      <c r="A88" s="205" t="s">
        <v>57</v>
      </c>
      <c r="B88" s="133" t="s">
        <v>11</v>
      </c>
      <c r="C88" s="177">
        <v>-0.627467</v>
      </c>
      <c r="D88" s="177">
        <v>-0.58012699999999995</v>
      </c>
      <c r="E88" s="177">
        <v>-0.66887300000000005</v>
      </c>
      <c r="F88" s="177">
        <v>-0.60548299999999999</v>
      </c>
      <c r="G88" s="177">
        <v>-1.0302370000000001</v>
      </c>
      <c r="H88" s="177">
        <v>29.141857000000002</v>
      </c>
      <c r="I88" s="177">
        <v>50.189168000000002</v>
      </c>
      <c r="J88" s="177">
        <v>5.2653150000000002</v>
      </c>
      <c r="K88" s="177">
        <v>-0.60380599999999995</v>
      </c>
      <c r="L88" s="177">
        <v>-0.613232</v>
      </c>
      <c r="M88" s="177">
        <v>-0.58811800000000003</v>
      </c>
      <c r="N88" s="177">
        <v>-0.62679200000000002</v>
      </c>
      <c r="O88" s="177">
        <v>-0.72771799999999998</v>
      </c>
      <c r="P88" s="177">
        <v>0</v>
      </c>
      <c r="Q88"/>
      <c r="R88"/>
      <c r="S88"/>
      <c r="T88"/>
      <c r="U88"/>
      <c r="V88"/>
      <c r="W88"/>
      <c r="X88"/>
      <c r="Y88"/>
      <c r="Z88"/>
    </row>
    <row r="89" spans="1:26" ht="15">
      <c r="A89" s="206"/>
      <c r="B89" s="133" t="s">
        <v>78</v>
      </c>
      <c r="C89" s="177">
        <v>31.928664000000001</v>
      </c>
      <c r="D89" s="177">
        <v>27.287796</v>
      </c>
      <c r="E89" s="177">
        <v>26.627289999999999</v>
      </c>
      <c r="F89" s="177">
        <v>38.583128000000002</v>
      </c>
      <c r="G89" s="177">
        <v>43.134307</v>
      </c>
      <c r="H89" s="177">
        <v>52.984195999999997</v>
      </c>
      <c r="I89" s="177">
        <v>59.042844000000002</v>
      </c>
      <c r="J89" s="177">
        <v>60.455578000000003</v>
      </c>
      <c r="K89" s="177">
        <v>32.713324999999998</v>
      </c>
      <c r="L89" s="177">
        <v>17.166284999999998</v>
      </c>
      <c r="M89" s="177">
        <v>9.2819520000000004</v>
      </c>
      <c r="N89" s="177">
        <v>2.2104400000000002</v>
      </c>
      <c r="O89" s="177">
        <v>5.0179289999999996</v>
      </c>
      <c r="P89" s="177">
        <v>7.2917899999999998</v>
      </c>
      <c r="Q89"/>
      <c r="R89"/>
      <c r="S89"/>
      <c r="T89"/>
      <c r="U89"/>
      <c r="V89"/>
      <c r="W89"/>
      <c r="X89"/>
      <c r="Y89"/>
      <c r="Z89"/>
    </row>
    <row r="90" spans="1:26" ht="15">
      <c r="A90" s="206"/>
      <c r="B90" s="133" t="s">
        <v>9</v>
      </c>
      <c r="C90" s="177">
        <v>14.287952000000001</v>
      </c>
      <c r="D90" s="177">
        <v>12.016398000000001</v>
      </c>
      <c r="E90" s="177">
        <v>16.590530000000001</v>
      </c>
      <c r="F90" s="177">
        <v>16.923745</v>
      </c>
      <c r="G90" s="177">
        <v>26.908512000000002</v>
      </c>
      <c r="H90" s="177">
        <v>32.914068</v>
      </c>
      <c r="I90" s="177">
        <v>59.770274999999998</v>
      </c>
      <c r="J90" s="177">
        <v>67.567459999999997</v>
      </c>
      <c r="K90" s="177">
        <v>56.444971000000002</v>
      </c>
      <c r="L90" s="177">
        <v>42.597769999999997</v>
      </c>
      <c r="M90" s="177">
        <v>23.111573</v>
      </c>
      <c r="N90" s="177">
        <v>26.769898999999999</v>
      </c>
      <c r="O90" s="177">
        <v>49.385100000000001</v>
      </c>
      <c r="P90" s="177">
        <v>14.548009</v>
      </c>
      <c r="Q90"/>
      <c r="R90"/>
      <c r="S90"/>
      <c r="T90"/>
      <c r="U90"/>
      <c r="V90"/>
      <c r="W90"/>
      <c r="X90"/>
      <c r="Y90"/>
      <c r="Z90"/>
    </row>
    <row r="91" spans="1:26" ht="15">
      <c r="A91" s="206"/>
      <c r="B91" s="133" t="s">
        <v>25</v>
      </c>
      <c r="C91" s="177">
        <v>350.086611</v>
      </c>
      <c r="D91" s="177">
        <v>298.62258500000002</v>
      </c>
      <c r="E91" s="177">
        <v>331.00133499999998</v>
      </c>
      <c r="F91" s="177">
        <v>307.42903200000001</v>
      </c>
      <c r="G91" s="177">
        <v>317.55595499999998</v>
      </c>
      <c r="H91" s="177">
        <v>367.58788099999998</v>
      </c>
      <c r="I91" s="177">
        <v>396.959791</v>
      </c>
      <c r="J91" s="177">
        <v>456.377207</v>
      </c>
      <c r="K91" s="177">
        <v>377.07382699999999</v>
      </c>
      <c r="L91" s="177">
        <v>297.32130999999998</v>
      </c>
      <c r="M91" s="177">
        <v>234.47985499999999</v>
      </c>
      <c r="N91" s="177">
        <v>251.18496099999999</v>
      </c>
      <c r="O91" s="177">
        <v>236.33414099999999</v>
      </c>
      <c r="P91" s="177">
        <v>126.03842899999999</v>
      </c>
      <c r="Q91"/>
      <c r="R91"/>
      <c r="S91"/>
      <c r="T91"/>
      <c r="U91"/>
      <c r="V91"/>
      <c r="W91"/>
      <c r="X91"/>
      <c r="Y91"/>
      <c r="Z91"/>
    </row>
    <row r="92" spans="1:26" ht="15">
      <c r="A92" s="206"/>
      <c r="B92" s="133" t="s">
        <v>24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  <c r="H92" s="177">
        <v>0</v>
      </c>
      <c r="I92" s="177">
        <v>2.6835830000000001</v>
      </c>
      <c r="J92" s="177">
        <v>4.441192</v>
      </c>
      <c r="K92" s="177">
        <v>4.0880280000000004</v>
      </c>
      <c r="L92" s="177">
        <v>0.904698</v>
      </c>
      <c r="M92" s="177">
        <v>0</v>
      </c>
      <c r="N92" s="177">
        <v>0</v>
      </c>
      <c r="O92" s="177">
        <v>0</v>
      </c>
      <c r="P92" s="177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06"/>
      <c r="B93" s="133" t="s">
        <v>5</v>
      </c>
      <c r="C93" s="177">
        <v>0.215638</v>
      </c>
      <c r="D93" s="177">
        <v>0.22824</v>
      </c>
      <c r="E93" s="177">
        <v>0.33845999999999998</v>
      </c>
      <c r="F93" s="177">
        <v>0.239788</v>
      </c>
      <c r="G93" s="177">
        <v>0.16079099999999999</v>
      </c>
      <c r="H93" s="177">
        <v>6.1122000000000003E-2</v>
      </c>
      <c r="I93" s="177">
        <v>3.0289E-2</v>
      </c>
      <c r="J93" s="177">
        <v>3.2219999999999999E-2</v>
      </c>
      <c r="K93" s="177">
        <v>1.2760000000000001E-2</v>
      </c>
      <c r="L93" s="177">
        <v>2.8530000000000001E-3</v>
      </c>
      <c r="M93" s="177">
        <v>2.5883E-2</v>
      </c>
      <c r="N93" s="177">
        <v>0.100989</v>
      </c>
      <c r="O93" s="177">
        <v>0.21573000000000001</v>
      </c>
      <c r="P93" s="177">
        <v>0.10724</v>
      </c>
      <c r="Q93"/>
      <c r="R93"/>
      <c r="S93"/>
      <c r="T93"/>
      <c r="U93"/>
      <c r="V93"/>
      <c r="W93"/>
      <c r="X93"/>
      <c r="Y93"/>
      <c r="Z93"/>
    </row>
    <row r="94" spans="1:26" ht="15">
      <c r="A94" s="206"/>
      <c r="B94" s="133" t="s">
        <v>4</v>
      </c>
      <c r="C94" s="177">
        <v>14.437344</v>
      </c>
      <c r="D94" s="177">
        <v>17.860306999999999</v>
      </c>
      <c r="E94" s="177">
        <v>13.718277</v>
      </c>
      <c r="F94" s="177">
        <v>22.443795999999999</v>
      </c>
      <c r="G94" s="177">
        <v>27.347473999999998</v>
      </c>
      <c r="H94" s="177">
        <v>29.225943999999998</v>
      </c>
      <c r="I94" s="177">
        <v>33.049954</v>
      </c>
      <c r="J94" s="177">
        <v>29.653044000000001</v>
      </c>
      <c r="K94" s="177">
        <v>25.055993000000001</v>
      </c>
      <c r="L94" s="177">
        <v>23.236149000000001</v>
      </c>
      <c r="M94" s="177">
        <v>17.029163</v>
      </c>
      <c r="N94" s="177">
        <v>14.799557</v>
      </c>
      <c r="O94" s="177">
        <v>18.100466999999998</v>
      </c>
      <c r="P94" s="177">
        <v>10.999840000000001</v>
      </c>
      <c r="Q94"/>
      <c r="R94"/>
      <c r="S94"/>
      <c r="T94"/>
      <c r="U94"/>
      <c r="V94"/>
      <c r="W94"/>
      <c r="X94"/>
      <c r="Y94"/>
      <c r="Z94"/>
    </row>
    <row r="95" spans="1:26" ht="15">
      <c r="A95" s="206"/>
      <c r="B95" s="133" t="s">
        <v>22</v>
      </c>
      <c r="C95" s="177">
        <v>0.285244</v>
      </c>
      <c r="D95" s="177">
        <v>0.28095199999999998</v>
      </c>
      <c r="E95" s="177">
        <v>0.29118100000000002</v>
      </c>
      <c r="F95" s="177">
        <v>0.16531499999999999</v>
      </c>
      <c r="G95" s="177">
        <v>0.166327</v>
      </c>
      <c r="H95" s="177">
        <v>0.111179</v>
      </c>
      <c r="I95" s="177">
        <v>9.5128000000000004E-2</v>
      </c>
      <c r="J95" s="177">
        <v>5.6752999999999998E-2</v>
      </c>
      <c r="K95" s="177">
        <v>7.1822999999999998E-2</v>
      </c>
      <c r="L95" s="177">
        <v>9.6991999999999995E-2</v>
      </c>
      <c r="M95" s="177">
        <v>8.4503999999999996E-2</v>
      </c>
      <c r="N95" s="177">
        <v>7.7099000000000001E-2</v>
      </c>
      <c r="O95" s="177">
        <v>9.3608999999999998E-2</v>
      </c>
      <c r="P95" s="177">
        <v>5.0810000000000001E-2</v>
      </c>
      <c r="Q95"/>
      <c r="R95"/>
      <c r="S95"/>
      <c r="T95"/>
      <c r="U95"/>
      <c r="V95"/>
      <c r="W95"/>
      <c r="X95"/>
      <c r="Y95"/>
      <c r="Z95"/>
    </row>
    <row r="96" spans="1:26" ht="15">
      <c r="A96" s="206"/>
      <c r="B96" s="133" t="s">
        <v>23</v>
      </c>
      <c r="C96" s="177">
        <v>3.4010050000000001</v>
      </c>
      <c r="D96" s="177">
        <v>3.0684070000000001</v>
      </c>
      <c r="E96" s="177">
        <v>3.993204</v>
      </c>
      <c r="F96" s="177">
        <v>1.8386769999999999</v>
      </c>
      <c r="G96" s="177">
        <v>1.9461250000000001</v>
      </c>
      <c r="H96" s="177">
        <v>1.5363420000000001</v>
      </c>
      <c r="I96" s="177">
        <v>1.1719729999999999</v>
      </c>
      <c r="J96" s="177">
        <v>5.1333999999999998E-2</v>
      </c>
      <c r="K96" s="177">
        <v>2.0373130000000002</v>
      </c>
      <c r="L96" s="177">
        <v>1.826864</v>
      </c>
      <c r="M96" s="177">
        <v>2.5541079999999998</v>
      </c>
      <c r="N96" s="177">
        <v>2.6199620000000001</v>
      </c>
      <c r="O96" s="177">
        <v>3.055609</v>
      </c>
      <c r="P96" s="177">
        <v>1.5320800000000001</v>
      </c>
      <c r="Q96"/>
      <c r="R96"/>
      <c r="S96"/>
      <c r="T96"/>
      <c r="U96"/>
      <c r="V96"/>
      <c r="W96"/>
      <c r="X96"/>
      <c r="Y96"/>
      <c r="Z96"/>
    </row>
    <row r="97" spans="1:26" ht="15">
      <c r="A97" s="206"/>
      <c r="B97" s="133" t="s">
        <v>54</v>
      </c>
      <c r="C97" s="177">
        <v>9.8711500000000001</v>
      </c>
      <c r="D97" s="177">
        <v>5.4414375000000001</v>
      </c>
      <c r="E97" s="177">
        <v>9.6633200000000006</v>
      </c>
      <c r="F97" s="177">
        <v>7.8050050000000004</v>
      </c>
      <c r="G97" s="177">
        <v>11.846197500000001</v>
      </c>
      <c r="H97" s="177">
        <v>13.186323</v>
      </c>
      <c r="I97" s="177">
        <v>16.1606655</v>
      </c>
      <c r="J97" s="177">
        <v>13.6723105</v>
      </c>
      <c r="K97" s="177">
        <v>13.5816645</v>
      </c>
      <c r="L97" s="177">
        <v>11.230755</v>
      </c>
      <c r="M97" s="177">
        <v>10.188828000000001</v>
      </c>
      <c r="N97" s="177">
        <v>10.4136255</v>
      </c>
      <c r="O97" s="177">
        <v>7.3618245</v>
      </c>
      <c r="P97" s="177">
        <v>5.2090500000000004</v>
      </c>
      <c r="Q97"/>
      <c r="R97"/>
      <c r="S97"/>
      <c r="T97"/>
      <c r="U97"/>
      <c r="V97"/>
      <c r="W97"/>
      <c r="X97"/>
      <c r="Y97"/>
      <c r="Z97"/>
    </row>
    <row r="98" spans="1:26" ht="15">
      <c r="A98" s="206"/>
      <c r="B98" s="133" t="s">
        <v>55</v>
      </c>
      <c r="C98" s="177">
        <v>9.8711500000000001</v>
      </c>
      <c r="D98" s="177">
        <v>5.4414375000000001</v>
      </c>
      <c r="E98" s="177">
        <v>9.6633200000000006</v>
      </c>
      <c r="F98" s="177">
        <v>7.8050050000000004</v>
      </c>
      <c r="G98" s="177">
        <v>11.846197500000001</v>
      </c>
      <c r="H98" s="177">
        <v>13.186323</v>
      </c>
      <c r="I98" s="177">
        <v>16.1606655</v>
      </c>
      <c r="J98" s="177">
        <v>13.6723105</v>
      </c>
      <c r="K98" s="177">
        <v>13.5816645</v>
      </c>
      <c r="L98" s="177">
        <v>11.230755</v>
      </c>
      <c r="M98" s="177">
        <v>10.188828000000001</v>
      </c>
      <c r="N98" s="177">
        <v>10.4136255</v>
      </c>
      <c r="O98" s="177">
        <v>7.3618245</v>
      </c>
      <c r="P98" s="177">
        <v>5.2090500000000004</v>
      </c>
      <c r="Q98"/>
      <c r="R98"/>
      <c r="S98"/>
      <c r="T98"/>
      <c r="U98"/>
      <c r="V98"/>
      <c r="W98"/>
      <c r="X98"/>
      <c r="Y98"/>
      <c r="Z98"/>
    </row>
    <row r="99" spans="1:26" ht="15">
      <c r="A99" s="206"/>
      <c r="B99" s="138" t="s">
        <v>2</v>
      </c>
      <c r="C99" s="178">
        <v>433.75729100000001</v>
      </c>
      <c r="D99" s="178">
        <v>369.66743300000002</v>
      </c>
      <c r="E99" s="178">
        <v>411.21804400000002</v>
      </c>
      <c r="F99" s="178">
        <v>402.62800800000002</v>
      </c>
      <c r="G99" s="178">
        <v>439.88164899999998</v>
      </c>
      <c r="H99" s="178">
        <v>539.93523500000003</v>
      </c>
      <c r="I99" s="178">
        <v>635.31433600000003</v>
      </c>
      <c r="J99" s="178">
        <v>651.24472400000002</v>
      </c>
      <c r="K99" s="178">
        <v>524.05756299999996</v>
      </c>
      <c r="L99" s="178">
        <v>405.00119899999999</v>
      </c>
      <c r="M99" s="178">
        <v>306.35657600000002</v>
      </c>
      <c r="N99" s="178">
        <v>317.96336600000001</v>
      </c>
      <c r="O99" s="178">
        <v>326.19851599999998</v>
      </c>
      <c r="P99" s="178">
        <v>170.98629800000001</v>
      </c>
      <c r="Q99"/>
      <c r="R99"/>
      <c r="S99"/>
      <c r="T99"/>
      <c r="U99"/>
      <c r="V99"/>
      <c r="W99"/>
      <c r="X99"/>
      <c r="Y99"/>
      <c r="Z99"/>
    </row>
    <row r="100" spans="1:26" ht="15">
      <c r="A100" s="206"/>
      <c r="B100" s="133" t="s">
        <v>21</v>
      </c>
      <c r="C100" s="177">
        <v>31.159338999999999</v>
      </c>
      <c r="D100" s="177">
        <v>27.502502</v>
      </c>
      <c r="E100" s="177">
        <v>30.689281000000001</v>
      </c>
      <c r="F100" s="177">
        <v>33.641058999999998</v>
      </c>
      <c r="G100" s="177">
        <v>32.047055999999998</v>
      </c>
      <c r="H100" s="177">
        <v>35.225064000000003</v>
      </c>
      <c r="I100" s="177">
        <v>67.033137999999994</v>
      </c>
      <c r="J100" s="177">
        <v>77.653036</v>
      </c>
      <c r="K100" s="177">
        <v>70.647335999999996</v>
      </c>
      <c r="L100" s="177">
        <v>61.365385000000003</v>
      </c>
      <c r="M100" s="177">
        <v>55.991686000000001</v>
      </c>
      <c r="N100" s="177">
        <v>79.778822000000005</v>
      </c>
      <c r="O100" s="177">
        <v>123.950131</v>
      </c>
      <c r="P100" s="177">
        <v>53.689100000000003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07"/>
      <c r="B101" s="138" t="s">
        <v>79</v>
      </c>
      <c r="C101" s="178">
        <v>464.91663</v>
      </c>
      <c r="D101" s="178">
        <v>397.16993500000001</v>
      </c>
      <c r="E101" s="178">
        <v>441.90732500000001</v>
      </c>
      <c r="F101" s="178">
        <v>436.26906700000001</v>
      </c>
      <c r="G101" s="178">
        <v>471.92870499999998</v>
      </c>
      <c r="H101" s="178">
        <v>575.16029900000001</v>
      </c>
      <c r="I101" s="178">
        <v>702.34747400000003</v>
      </c>
      <c r="J101" s="178">
        <v>728.89775999999995</v>
      </c>
      <c r="K101" s="178">
        <v>594.70489899999995</v>
      </c>
      <c r="L101" s="178">
        <v>466.36658399999999</v>
      </c>
      <c r="M101" s="178">
        <v>362.34826199999998</v>
      </c>
      <c r="N101" s="178">
        <v>397.742188</v>
      </c>
      <c r="O101" s="178">
        <v>450.14864699999998</v>
      </c>
      <c r="P101" s="178">
        <v>224.675398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10" t="s">
        <v>58</v>
      </c>
      <c r="B102" s="133" t="s">
        <v>12</v>
      </c>
      <c r="C102" s="177">
        <v>0.294213</v>
      </c>
      <c r="D102" s="177">
        <v>0.25058200000000003</v>
      </c>
      <c r="E102" s="177">
        <v>0.29644599999999999</v>
      </c>
      <c r="F102" s="177">
        <v>0.27407199999999998</v>
      </c>
      <c r="G102" s="177">
        <v>0.29880499999999999</v>
      </c>
      <c r="H102" s="177">
        <v>0.28138299999999999</v>
      </c>
      <c r="I102" s="177">
        <v>0.29436099999999998</v>
      </c>
      <c r="J102" s="177">
        <v>0.29274699999999998</v>
      </c>
      <c r="K102" s="177">
        <v>0.28892499999999999</v>
      </c>
      <c r="L102" s="177">
        <v>0.29362700000000003</v>
      </c>
      <c r="M102" s="177">
        <v>0.27748800000000001</v>
      </c>
      <c r="N102" s="177">
        <v>0.28889599999999999</v>
      </c>
      <c r="O102" s="177">
        <v>0.27497500000000002</v>
      </c>
      <c r="P102" s="177">
        <v>0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06"/>
      <c r="B103" s="133" t="s">
        <v>78</v>
      </c>
      <c r="C103" s="177">
        <v>144.97616600000001</v>
      </c>
      <c r="D103" s="177">
        <v>129.27922799999999</v>
      </c>
      <c r="E103" s="177">
        <v>148.837288</v>
      </c>
      <c r="F103" s="177">
        <v>137.06189800000001</v>
      </c>
      <c r="G103" s="177">
        <v>142.20013900000001</v>
      </c>
      <c r="H103" s="177">
        <v>140.17607899999999</v>
      </c>
      <c r="I103" s="177">
        <v>145.16309200000001</v>
      </c>
      <c r="J103" s="177">
        <v>144.446313</v>
      </c>
      <c r="K103" s="177">
        <v>147.14426599999999</v>
      </c>
      <c r="L103" s="177">
        <v>153.68743499999999</v>
      </c>
      <c r="M103" s="177">
        <v>154.15621999999999</v>
      </c>
      <c r="N103" s="177">
        <v>168.11327800000001</v>
      </c>
      <c r="O103" s="177">
        <v>149.666676</v>
      </c>
      <c r="P103" s="177">
        <v>83.421817000000004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06"/>
      <c r="B104" s="133" t="s">
        <v>9</v>
      </c>
      <c r="C104" s="177">
        <v>20.1236</v>
      </c>
      <c r="D104" s="177">
        <v>22.304445000000001</v>
      </c>
      <c r="E104" s="177">
        <v>22.266978999999999</v>
      </c>
      <c r="F104" s="177">
        <v>17.593667</v>
      </c>
      <c r="G104" s="177">
        <v>15.375764</v>
      </c>
      <c r="H104" s="177">
        <v>14.745189</v>
      </c>
      <c r="I104" s="177">
        <v>19.947948</v>
      </c>
      <c r="J104" s="177">
        <v>17.951955999999999</v>
      </c>
      <c r="K104" s="177">
        <v>27.959973000000002</v>
      </c>
      <c r="L104" s="177">
        <v>36.672798</v>
      </c>
      <c r="M104" s="177">
        <v>23.967887999999999</v>
      </c>
      <c r="N104" s="177">
        <v>22.080762</v>
      </c>
      <c r="O104" s="177">
        <v>14.760491</v>
      </c>
      <c r="P104" s="177">
        <v>14.694084999999999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06"/>
      <c r="B105" s="133" t="s">
        <v>8</v>
      </c>
      <c r="C105" s="177">
        <v>117.429802</v>
      </c>
      <c r="D105" s="177">
        <v>102.630663</v>
      </c>
      <c r="E105" s="177">
        <v>114.410944</v>
      </c>
      <c r="F105" s="177">
        <v>103.636366</v>
      </c>
      <c r="G105" s="177">
        <v>86.849653000000004</v>
      </c>
      <c r="H105" s="177">
        <v>60.625902000000004</v>
      </c>
      <c r="I105" s="177">
        <v>73.213599000000002</v>
      </c>
      <c r="J105" s="177">
        <v>102.417012</v>
      </c>
      <c r="K105" s="177">
        <v>110.953991</v>
      </c>
      <c r="L105" s="177">
        <v>118.59882</v>
      </c>
      <c r="M105" s="177">
        <v>93.771169</v>
      </c>
      <c r="N105" s="177">
        <v>122.69665500000001</v>
      </c>
      <c r="O105" s="177">
        <v>118.030389</v>
      </c>
      <c r="P105" s="177">
        <v>69.187680999999998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06"/>
      <c r="B106" s="133" t="s">
        <v>25</v>
      </c>
      <c r="C106" s="177">
        <v>350.33219100000002</v>
      </c>
      <c r="D106" s="177">
        <v>285.34500700000001</v>
      </c>
      <c r="E106" s="177">
        <v>288.52109999999999</v>
      </c>
      <c r="F106" s="177">
        <v>265.37271800000002</v>
      </c>
      <c r="G106" s="177">
        <v>303.45663500000001</v>
      </c>
      <c r="H106" s="177">
        <v>283.58392400000002</v>
      </c>
      <c r="I106" s="177">
        <v>295.51749599999999</v>
      </c>
      <c r="J106" s="177">
        <v>269.79137200000002</v>
      </c>
      <c r="K106" s="177">
        <v>285.29845599999999</v>
      </c>
      <c r="L106" s="177">
        <v>305.38632699999999</v>
      </c>
      <c r="M106" s="177">
        <v>309.74341800000002</v>
      </c>
      <c r="N106" s="177">
        <v>347.66188299999999</v>
      </c>
      <c r="O106" s="177">
        <v>279.418815</v>
      </c>
      <c r="P106" s="177">
        <v>139.68391500000001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06"/>
      <c r="B107" s="133" t="s">
        <v>24</v>
      </c>
      <c r="C107" s="177">
        <v>0</v>
      </c>
      <c r="D107" s="177">
        <v>0</v>
      </c>
      <c r="E107" s="177">
        <v>0</v>
      </c>
      <c r="F107" s="177">
        <v>0</v>
      </c>
      <c r="G107" s="177">
        <v>0</v>
      </c>
      <c r="H107" s="177">
        <v>0</v>
      </c>
      <c r="I107" s="177">
        <v>-7.7730000000000004E-3</v>
      </c>
      <c r="J107" s="177">
        <v>-1.2208999999999999E-2</v>
      </c>
      <c r="K107" s="177">
        <v>-1.1861999999999999E-2</v>
      </c>
      <c r="L107" s="177">
        <v>-7.5659999999999998E-3</v>
      </c>
      <c r="M107" s="177">
        <v>-1.2637000000000001E-2</v>
      </c>
      <c r="N107" s="177">
        <v>-1.3625E-2</v>
      </c>
      <c r="O107" s="177">
        <v>-1.3847999999999999E-2</v>
      </c>
      <c r="P107" s="177">
        <v>0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06"/>
      <c r="B108" s="133" t="s">
        <v>6</v>
      </c>
      <c r="C108" s="177">
        <v>1.110916</v>
      </c>
      <c r="D108" s="177">
        <v>1.4820450000000001</v>
      </c>
      <c r="E108" s="177">
        <v>2.1263230000000002</v>
      </c>
      <c r="F108" s="177">
        <v>1.7525280000000001</v>
      </c>
      <c r="G108" s="177">
        <v>1.9171739999999999</v>
      </c>
      <c r="H108" s="177">
        <v>2.44956</v>
      </c>
      <c r="I108" s="177">
        <v>3.5629430000000002</v>
      </c>
      <c r="J108" s="177">
        <v>3.5176750000000001</v>
      </c>
      <c r="K108" s="177">
        <v>2.0750950000000001</v>
      </c>
      <c r="L108" s="177">
        <v>1.3500719999999999</v>
      </c>
      <c r="M108" s="177">
        <v>1.1694089999999999</v>
      </c>
      <c r="N108" s="177">
        <v>0.36710399999999999</v>
      </c>
      <c r="O108" s="177">
        <v>1.6495040000000001</v>
      </c>
      <c r="P108" s="177">
        <v>0.279333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06"/>
      <c r="B109" s="133" t="s">
        <v>5</v>
      </c>
      <c r="C109" s="177">
        <v>60.12574</v>
      </c>
      <c r="D109" s="177">
        <v>88.964033999999998</v>
      </c>
      <c r="E109" s="177">
        <v>109.414616</v>
      </c>
      <c r="F109" s="177">
        <v>120.73900500000001</v>
      </c>
      <c r="G109" s="177">
        <v>116.77421</v>
      </c>
      <c r="H109" s="177">
        <v>159.50470799999999</v>
      </c>
      <c r="I109" s="177">
        <v>180.96485300000001</v>
      </c>
      <c r="J109" s="177">
        <v>183.70770899999999</v>
      </c>
      <c r="K109" s="177">
        <v>123.26133799999999</v>
      </c>
      <c r="L109" s="177">
        <v>85.114315000000005</v>
      </c>
      <c r="M109" s="177">
        <v>102.415227</v>
      </c>
      <c r="N109" s="177">
        <v>37.762255000000003</v>
      </c>
      <c r="O109" s="177">
        <v>131.99994699999999</v>
      </c>
      <c r="P109" s="177">
        <v>16.089573000000001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06"/>
      <c r="B110" s="133" t="s">
        <v>4</v>
      </c>
      <c r="C110" s="177">
        <v>18.056702999999999</v>
      </c>
      <c r="D110" s="177">
        <v>18.872744999999998</v>
      </c>
      <c r="E110" s="177">
        <v>25.047723999999999</v>
      </c>
      <c r="F110" s="177">
        <v>26.389223999999999</v>
      </c>
      <c r="G110" s="177">
        <v>32.969079000000001</v>
      </c>
      <c r="H110" s="177">
        <v>30.72391</v>
      </c>
      <c r="I110" s="177">
        <v>34.258988000000002</v>
      </c>
      <c r="J110" s="177">
        <v>32.216773000000003</v>
      </c>
      <c r="K110" s="177">
        <v>26.500267000000001</v>
      </c>
      <c r="L110" s="177">
        <v>26.61814</v>
      </c>
      <c r="M110" s="177">
        <v>23.099277000000001</v>
      </c>
      <c r="N110" s="177">
        <v>18.862687999999999</v>
      </c>
      <c r="O110" s="177">
        <v>21.999483000000001</v>
      </c>
      <c r="P110" s="177">
        <v>10.77411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06"/>
      <c r="B111" s="133" t="s">
        <v>22</v>
      </c>
      <c r="C111" s="177">
        <v>0.86053100000000005</v>
      </c>
      <c r="D111" s="177">
        <v>0.72069799999999995</v>
      </c>
      <c r="E111" s="177">
        <v>0.90984399999999999</v>
      </c>
      <c r="F111" s="177">
        <v>0.61352399999999996</v>
      </c>
      <c r="G111" s="177">
        <v>0.72146399999999999</v>
      </c>
      <c r="H111" s="177">
        <v>0.696106</v>
      </c>
      <c r="I111" s="177">
        <v>0.688222</v>
      </c>
      <c r="J111" s="177">
        <v>0.71531400000000001</v>
      </c>
      <c r="K111" s="177">
        <v>0.714812</v>
      </c>
      <c r="L111" s="177">
        <v>0.73132799999999998</v>
      </c>
      <c r="M111" s="177">
        <v>0.76498500000000003</v>
      </c>
      <c r="N111" s="177">
        <v>0.78453200000000001</v>
      </c>
      <c r="O111" s="177">
        <v>0.78413299999999997</v>
      </c>
      <c r="P111" s="177">
        <v>0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06"/>
      <c r="B112" s="133" t="s">
        <v>23</v>
      </c>
      <c r="C112" s="177">
        <v>0</v>
      </c>
      <c r="D112" s="177">
        <v>0</v>
      </c>
      <c r="E112" s="177">
        <v>0</v>
      </c>
      <c r="F112" s="177">
        <v>0</v>
      </c>
      <c r="G112" s="177">
        <v>0</v>
      </c>
      <c r="H112" s="177">
        <v>0</v>
      </c>
      <c r="I112" s="177">
        <v>0</v>
      </c>
      <c r="J112" s="177">
        <v>0</v>
      </c>
      <c r="K112" s="177">
        <v>0</v>
      </c>
      <c r="L112" s="177">
        <v>0</v>
      </c>
      <c r="M112" s="177">
        <v>0</v>
      </c>
      <c r="N112" s="177">
        <v>0</v>
      </c>
      <c r="O112" s="177">
        <v>0</v>
      </c>
      <c r="P112" s="177">
        <v>0</v>
      </c>
      <c r="Q112"/>
      <c r="R112"/>
      <c r="S112"/>
      <c r="T112"/>
      <c r="U112"/>
      <c r="V112"/>
      <c r="W112"/>
      <c r="X112"/>
      <c r="Y112"/>
      <c r="Z112"/>
    </row>
    <row r="113" spans="1:26" ht="15">
      <c r="A113" s="206"/>
      <c r="B113" s="138" t="s">
        <v>2</v>
      </c>
      <c r="C113" s="178">
        <v>713.30986199999995</v>
      </c>
      <c r="D113" s="178">
        <v>649.84944700000005</v>
      </c>
      <c r="E113" s="178">
        <v>711.83126400000003</v>
      </c>
      <c r="F113" s="178">
        <v>673.43300199999999</v>
      </c>
      <c r="G113" s="178">
        <v>700.56292299999996</v>
      </c>
      <c r="H113" s="178">
        <v>692.78676099999996</v>
      </c>
      <c r="I113" s="178">
        <v>753.60372900000004</v>
      </c>
      <c r="J113" s="178">
        <v>755.04466200000002</v>
      </c>
      <c r="K113" s="178">
        <v>724.18526099999997</v>
      </c>
      <c r="L113" s="178">
        <v>728.44529599999998</v>
      </c>
      <c r="M113" s="178">
        <v>709.35244399999999</v>
      </c>
      <c r="N113" s="178">
        <v>718.60442799999998</v>
      </c>
      <c r="O113" s="178">
        <v>718.57056499999999</v>
      </c>
      <c r="P113" s="178">
        <v>334.13051400000001</v>
      </c>
      <c r="Q113"/>
      <c r="R113"/>
      <c r="S113"/>
      <c r="T113"/>
      <c r="U113"/>
      <c r="V113"/>
      <c r="W113"/>
      <c r="X113"/>
      <c r="Y113"/>
      <c r="Z113"/>
    </row>
    <row r="114" spans="1:26" ht="15">
      <c r="A114" s="207"/>
      <c r="B114" s="138" t="s">
        <v>79</v>
      </c>
      <c r="C114" s="178">
        <v>713.30986199999995</v>
      </c>
      <c r="D114" s="178">
        <v>649.84944700000005</v>
      </c>
      <c r="E114" s="178">
        <v>711.83126400000003</v>
      </c>
      <c r="F114" s="178">
        <v>673.43300199999999</v>
      </c>
      <c r="G114" s="178">
        <v>700.56292299999996</v>
      </c>
      <c r="H114" s="178">
        <v>692.78676099999996</v>
      </c>
      <c r="I114" s="178">
        <v>753.60372900000004</v>
      </c>
      <c r="J114" s="178">
        <v>755.04466200000002</v>
      </c>
      <c r="K114" s="178">
        <v>724.18526099999997</v>
      </c>
      <c r="L114" s="178">
        <v>728.44529599999998</v>
      </c>
      <c r="M114" s="178">
        <v>709.35244399999999</v>
      </c>
      <c r="N114" s="178">
        <v>718.60442799999998</v>
      </c>
      <c r="O114" s="178">
        <v>718.57056499999999</v>
      </c>
      <c r="P114" s="178">
        <v>334.13051400000001</v>
      </c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3" t="s">
        <v>73</v>
      </c>
      <c r="C117" s="111" t="str">
        <f>TEXT(EDATE(D117,-1),"mmmm aaaa")</f>
        <v>enero 2022</v>
      </c>
      <c r="D117" s="111" t="str">
        <f t="shared" ref="D117:M117" si="6">TEXT(EDATE(E117,-1),"mmmm aaaa")</f>
        <v>febrero 2022</v>
      </c>
      <c r="E117" s="111" t="str">
        <f t="shared" si="6"/>
        <v>marzo 2022</v>
      </c>
      <c r="F117" s="111" t="str">
        <f t="shared" si="6"/>
        <v>abril 2022</v>
      </c>
      <c r="G117" s="111" t="str">
        <f t="shared" si="6"/>
        <v>mayo 2022</v>
      </c>
      <c r="H117" s="111" t="str">
        <f t="shared" si="6"/>
        <v>junio 2022</v>
      </c>
      <c r="I117" s="111" t="str">
        <f t="shared" si="6"/>
        <v>julio 2022</v>
      </c>
      <c r="J117" s="111" t="str">
        <f t="shared" si="6"/>
        <v>agosto 2022</v>
      </c>
      <c r="K117" s="111" t="str">
        <f t="shared" si="6"/>
        <v>septiembre 2022</v>
      </c>
      <c r="L117" s="111" t="str">
        <f t="shared" si="6"/>
        <v>octubre 2022</v>
      </c>
      <c r="M117" s="111" t="str">
        <f t="shared" si="6"/>
        <v>noviembre 2022</v>
      </c>
      <c r="N117" s="111" t="str">
        <f>TEXT(EDATE(O117,-1),"mmmm aaaa")</f>
        <v>diciembre 2022</v>
      </c>
      <c r="O117" s="112" t="str">
        <f>A2</f>
        <v>Enero 2023</v>
      </c>
    </row>
    <row r="118" spans="1:26">
      <c r="B118" s="204"/>
      <c r="C118" s="121" t="str">
        <f>TEXT(EDATE($A$2,-12),"mmm")&amp;".-"&amp;TEXT(EDATE($A$2,-12),"aa")</f>
        <v>ene.-22</v>
      </c>
      <c r="D118" s="121" t="str">
        <f>TEXT(EDATE($A$2,-11),"mmm")&amp;".-"&amp;TEXT(EDATE($A$2,-11),"aa")</f>
        <v>feb.-22</v>
      </c>
      <c r="E118" s="121" t="str">
        <f>TEXT(EDATE($A$2,-10),"mmm")&amp;".-"&amp;TEXT(EDATE($A$2,-10),"aa")</f>
        <v>mar.-22</v>
      </c>
      <c r="F118" s="121" t="str">
        <f>TEXT(EDATE($A$2,-9),"mmm")&amp;".-"&amp;TEXT(EDATE($A$2,-9),"aa")</f>
        <v>abr.-22</v>
      </c>
      <c r="G118" s="121" t="str">
        <f>TEXT(EDATE($A$2,-8),"mmm")&amp;".-"&amp;TEXT(EDATE($A$2,-8),"aa")</f>
        <v>may.-22</v>
      </c>
      <c r="H118" s="121" t="str">
        <f>TEXT(EDATE($A$2,-7),"mmm")&amp;".-"&amp;TEXT(EDATE($A$2,-7),"aa")</f>
        <v>jun.-22</v>
      </c>
      <c r="I118" s="121" t="str">
        <f>TEXT(EDATE($A$2,-6),"mmm")&amp;".-"&amp;TEXT(EDATE($A$2,-6),"aa")</f>
        <v>jul.-22</v>
      </c>
      <c r="J118" s="121" t="str">
        <f>TEXT(EDATE($A$2,-5),"mmm")&amp;".-"&amp;TEXT(EDATE($A$2,-5),"aa")</f>
        <v>ago.-22</v>
      </c>
      <c r="K118" s="121" t="str">
        <f>TEXT(EDATE($A$2,-4),"mmm")&amp;".-"&amp;TEXT(EDATE($A$2,-4),"aa")</f>
        <v>sep.-22</v>
      </c>
      <c r="L118" s="121" t="str">
        <f>TEXT(EDATE($A$2,-3),"mmm")&amp;".-"&amp;TEXT(EDATE($A$2,-3),"aa")</f>
        <v>oct.-22</v>
      </c>
      <c r="M118" s="121" t="str">
        <f>TEXT(EDATE($A$2,-2),"mmm")&amp;".-"&amp;TEXT(EDATE($A$2,-2),"aa")</f>
        <v>nov.-22</v>
      </c>
      <c r="N118" s="121" t="str">
        <f>TEXT(EDATE($A$2,-1),"mmm")&amp;".-"&amp;TEXT(EDATE($A$2,-1),"aa")</f>
        <v>dic.-22</v>
      </c>
      <c r="O118" s="144" t="str">
        <f>TEXT($A$2,"mmm")&amp;".-"&amp;TEXT($A$2,"aa")</f>
        <v>ene.-23</v>
      </c>
    </row>
    <row r="119" spans="1:26">
      <c r="A119" s="200" t="s">
        <v>76</v>
      </c>
      <c r="B119" s="122" t="s">
        <v>11</v>
      </c>
      <c r="C119" s="123">
        <f>HLOOKUP(C$117,$86:$101,3,FALSE)</f>
        <v>-0.627467</v>
      </c>
      <c r="D119" s="123">
        <f t="shared" ref="D119:N119" si="7">HLOOKUP(D$117,$86:$101,3,FALSE)</f>
        <v>-0.58012699999999995</v>
      </c>
      <c r="E119" s="123">
        <f t="shared" si="7"/>
        <v>-0.66887300000000005</v>
      </c>
      <c r="F119" s="123">
        <f t="shared" si="7"/>
        <v>-0.60548299999999999</v>
      </c>
      <c r="G119" s="123">
        <f t="shared" si="7"/>
        <v>-1.0302370000000001</v>
      </c>
      <c r="H119" s="123">
        <f t="shared" si="7"/>
        <v>29.141857000000002</v>
      </c>
      <c r="I119" s="123">
        <f t="shared" si="7"/>
        <v>50.189168000000002</v>
      </c>
      <c r="J119" s="123">
        <f t="shared" si="7"/>
        <v>5.2653150000000002</v>
      </c>
      <c r="K119" s="123">
        <f t="shared" si="7"/>
        <v>-0.60380599999999995</v>
      </c>
      <c r="L119" s="123">
        <f t="shared" si="7"/>
        <v>-0.613232</v>
      </c>
      <c r="M119" s="123">
        <f t="shared" si="7"/>
        <v>-0.58811800000000003</v>
      </c>
      <c r="N119" s="123">
        <f t="shared" si="7"/>
        <v>-0.62679200000000002</v>
      </c>
      <c r="O119" s="124">
        <f>HLOOKUP(O$117,$86:$101,3,FALSE)</f>
        <v>-0.72771799999999998</v>
      </c>
    </row>
    <row r="120" spans="1:26">
      <c r="A120" s="201"/>
      <c r="B120" s="105" t="s">
        <v>10</v>
      </c>
      <c r="C120" s="107">
        <f>HLOOKUP(C$117,$86:$101,4,FALSE)</f>
        <v>31.928664000000001</v>
      </c>
      <c r="D120" s="107">
        <f t="shared" ref="D120:O120" si="8">HLOOKUP(D$117,$86:$101,4,FALSE)</f>
        <v>27.287796</v>
      </c>
      <c r="E120" s="107">
        <f t="shared" si="8"/>
        <v>26.627289999999999</v>
      </c>
      <c r="F120" s="107">
        <f t="shared" si="8"/>
        <v>38.583128000000002</v>
      </c>
      <c r="G120" s="107">
        <f t="shared" si="8"/>
        <v>43.134307</v>
      </c>
      <c r="H120" s="107">
        <f t="shared" si="8"/>
        <v>52.984195999999997</v>
      </c>
      <c r="I120" s="107">
        <f t="shared" si="8"/>
        <v>59.042844000000002</v>
      </c>
      <c r="J120" s="107">
        <f t="shared" si="8"/>
        <v>60.455578000000003</v>
      </c>
      <c r="K120" s="107">
        <f t="shared" si="8"/>
        <v>32.713324999999998</v>
      </c>
      <c r="L120" s="107">
        <f t="shared" si="8"/>
        <v>17.166284999999998</v>
      </c>
      <c r="M120" s="107">
        <f t="shared" si="8"/>
        <v>9.2819520000000004</v>
      </c>
      <c r="N120" s="107">
        <f t="shared" si="8"/>
        <v>2.2104400000000002</v>
      </c>
      <c r="O120" s="124">
        <f t="shared" si="8"/>
        <v>5.0179289999999996</v>
      </c>
    </row>
    <row r="121" spans="1:26">
      <c r="A121" s="201"/>
      <c r="B121" s="105" t="s">
        <v>9</v>
      </c>
      <c r="C121" s="107">
        <f>HLOOKUP(C$117,$86:$101,5,FALSE)</f>
        <v>14.287952000000001</v>
      </c>
      <c r="D121" s="107">
        <f t="shared" ref="D121:O121" si="9">HLOOKUP(D$117,$86:$101,5,FALSE)</f>
        <v>12.016398000000001</v>
      </c>
      <c r="E121" s="107">
        <f t="shared" si="9"/>
        <v>16.590530000000001</v>
      </c>
      <c r="F121" s="107">
        <f t="shared" si="9"/>
        <v>16.923745</v>
      </c>
      <c r="G121" s="107">
        <f t="shared" si="9"/>
        <v>26.908512000000002</v>
      </c>
      <c r="H121" s="107">
        <f t="shared" si="9"/>
        <v>32.914068</v>
      </c>
      <c r="I121" s="107">
        <f t="shared" si="9"/>
        <v>59.770274999999998</v>
      </c>
      <c r="J121" s="107">
        <f t="shared" si="9"/>
        <v>67.567459999999997</v>
      </c>
      <c r="K121" s="107">
        <f t="shared" si="9"/>
        <v>56.444971000000002</v>
      </c>
      <c r="L121" s="107">
        <f t="shared" si="9"/>
        <v>42.597769999999997</v>
      </c>
      <c r="M121" s="107">
        <f t="shared" si="9"/>
        <v>23.111573</v>
      </c>
      <c r="N121" s="107">
        <f t="shared" si="9"/>
        <v>26.769898999999999</v>
      </c>
      <c r="O121" s="124">
        <f t="shared" si="9"/>
        <v>49.385100000000001</v>
      </c>
    </row>
    <row r="122" spans="1:26" ht="14.25">
      <c r="A122" s="201"/>
      <c r="B122" s="105" t="s">
        <v>74</v>
      </c>
      <c r="C122" s="107">
        <f>HLOOKUP(C$117,$86:$101,6,FALSE)</f>
        <v>350.086611</v>
      </c>
      <c r="D122" s="107">
        <f t="shared" ref="D122:O122" si="10">HLOOKUP(D$117,$86:$101,6,FALSE)</f>
        <v>298.62258500000002</v>
      </c>
      <c r="E122" s="107">
        <f t="shared" si="10"/>
        <v>331.00133499999998</v>
      </c>
      <c r="F122" s="107">
        <f t="shared" si="10"/>
        <v>307.42903200000001</v>
      </c>
      <c r="G122" s="107">
        <f t="shared" si="10"/>
        <v>317.55595499999998</v>
      </c>
      <c r="H122" s="107">
        <f t="shared" si="10"/>
        <v>367.58788099999998</v>
      </c>
      <c r="I122" s="107">
        <f t="shared" si="10"/>
        <v>396.959791</v>
      </c>
      <c r="J122" s="107">
        <f t="shared" si="10"/>
        <v>456.377207</v>
      </c>
      <c r="K122" s="107">
        <f t="shared" si="10"/>
        <v>377.07382699999999</v>
      </c>
      <c r="L122" s="107">
        <f t="shared" si="10"/>
        <v>297.32130999999998</v>
      </c>
      <c r="M122" s="107">
        <f t="shared" si="10"/>
        <v>234.47985499999999</v>
      </c>
      <c r="N122" s="107">
        <f t="shared" si="10"/>
        <v>251.18496099999999</v>
      </c>
      <c r="O122" s="124">
        <f t="shared" si="10"/>
        <v>236.33414099999999</v>
      </c>
    </row>
    <row r="123" spans="1:26">
      <c r="A123" s="201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2.6835830000000001</v>
      </c>
      <c r="J123" s="107">
        <f t="shared" si="11"/>
        <v>4.441192</v>
      </c>
      <c r="K123" s="107">
        <f t="shared" si="11"/>
        <v>4.0880280000000004</v>
      </c>
      <c r="L123" s="107">
        <f t="shared" si="11"/>
        <v>0.904698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1"/>
      <c r="B124" s="105" t="s">
        <v>5</v>
      </c>
      <c r="C124" s="107">
        <f>HLOOKUP(C$117,$86:$102,8,FALSE)</f>
        <v>0.215638</v>
      </c>
      <c r="D124" s="107">
        <f t="shared" ref="D124:O124" si="12">HLOOKUP(D$117,$86:$102,8,FALSE)</f>
        <v>0.22824</v>
      </c>
      <c r="E124" s="107">
        <f t="shared" si="12"/>
        <v>0.33845999999999998</v>
      </c>
      <c r="F124" s="107">
        <f t="shared" si="12"/>
        <v>0.239788</v>
      </c>
      <c r="G124" s="107">
        <f t="shared" si="12"/>
        <v>0.16079099999999999</v>
      </c>
      <c r="H124" s="107">
        <f t="shared" si="12"/>
        <v>6.1122000000000003E-2</v>
      </c>
      <c r="I124" s="107">
        <f t="shared" si="12"/>
        <v>3.0289E-2</v>
      </c>
      <c r="J124" s="107">
        <f t="shared" si="12"/>
        <v>3.2219999999999999E-2</v>
      </c>
      <c r="K124" s="107">
        <f t="shared" si="12"/>
        <v>1.2760000000000001E-2</v>
      </c>
      <c r="L124" s="107">
        <f t="shared" si="12"/>
        <v>2.8530000000000001E-3</v>
      </c>
      <c r="M124" s="107">
        <f t="shared" si="12"/>
        <v>2.5883E-2</v>
      </c>
      <c r="N124" s="107">
        <f t="shared" si="12"/>
        <v>0.100989</v>
      </c>
      <c r="O124" s="124">
        <f t="shared" si="12"/>
        <v>0.21573000000000001</v>
      </c>
    </row>
    <row r="125" spans="1:26">
      <c r="A125" s="201"/>
      <c r="B125" s="105" t="s">
        <v>4</v>
      </c>
      <c r="C125" s="107">
        <f>HLOOKUP(C$117,$86:$102,9,FALSE)</f>
        <v>14.437344</v>
      </c>
      <c r="D125" s="107">
        <f t="shared" ref="D125:O125" si="13">HLOOKUP(D$117,$86:$102,9,FALSE)</f>
        <v>17.860306999999999</v>
      </c>
      <c r="E125" s="107">
        <f t="shared" si="13"/>
        <v>13.718277</v>
      </c>
      <c r="F125" s="107">
        <f t="shared" si="13"/>
        <v>22.443795999999999</v>
      </c>
      <c r="G125" s="107">
        <f t="shared" si="13"/>
        <v>27.347473999999998</v>
      </c>
      <c r="H125" s="107">
        <f t="shared" si="13"/>
        <v>29.225943999999998</v>
      </c>
      <c r="I125" s="107">
        <f t="shared" si="13"/>
        <v>33.049954</v>
      </c>
      <c r="J125" s="107">
        <f t="shared" si="13"/>
        <v>29.653044000000001</v>
      </c>
      <c r="K125" s="107">
        <f t="shared" si="13"/>
        <v>25.055993000000001</v>
      </c>
      <c r="L125" s="107">
        <f t="shared" si="13"/>
        <v>23.236149000000001</v>
      </c>
      <c r="M125" s="107">
        <f t="shared" si="13"/>
        <v>17.029163</v>
      </c>
      <c r="N125" s="107">
        <f t="shared" si="13"/>
        <v>14.799557</v>
      </c>
      <c r="O125" s="124">
        <f t="shared" si="13"/>
        <v>18.100466999999998</v>
      </c>
    </row>
    <row r="126" spans="1:26">
      <c r="A126" s="201"/>
      <c r="B126" s="113" t="s">
        <v>22</v>
      </c>
      <c r="C126" s="107">
        <f>HLOOKUP(C$117,$86:$102,10,FALSE)</f>
        <v>0.285244</v>
      </c>
      <c r="D126" s="107">
        <f t="shared" ref="D126:O126" si="14">HLOOKUP(D$117,$86:$102,10,FALSE)</f>
        <v>0.28095199999999998</v>
      </c>
      <c r="E126" s="107">
        <f t="shared" si="14"/>
        <v>0.29118100000000002</v>
      </c>
      <c r="F126" s="107">
        <f t="shared" si="14"/>
        <v>0.16531499999999999</v>
      </c>
      <c r="G126" s="107">
        <f t="shared" si="14"/>
        <v>0.166327</v>
      </c>
      <c r="H126" s="107">
        <f t="shared" si="14"/>
        <v>0.111179</v>
      </c>
      <c r="I126" s="107">
        <f t="shared" si="14"/>
        <v>9.5128000000000004E-2</v>
      </c>
      <c r="J126" s="107">
        <f t="shared" si="14"/>
        <v>5.6752999999999998E-2</v>
      </c>
      <c r="K126" s="107">
        <f t="shared" si="14"/>
        <v>7.1822999999999998E-2</v>
      </c>
      <c r="L126" s="107">
        <f t="shared" si="14"/>
        <v>9.6991999999999995E-2</v>
      </c>
      <c r="M126" s="107">
        <f t="shared" si="14"/>
        <v>8.4503999999999996E-2</v>
      </c>
      <c r="N126" s="107">
        <f t="shared" si="14"/>
        <v>7.7099000000000001E-2</v>
      </c>
      <c r="O126" s="124">
        <f t="shared" si="14"/>
        <v>9.3608999999999998E-2</v>
      </c>
    </row>
    <row r="127" spans="1:26">
      <c r="A127" s="201"/>
      <c r="B127" s="113" t="s">
        <v>23</v>
      </c>
      <c r="C127" s="107">
        <f>HLOOKUP(C$117,$86:$102,11,FALSE)</f>
        <v>3.4010050000000001</v>
      </c>
      <c r="D127" s="107">
        <f t="shared" ref="D127:O127" si="15">HLOOKUP(D$117,$86:$102,11,FALSE)</f>
        <v>3.0684070000000001</v>
      </c>
      <c r="E127" s="107">
        <f t="shared" si="15"/>
        <v>3.993204</v>
      </c>
      <c r="F127" s="107">
        <f t="shared" si="15"/>
        <v>1.8386769999999999</v>
      </c>
      <c r="G127" s="107">
        <f t="shared" si="15"/>
        <v>1.9461250000000001</v>
      </c>
      <c r="H127" s="107">
        <f t="shared" si="15"/>
        <v>1.5363420000000001</v>
      </c>
      <c r="I127" s="107">
        <f t="shared" si="15"/>
        <v>1.1719729999999999</v>
      </c>
      <c r="J127" s="107">
        <f t="shared" si="15"/>
        <v>5.1333999999999998E-2</v>
      </c>
      <c r="K127" s="107">
        <f t="shared" si="15"/>
        <v>2.0373130000000002</v>
      </c>
      <c r="L127" s="107">
        <f t="shared" si="15"/>
        <v>1.826864</v>
      </c>
      <c r="M127" s="107">
        <f t="shared" si="15"/>
        <v>2.5541079999999998</v>
      </c>
      <c r="N127" s="107">
        <f t="shared" si="15"/>
        <v>2.6199620000000001</v>
      </c>
      <c r="O127" s="124">
        <f t="shared" si="15"/>
        <v>3.055609</v>
      </c>
    </row>
    <row r="128" spans="1:26">
      <c r="A128" s="201"/>
      <c r="B128" s="105" t="s">
        <v>55</v>
      </c>
      <c r="C128" s="107">
        <f t="shared" ref="C128:O128" si="16">HLOOKUP(C$117,$86:$102,13,FALSE)</f>
        <v>9.8711500000000001</v>
      </c>
      <c r="D128" s="107">
        <f t="shared" si="16"/>
        <v>5.4414375000000001</v>
      </c>
      <c r="E128" s="107">
        <f t="shared" si="16"/>
        <v>9.6633200000000006</v>
      </c>
      <c r="F128" s="107">
        <f t="shared" si="16"/>
        <v>7.8050050000000004</v>
      </c>
      <c r="G128" s="107">
        <f t="shared" si="16"/>
        <v>11.846197500000001</v>
      </c>
      <c r="H128" s="107">
        <f t="shared" si="16"/>
        <v>13.186323</v>
      </c>
      <c r="I128" s="107">
        <f t="shared" si="16"/>
        <v>16.1606655</v>
      </c>
      <c r="J128" s="107">
        <f t="shared" si="16"/>
        <v>13.6723105</v>
      </c>
      <c r="K128" s="107">
        <f t="shared" si="16"/>
        <v>13.5816645</v>
      </c>
      <c r="L128" s="107">
        <f t="shared" si="16"/>
        <v>11.230755</v>
      </c>
      <c r="M128" s="107">
        <f t="shared" si="16"/>
        <v>10.188828000000001</v>
      </c>
      <c r="N128" s="107">
        <f t="shared" si="16"/>
        <v>10.4136255</v>
      </c>
      <c r="O128" s="124">
        <f t="shared" si="16"/>
        <v>7.3618245</v>
      </c>
    </row>
    <row r="129" spans="1:15">
      <c r="A129" s="201"/>
      <c r="B129" s="105" t="s">
        <v>54</v>
      </c>
      <c r="C129" s="107">
        <f>HLOOKUP(C$117,$86:$102,12,FALSE)</f>
        <v>9.8711500000000001</v>
      </c>
      <c r="D129" s="107">
        <f t="shared" ref="D129:O129" si="17">HLOOKUP(D$117,$86:$102,12,FALSE)</f>
        <v>5.4414375000000001</v>
      </c>
      <c r="E129" s="107">
        <f t="shared" si="17"/>
        <v>9.6633200000000006</v>
      </c>
      <c r="F129" s="107">
        <f t="shared" si="17"/>
        <v>7.8050050000000004</v>
      </c>
      <c r="G129" s="107">
        <f t="shared" si="17"/>
        <v>11.846197500000001</v>
      </c>
      <c r="H129" s="107">
        <f t="shared" si="17"/>
        <v>13.186323</v>
      </c>
      <c r="I129" s="107">
        <f t="shared" si="17"/>
        <v>16.1606655</v>
      </c>
      <c r="J129" s="107">
        <f t="shared" si="17"/>
        <v>13.6723105</v>
      </c>
      <c r="K129" s="107">
        <f t="shared" si="17"/>
        <v>13.5816645</v>
      </c>
      <c r="L129" s="107">
        <f t="shared" si="17"/>
        <v>11.230755</v>
      </c>
      <c r="M129" s="107">
        <f t="shared" si="17"/>
        <v>10.188828000000001</v>
      </c>
      <c r="N129" s="107">
        <f t="shared" si="17"/>
        <v>10.4136255</v>
      </c>
      <c r="O129" s="124">
        <f t="shared" si="17"/>
        <v>7.3618245</v>
      </c>
    </row>
    <row r="130" spans="1:15">
      <c r="A130" s="201"/>
      <c r="B130" s="114" t="s">
        <v>2</v>
      </c>
      <c r="C130" s="115">
        <f>HLOOKUP(C$117,$86:$102,14,FALSE)</f>
        <v>433.75729100000001</v>
      </c>
      <c r="D130" s="115">
        <f t="shared" ref="D130:O130" si="18">HLOOKUP(D$117,$86:$102,14,FALSE)</f>
        <v>369.66743300000002</v>
      </c>
      <c r="E130" s="115">
        <f t="shared" si="18"/>
        <v>411.21804400000002</v>
      </c>
      <c r="F130" s="115">
        <f t="shared" si="18"/>
        <v>402.62800800000002</v>
      </c>
      <c r="G130" s="115">
        <f t="shared" si="18"/>
        <v>439.88164899999998</v>
      </c>
      <c r="H130" s="115">
        <f t="shared" si="18"/>
        <v>539.93523500000003</v>
      </c>
      <c r="I130" s="115">
        <f t="shared" si="18"/>
        <v>635.31433600000003</v>
      </c>
      <c r="J130" s="115">
        <f t="shared" si="18"/>
        <v>651.24472400000002</v>
      </c>
      <c r="K130" s="115">
        <f t="shared" si="18"/>
        <v>524.05756299999996</v>
      </c>
      <c r="L130" s="115">
        <f t="shared" si="18"/>
        <v>405.00119899999999</v>
      </c>
      <c r="M130" s="115">
        <f t="shared" si="18"/>
        <v>306.35657600000002</v>
      </c>
      <c r="N130" s="115">
        <f t="shared" si="18"/>
        <v>317.96336600000001</v>
      </c>
      <c r="O130" s="125">
        <f t="shared" si="18"/>
        <v>326.19851599999998</v>
      </c>
    </row>
    <row r="131" spans="1:15">
      <c r="A131" s="201"/>
      <c r="B131" s="105" t="s">
        <v>21</v>
      </c>
      <c r="C131" s="116">
        <f>HLOOKUP(C$117,$86:$102,15,FALSE)</f>
        <v>31.159338999999999</v>
      </c>
      <c r="D131" s="116">
        <f t="shared" ref="D131:O131" si="19">HLOOKUP(D$117,$86:$102,15,FALSE)</f>
        <v>27.502502</v>
      </c>
      <c r="E131" s="116">
        <f t="shared" si="19"/>
        <v>30.689281000000001</v>
      </c>
      <c r="F131" s="116">
        <f t="shared" si="19"/>
        <v>33.641058999999998</v>
      </c>
      <c r="G131" s="116">
        <f t="shared" si="19"/>
        <v>32.047055999999998</v>
      </c>
      <c r="H131" s="116">
        <f t="shared" si="19"/>
        <v>35.225064000000003</v>
      </c>
      <c r="I131" s="116">
        <f t="shared" si="19"/>
        <v>67.033137999999994</v>
      </c>
      <c r="J131" s="116">
        <f t="shared" si="19"/>
        <v>77.653036</v>
      </c>
      <c r="K131" s="116">
        <f t="shared" si="19"/>
        <v>70.647335999999996</v>
      </c>
      <c r="L131" s="116">
        <f t="shared" si="19"/>
        <v>61.365385000000003</v>
      </c>
      <c r="M131" s="116">
        <f t="shared" si="19"/>
        <v>55.991686000000001</v>
      </c>
      <c r="N131" s="116">
        <f t="shared" si="19"/>
        <v>79.778822000000005</v>
      </c>
      <c r="O131" s="116">
        <f t="shared" si="19"/>
        <v>123.950131</v>
      </c>
    </row>
    <row r="132" spans="1:15">
      <c r="A132" s="201"/>
      <c r="B132" s="117" t="s">
        <v>1</v>
      </c>
      <c r="C132" s="118">
        <f>HLOOKUP(C$117,$86:$102,16,FALSE)</f>
        <v>464.91663</v>
      </c>
      <c r="D132" s="118">
        <f t="shared" ref="D132:O132" si="20">HLOOKUP(D$117,$86:$102,16,FALSE)</f>
        <v>397.16993500000001</v>
      </c>
      <c r="E132" s="118">
        <f t="shared" si="20"/>
        <v>441.90732500000001</v>
      </c>
      <c r="F132" s="118">
        <f t="shared" si="20"/>
        <v>436.26906700000001</v>
      </c>
      <c r="G132" s="118">
        <f t="shared" si="20"/>
        <v>471.92870499999998</v>
      </c>
      <c r="H132" s="118">
        <f t="shared" si="20"/>
        <v>575.16029900000001</v>
      </c>
      <c r="I132" s="118">
        <f t="shared" si="20"/>
        <v>702.34747400000003</v>
      </c>
      <c r="J132" s="118">
        <f t="shared" si="20"/>
        <v>728.89775999999995</v>
      </c>
      <c r="K132" s="118">
        <f t="shared" si="20"/>
        <v>594.70489899999995</v>
      </c>
      <c r="L132" s="118">
        <f t="shared" si="20"/>
        <v>466.36658399999999</v>
      </c>
      <c r="M132" s="118">
        <f t="shared" si="20"/>
        <v>362.34826199999998</v>
      </c>
      <c r="N132" s="118">
        <f t="shared" si="20"/>
        <v>397.742188</v>
      </c>
      <c r="O132" s="118">
        <f t="shared" si="20"/>
        <v>450.14864699999998</v>
      </c>
    </row>
    <row r="133" spans="1:15" ht="14.25">
      <c r="A133" s="202"/>
      <c r="B133" s="126" t="s">
        <v>75</v>
      </c>
      <c r="C133" s="127">
        <f>C120+C121+C123</f>
        <v>46.216616000000002</v>
      </c>
      <c r="D133" s="127">
        <f>D120+D121+D123</f>
        <v>39.304194000000003</v>
      </c>
      <c r="E133" s="127">
        <f t="shared" ref="E133:O133" si="21">E120+E121+E123</f>
        <v>43.217820000000003</v>
      </c>
      <c r="F133" s="127">
        <f t="shared" si="21"/>
        <v>55.506872999999999</v>
      </c>
      <c r="G133" s="127">
        <f t="shared" si="21"/>
        <v>70.042819000000009</v>
      </c>
      <c r="H133" s="127">
        <f t="shared" si="21"/>
        <v>85.898263999999998</v>
      </c>
      <c r="I133" s="127">
        <f t="shared" si="21"/>
        <v>121.496702</v>
      </c>
      <c r="J133" s="127">
        <f t="shared" si="21"/>
        <v>132.46422999999999</v>
      </c>
      <c r="K133" s="127">
        <f t="shared" si="21"/>
        <v>93.246324000000001</v>
      </c>
      <c r="L133" s="127">
        <f t="shared" si="21"/>
        <v>60.668753000000002</v>
      </c>
      <c r="M133" s="127">
        <f t="shared" si="21"/>
        <v>32.393524999999997</v>
      </c>
      <c r="N133" s="127">
        <f t="shared" si="21"/>
        <v>28.980339000000001</v>
      </c>
      <c r="O133" s="127">
        <f t="shared" si="21"/>
        <v>54.403029000000004</v>
      </c>
    </row>
    <row r="134" spans="1:15">
      <c r="A134" s="200" t="s">
        <v>77</v>
      </c>
      <c r="B134" s="128" t="s">
        <v>73</v>
      </c>
      <c r="C134" s="111" t="str">
        <f>TEXT(EDATE($A$2,-12),"mmm")&amp;".-"&amp;TEXT(EDATE($A$2,-12),"aa")</f>
        <v>ene.-22</v>
      </c>
      <c r="D134" s="111" t="str">
        <f>TEXT(EDATE($A$2,-11),"mmm")&amp;".-"&amp;TEXT(EDATE($A$2,-11),"aa")</f>
        <v>feb.-22</v>
      </c>
      <c r="E134" s="111" t="str">
        <f>TEXT(EDATE($A$2,-10),"mmm")&amp;".-"&amp;TEXT(EDATE($A$2,-10),"aa")</f>
        <v>mar.-22</v>
      </c>
      <c r="F134" s="111" t="str">
        <f>TEXT(EDATE($A$2,-9),"mmm")&amp;".-"&amp;TEXT(EDATE($A$2,-9),"aa")</f>
        <v>abr.-22</v>
      </c>
      <c r="G134" s="111" t="str">
        <f>TEXT(EDATE($A$2,-8),"mmm")&amp;".-"&amp;TEXT(EDATE($A$2,-8),"aa")</f>
        <v>may.-22</v>
      </c>
      <c r="H134" s="111" t="str">
        <f>TEXT(EDATE($A$2,-7),"mmm")&amp;".-"&amp;TEXT(EDATE($A$2,-7),"aa")</f>
        <v>jun.-22</v>
      </c>
      <c r="I134" s="111" t="str">
        <f>TEXT(EDATE($A$2,-6),"mmm")&amp;".-"&amp;TEXT(EDATE($A$2,-6),"aa")</f>
        <v>jul.-22</v>
      </c>
      <c r="J134" s="111" t="str">
        <f>TEXT(EDATE($A$2,-5),"mmm")&amp;".-"&amp;TEXT(EDATE($A$2,-5),"aa")</f>
        <v>ago.-22</v>
      </c>
      <c r="K134" s="111" t="str">
        <f>TEXT(EDATE($A$2,-4),"mmm")&amp;".-"&amp;TEXT(EDATE($A$2,-4),"aa")</f>
        <v>sep.-22</v>
      </c>
      <c r="L134" s="111" t="str">
        <f>TEXT(EDATE($A$2,-3),"mmm")&amp;".-"&amp;TEXT(EDATE($A$2,-3),"aa")</f>
        <v>oct.-22</v>
      </c>
      <c r="M134" s="111" t="str">
        <f>TEXT(EDATE($A$2,-2),"mmm")&amp;".-"&amp;TEXT(EDATE($A$2,-2),"aa")</f>
        <v>nov.-22</v>
      </c>
      <c r="N134" s="111" t="str">
        <f>TEXT(EDATE($A$2,-1),"mmm")&amp;".-"&amp;TEXT(EDATE($A$2,-1),"aa")</f>
        <v>dic.-22</v>
      </c>
      <c r="O134" s="112" t="str">
        <f>TEXT($A$2,"mmm")&amp;".-"&amp;TEXT($A$2,"aa")</f>
        <v>ene.-23</v>
      </c>
    </row>
    <row r="135" spans="1:15" ht="15" customHeight="1">
      <c r="A135" s="201"/>
      <c r="B135" s="105" t="s">
        <v>12</v>
      </c>
      <c r="C135" s="107">
        <f>HLOOKUP(C$117,$86:$115,17,FALSE)</f>
        <v>0.294213</v>
      </c>
      <c r="D135" s="107">
        <f t="shared" ref="D135:N135" si="22">HLOOKUP(D$117,$86:$115,17,FALSE)</f>
        <v>0.25058200000000003</v>
      </c>
      <c r="E135" s="107">
        <f t="shared" si="22"/>
        <v>0.29644599999999999</v>
      </c>
      <c r="F135" s="107">
        <f t="shared" si="22"/>
        <v>0.27407199999999998</v>
      </c>
      <c r="G135" s="107">
        <f t="shared" si="22"/>
        <v>0.29880499999999999</v>
      </c>
      <c r="H135" s="107">
        <f t="shared" si="22"/>
        <v>0.28138299999999999</v>
      </c>
      <c r="I135" s="107">
        <f t="shared" si="22"/>
        <v>0.29436099999999998</v>
      </c>
      <c r="J135" s="107">
        <f t="shared" si="22"/>
        <v>0.29274699999999998</v>
      </c>
      <c r="K135" s="107">
        <f t="shared" si="22"/>
        <v>0.28892499999999999</v>
      </c>
      <c r="L135" s="107">
        <f t="shared" si="22"/>
        <v>0.29362700000000003</v>
      </c>
      <c r="M135" s="107">
        <f t="shared" si="22"/>
        <v>0.27748800000000001</v>
      </c>
      <c r="N135" s="107">
        <f t="shared" si="22"/>
        <v>0.28889599999999999</v>
      </c>
      <c r="O135" s="145">
        <f>HLOOKUP(O$117,$86:$115,17,FALSE)</f>
        <v>0.27497500000000002</v>
      </c>
    </row>
    <row r="136" spans="1:15">
      <c r="A136" s="201"/>
      <c r="B136" s="105" t="s">
        <v>10</v>
      </c>
      <c r="C136" s="107">
        <f>HLOOKUP(C$117,$86:$115,18,FALSE)+HLOOKUP(C$117,$86:$115,22,FALSE)</f>
        <v>144.97616600000001</v>
      </c>
      <c r="D136" s="107">
        <f>HLOOKUP(D$117,$86:$115,18,FALSE)+HLOOKUP(D$117,$86:$115,22,FALSE)</f>
        <v>129.27922799999999</v>
      </c>
      <c r="E136" s="107">
        <f t="shared" ref="E136:N136" si="23">HLOOKUP(E$117,$86:$115,18,FALSE)+HLOOKUP(E$117,$86:$115,22,FALSE)</f>
        <v>148.837288</v>
      </c>
      <c r="F136" s="107">
        <f t="shared" si="23"/>
        <v>137.06189800000001</v>
      </c>
      <c r="G136" s="107">
        <f t="shared" si="23"/>
        <v>142.20013900000001</v>
      </c>
      <c r="H136" s="107">
        <f t="shared" si="23"/>
        <v>140.17607899999999</v>
      </c>
      <c r="I136" s="107">
        <f t="shared" si="23"/>
        <v>145.15531900000002</v>
      </c>
      <c r="J136" s="107">
        <f t="shared" si="23"/>
        <v>144.43410399999999</v>
      </c>
      <c r="K136" s="107">
        <f t="shared" si="23"/>
        <v>147.13240399999998</v>
      </c>
      <c r="L136" s="107">
        <f t="shared" si="23"/>
        <v>153.679869</v>
      </c>
      <c r="M136" s="107">
        <f t="shared" si="23"/>
        <v>154.14358299999998</v>
      </c>
      <c r="N136" s="107">
        <f t="shared" si="23"/>
        <v>168.09965300000002</v>
      </c>
      <c r="O136" s="124">
        <f>HLOOKUP(O$117,$86:$115,18,FALSE)+HLOOKUP(O$117,$86:$115,22,FALSE)</f>
        <v>149.652828</v>
      </c>
    </row>
    <row r="137" spans="1:15">
      <c r="A137" s="201"/>
      <c r="B137" s="105" t="s">
        <v>9</v>
      </c>
      <c r="C137" s="107">
        <f>HLOOKUP(C$117,$86:$115,19,FALSE)</f>
        <v>20.1236</v>
      </c>
      <c r="D137" s="107">
        <f t="shared" ref="D137:O137" si="24">HLOOKUP(D$117,$86:$115,19,FALSE)</f>
        <v>22.304445000000001</v>
      </c>
      <c r="E137" s="107">
        <f t="shared" si="24"/>
        <v>22.266978999999999</v>
      </c>
      <c r="F137" s="107">
        <f t="shared" si="24"/>
        <v>17.593667</v>
      </c>
      <c r="G137" s="107">
        <f t="shared" si="24"/>
        <v>15.375764</v>
      </c>
      <c r="H137" s="107">
        <f t="shared" si="24"/>
        <v>14.745189</v>
      </c>
      <c r="I137" s="107">
        <f t="shared" si="24"/>
        <v>19.947948</v>
      </c>
      <c r="J137" s="107">
        <f t="shared" si="24"/>
        <v>17.951955999999999</v>
      </c>
      <c r="K137" s="107">
        <f t="shared" si="24"/>
        <v>27.959973000000002</v>
      </c>
      <c r="L137" s="107">
        <f t="shared" si="24"/>
        <v>36.672798</v>
      </c>
      <c r="M137" s="107">
        <f t="shared" si="24"/>
        <v>23.967887999999999</v>
      </c>
      <c r="N137" s="107">
        <f t="shared" si="24"/>
        <v>22.080762</v>
      </c>
      <c r="O137" s="124">
        <f t="shared" si="24"/>
        <v>14.760491</v>
      </c>
    </row>
    <row r="138" spans="1:15">
      <c r="A138" s="201"/>
      <c r="B138" s="105" t="s">
        <v>8</v>
      </c>
      <c r="C138" s="107">
        <f>HLOOKUP(C$117,$86:$115,20,FALSE)</f>
        <v>117.429802</v>
      </c>
      <c r="D138" s="107">
        <f t="shared" ref="D138:O138" si="25">HLOOKUP(D$117,$86:$115,20,FALSE)</f>
        <v>102.630663</v>
      </c>
      <c r="E138" s="107">
        <f t="shared" si="25"/>
        <v>114.410944</v>
      </c>
      <c r="F138" s="107">
        <f t="shared" si="25"/>
        <v>103.636366</v>
      </c>
      <c r="G138" s="107">
        <f t="shared" si="25"/>
        <v>86.849653000000004</v>
      </c>
      <c r="H138" s="107">
        <f t="shared" si="25"/>
        <v>60.625902000000004</v>
      </c>
      <c r="I138" s="107">
        <f t="shared" si="25"/>
        <v>73.213599000000002</v>
      </c>
      <c r="J138" s="107">
        <f t="shared" si="25"/>
        <v>102.417012</v>
      </c>
      <c r="K138" s="107">
        <f t="shared" si="25"/>
        <v>110.953991</v>
      </c>
      <c r="L138" s="107">
        <f t="shared" si="25"/>
        <v>118.59882</v>
      </c>
      <c r="M138" s="107">
        <f t="shared" si="25"/>
        <v>93.771169</v>
      </c>
      <c r="N138" s="107">
        <f t="shared" si="25"/>
        <v>122.69665500000001</v>
      </c>
      <c r="O138" s="124">
        <f t="shared" si="25"/>
        <v>118.030389</v>
      </c>
    </row>
    <row r="139" spans="1:15" ht="14.25">
      <c r="A139" s="201"/>
      <c r="B139" s="105" t="s">
        <v>74</v>
      </c>
      <c r="C139" s="107">
        <f>HLOOKUP(C$117,$86:$115,21,FALSE)</f>
        <v>350.33219100000002</v>
      </c>
      <c r="D139" s="107">
        <f t="shared" ref="D139:O139" si="26">HLOOKUP(D$117,$86:$115,21,FALSE)</f>
        <v>285.34500700000001</v>
      </c>
      <c r="E139" s="107">
        <f t="shared" si="26"/>
        <v>288.52109999999999</v>
      </c>
      <c r="F139" s="107">
        <f t="shared" si="26"/>
        <v>265.37271800000002</v>
      </c>
      <c r="G139" s="107">
        <f t="shared" si="26"/>
        <v>303.45663500000001</v>
      </c>
      <c r="H139" s="107">
        <f t="shared" si="26"/>
        <v>283.58392400000002</v>
      </c>
      <c r="I139" s="107">
        <f t="shared" si="26"/>
        <v>295.51749599999999</v>
      </c>
      <c r="J139" s="107">
        <f t="shared" si="26"/>
        <v>269.79137200000002</v>
      </c>
      <c r="K139" s="107">
        <f t="shared" si="26"/>
        <v>285.29845599999999</v>
      </c>
      <c r="L139" s="107">
        <f t="shared" si="26"/>
        <v>305.38632699999999</v>
      </c>
      <c r="M139" s="107">
        <f t="shared" si="26"/>
        <v>309.74341800000002</v>
      </c>
      <c r="N139" s="107">
        <f t="shared" si="26"/>
        <v>347.66188299999999</v>
      </c>
      <c r="O139" s="124">
        <f t="shared" si="26"/>
        <v>279.418815</v>
      </c>
    </row>
    <row r="140" spans="1:15">
      <c r="A140" s="201"/>
      <c r="B140" s="105" t="s">
        <v>6</v>
      </c>
      <c r="C140" s="107">
        <f>HLOOKUP(C$117,$86:$115,23,FALSE)</f>
        <v>1.110916</v>
      </c>
      <c r="D140" s="107">
        <f t="shared" ref="D140:O140" si="27">HLOOKUP(D$117,$86:$115,23,FALSE)</f>
        <v>1.4820450000000001</v>
      </c>
      <c r="E140" s="107">
        <f t="shared" si="27"/>
        <v>2.1263230000000002</v>
      </c>
      <c r="F140" s="107">
        <f t="shared" si="27"/>
        <v>1.7525280000000001</v>
      </c>
      <c r="G140" s="107">
        <f t="shared" si="27"/>
        <v>1.9171739999999999</v>
      </c>
      <c r="H140" s="107">
        <f t="shared" si="27"/>
        <v>2.44956</v>
      </c>
      <c r="I140" s="107">
        <f t="shared" si="27"/>
        <v>3.5629430000000002</v>
      </c>
      <c r="J140" s="107">
        <f t="shared" si="27"/>
        <v>3.5176750000000001</v>
      </c>
      <c r="K140" s="107">
        <f t="shared" si="27"/>
        <v>2.0750950000000001</v>
      </c>
      <c r="L140" s="107">
        <f t="shared" si="27"/>
        <v>1.3500719999999999</v>
      </c>
      <c r="M140" s="107">
        <f t="shared" si="27"/>
        <v>1.1694089999999999</v>
      </c>
      <c r="N140" s="107">
        <f t="shared" si="27"/>
        <v>0.36710399999999999</v>
      </c>
      <c r="O140" s="124">
        <f t="shared" si="27"/>
        <v>1.6495040000000001</v>
      </c>
    </row>
    <row r="141" spans="1:15">
      <c r="A141" s="201"/>
      <c r="B141" s="105" t="s">
        <v>5</v>
      </c>
      <c r="C141" s="107">
        <f>HLOOKUP(C$117,$86:$115,24,FALSE)</f>
        <v>60.12574</v>
      </c>
      <c r="D141" s="107">
        <f t="shared" ref="D141:O141" si="28">HLOOKUP(D$117,$86:$115,24,FALSE)</f>
        <v>88.964033999999998</v>
      </c>
      <c r="E141" s="107">
        <f t="shared" si="28"/>
        <v>109.414616</v>
      </c>
      <c r="F141" s="107">
        <f t="shared" si="28"/>
        <v>120.73900500000001</v>
      </c>
      <c r="G141" s="107">
        <f t="shared" si="28"/>
        <v>116.77421</v>
      </c>
      <c r="H141" s="107">
        <f t="shared" si="28"/>
        <v>159.50470799999999</v>
      </c>
      <c r="I141" s="107">
        <f t="shared" si="28"/>
        <v>180.96485300000001</v>
      </c>
      <c r="J141" s="107">
        <f t="shared" si="28"/>
        <v>183.70770899999999</v>
      </c>
      <c r="K141" s="107">
        <f t="shared" si="28"/>
        <v>123.26133799999999</v>
      </c>
      <c r="L141" s="107">
        <f t="shared" si="28"/>
        <v>85.114315000000005</v>
      </c>
      <c r="M141" s="107">
        <f t="shared" si="28"/>
        <v>102.415227</v>
      </c>
      <c r="N141" s="107">
        <f t="shared" si="28"/>
        <v>37.762255000000003</v>
      </c>
      <c r="O141" s="124">
        <f t="shared" si="28"/>
        <v>131.99994699999999</v>
      </c>
    </row>
    <row r="142" spans="1:15">
      <c r="A142" s="201"/>
      <c r="B142" s="105" t="s">
        <v>4</v>
      </c>
      <c r="C142" s="107">
        <f>HLOOKUP(C$117,$86:$115,25,FALSE)</f>
        <v>18.056702999999999</v>
      </c>
      <c r="D142" s="107">
        <f t="shared" ref="D142:O142" si="29">HLOOKUP(D$117,$86:$115,25,FALSE)</f>
        <v>18.872744999999998</v>
      </c>
      <c r="E142" s="107">
        <f t="shared" si="29"/>
        <v>25.047723999999999</v>
      </c>
      <c r="F142" s="107">
        <f t="shared" si="29"/>
        <v>26.389223999999999</v>
      </c>
      <c r="G142" s="107">
        <f t="shared" si="29"/>
        <v>32.969079000000001</v>
      </c>
      <c r="H142" s="107">
        <f t="shared" si="29"/>
        <v>30.72391</v>
      </c>
      <c r="I142" s="107">
        <f t="shared" si="29"/>
        <v>34.258988000000002</v>
      </c>
      <c r="J142" s="107">
        <f t="shared" si="29"/>
        <v>32.216773000000003</v>
      </c>
      <c r="K142" s="107">
        <f t="shared" si="29"/>
        <v>26.500267000000001</v>
      </c>
      <c r="L142" s="107">
        <f t="shared" si="29"/>
        <v>26.61814</v>
      </c>
      <c r="M142" s="107">
        <f t="shared" si="29"/>
        <v>23.099277000000001</v>
      </c>
      <c r="N142" s="107">
        <f t="shared" si="29"/>
        <v>18.862687999999999</v>
      </c>
      <c r="O142" s="124">
        <f t="shared" si="29"/>
        <v>21.999483000000001</v>
      </c>
    </row>
    <row r="143" spans="1:15">
      <c r="A143" s="201"/>
      <c r="B143" s="105" t="s">
        <v>22</v>
      </c>
      <c r="C143" s="107">
        <f>HLOOKUP(C$117,$86:$115,26,FALSE)</f>
        <v>0.86053100000000005</v>
      </c>
      <c r="D143" s="107">
        <f t="shared" ref="D143:O143" si="30">HLOOKUP(D$117,$86:$115,26,FALSE)</f>
        <v>0.72069799999999995</v>
      </c>
      <c r="E143" s="107">
        <f t="shared" si="30"/>
        <v>0.90984399999999999</v>
      </c>
      <c r="F143" s="107">
        <f t="shared" si="30"/>
        <v>0.61352399999999996</v>
      </c>
      <c r="G143" s="107">
        <f t="shared" si="30"/>
        <v>0.72146399999999999</v>
      </c>
      <c r="H143" s="107">
        <f t="shared" si="30"/>
        <v>0.696106</v>
      </c>
      <c r="I143" s="107">
        <f t="shared" si="30"/>
        <v>0.688222</v>
      </c>
      <c r="J143" s="107">
        <f t="shared" si="30"/>
        <v>0.71531400000000001</v>
      </c>
      <c r="K143" s="107">
        <f t="shared" si="30"/>
        <v>0.714812</v>
      </c>
      <c r="L143" s="107">
        <f t="shared" si="30"/>
        <v>0.73132799999999998</v>
      </c>
      <c r="M143" s="107">
        <f t="shared" si="30"/>
        <v>0.76498500000000003</v>
      </c>
      <c r="N143" s="107">
        <f t="shared" si="30"/>
        <v>0.78453200000000001</v>
      </c>
      <c r="O143" s="124">
        <f t="shared" si="30"/>
        <v>0.78413299999999997</v>
      </c>
    </row>
    <row r="144" spans="1:15">
      <c r="A144" s="201"/>
      <c r="B144" s="117" t="s">
        <v>1</v>
      </c>
      <c r="C144" s="118">
        <f>HLOOKUP(C$117,$86:$115,28,FALSE)</f>
        <v>713.30986199999995</v>
      </c>
      <c r="D144" s="118">
        <f t="shared" ref="D144:O144" si="31">HLOOKUP(D$117,$86:$115,28,FALSE)</f>
        <v>649.84944700000005</v>
      </c>
      <c r="E144" s="118">
        <f t="shared" si="31"/>
        <v>711.83126400000003</v>
      </c>
      <c r="F144" s="118">
        <f t="shared" si="31"/>
        <v>673.43300199999999</v>
      </c>
      <c r="G144" s="118">
        <f t="shared" si="31"/>
        <v>700.56292299999996</v>
      </c>
      <c r="H144" s="118">
        <f t="shared" si="31"/>
        <v>692.78676099999996</v>
      </c>
      <c r="I144" s="118">
        <f t="shared" si="31"/>
        <v>753.60372900000004</v>
      </c>
      <c r="J144" s="118">
        <f t="shared" si="31"/>
        <v>755.04466200000002</v>
      </c>
      <c r="K144" s="118">
        <f t="shared" si="31"/>
        <v>724.18526099999997</v>
      </c>
      <c r="L144" s="118">
        <f t="shared" si="31"/>
        <v>728.44529599999998</v>
      </c>
      <c r="M144" s="118">
        <f t="shared" si="31"/>
        <v>709.35244399999999</v>
      </c>
      <c r="N144" s="118">
        <f t="shared" si="31"/>
        <v>718.60442799999998</v>
      </c>
      <c r="O144" s="118">
        <f t="shared" si="31"/>
        <v>718.57056499999999</v>
      </c>
    </row>
    <row r="145" spans="1:26">
      <c r="A145" s="201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2"/>
      <c r="B146" s="126" t="s">
        <v>75</v>
      </c>
      <c r="C146" s="130">
        <f>SUM(C136:C138)</f>
        <v>282.52956800000004</v>
      </c>
      <c r="D146" s="130">
        <f t="shared" ref="D146:N146" si="32">SUM(D136:D138)</f>
        <v>254.21433599999997</v>
      </c>
      <c r="E146" s="130">
        <f t="shared" si="32"/>
        <v>285.51521100000002</v>
      </c>
      <c r="F146" s="130">
        <f t="shared" si="32"/>
        <v>258.29193100000003</v>
      </c>
      <c r="G146" s="130">
        <f t="shared" si="32"/>
        <v>244.42555600000003</v>
      </c>
      <c r="H146" s="130">
        <f t="shared" si="32"/>
        <v>215.54716999999999</v>
      </c>
      <c r="I146" s="130">
        <f t="shared" si="32"/>
        <v>238.316866</v>
      </c>
      <c r="J146" s="130">
        <f t="shared" si="32"/>
        <v>264.80307199999999</v>
      </c>
      <c r="K146" s="130">
        <f t="shared" si="32"/>
        <v>286.04636799999997</v>
      </c>
      <c r="L146" s="130">
        <f t="shared" si="32"/>
        <v>308.95148699999999</v>
      </c>
      <c r="M146" s="130">
        <f t="shared" si="32"/>
        <v>271.88263999999998</v>
      </c>
      <c r="N146" s="130">
        <f t="shared" si="32"/>
        <v>312.87707</v>
      </c>
      <c r="O146" s="131">
        <f>SUM(O136:O138)</f>
        <v>282.44370800000002</v>
      </c>
    </row>
    <row r="149" spans="1:26" ht="15">
      <c r="A149" s="158"/>
      <c r="B149" s="158" t="s">
        <v>68</v>
      </c>
      <c r="C149" s="199" t="s">
        <v>57</v>
      </c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8"/>
      <c r="B150" s="158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8" t="s">
        <v>67</v>
      </c>
      <c r="B151" s="158" t="s">
        <v>102</v>
      </c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60" t="s">
        <v>118</v>
      </c>
      <c r="B152" s="160" t="s">
        <v>119</v>
      </c>
      <c r="C152" s="179">
        <v>-3.1759999999999997E-2</v>
      </c>
      <c r="D152" s="179">
        <v>5.4099999999999999E-3</v>
      </c>
      <c r="E152" s="179">
        <v>-9.0200000000000002E-3</v>
      </c>
      <c r="F152" s="179">
        <v>-2.8150000000000001E-2</v>
      </c>
      <c r="G152" s="179">
        <v>-3.1759999999999997E-2</v>
      </c>
      <c r="H152" s="179">
        <v>5.4099999999999999E-3</v>
      </c>
      <c r="I152" s="179">
        <v>-9.0200000000000002E-3</v>
      </c>
      <c r="J152" s="179">
        <v>-2.8150000000000001E-2</v>
      </c>
      <c r="K152" s="179">
        <v>9.103E-2</v>
      </c>
      <c r="L152" s="179">
        <v>2.5699999999999998E-3</v>
      </c>
      <c r="M152" s="179">
        <v>-5.0800000000000003E-3</v>
      </c>
      <c r="N152" s="179">
        <v>9.3539999999999998E-2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8"/>
      <c r="B155" s="158" t="s">
        <v>68</v>
      </c>
      <c r="C155" s="199" t="s">
        <v>58</v>
      </c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8"/>
      <c r="B156" s="158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8" t="s">
        <v>67</v>
      </c>
      <c r="B157" s="158" t="s">
        <v>102</v>
      </c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60" t="s">
        <v>118</v>
      </c>
      <c r="B158" s="160" t="s">
        <v>119</v>
      </c>
      <c r="C158" s="179">
        <v>7.3800000000000003E-3</v>
      </c>
      <c r="D158" s="179">
        <v>4.4999999999999997E-3</v>
      </c>
      <c r="E158" s="179">
        <v>-5.8E-4</v>
      </c>
      <c r="F158" s="179">
        <v>3.46E-3</v>
      </c>
      <c r="G158" s="179">
        <v>7.3800000000000003E-3</v>
      </c>
      <c r="H158" s="179">
        <v>4.4999999999999997E-3</v>
      </c>
      <c r="I158" s="179">
        <v>-5.8E-4</v>
      </c>
      <c r="J158" s="179">
        <v>3.46E-3</v>
      </c>
      <c r="K158" s="179">
        <v>4.9360000000000001E-2</v>
      </c>
      <c r="L158" s="179">
        <v>1.65E-3</v>
      </c>
      <c r="M158" s="179">
        <v>8.3000000000000001E-4</v>
      </c>
      <c r="N158" s="179">
        <v>4.6879999999999998E-2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P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Enero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47</v>
      </c>
      <c r="E7" s="69"/>
      <c r="F7" s="185" t="str">
        <f>K3</f>
        <v>Enero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450.14864699999998</v>
      </c>
      <c r="G9" s="148">
        <f>Dat_01!T24*100</f>
        <v>-3.1764798299999999</v>
      </c>
      <c r="H9" s="75">
        <f>Dat_01!U24/1000</f>
        <v>450.14864699999998</v>
      </c>
      <c r="I9" s="148">
        <f>Dat_01!W24*100</f>
        <v>-3.1764798299999999</v>
      </c>
      <c r="J9" s="75">
        <f>Dat_01!X24/1000</f>
        <v>6024.991145</v>
      </c>
      <c r="K9" s="148">
        <f>Dat_01!Y24*100</f>
        <v>9.1034054300000005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0.54100000000000004</v>
      </c>
      <c r="H12" s="94"/>
      <c r="I12" s="94">
        <f>Dat_01!H152*100</f>
        <v>0.54100000000000004</v>
      </c>
      <c r="J12" s="94"/>
      <c r="K12" s="94">
        <f>Dat_01!L152*100</f>
        <v>0.25700000000000001</v>
      </c>
    </row>
    <row r="13" spans="3:12">
      <c r="E13" s="77" t="s">
        <v>42</v>
      </c>
      <c r="F13" s="76"/>
      <c r="G13" s="94">
        <f>Dat_01!E152*100</f>
        <v>-0.90200000000000002</v>
      </c>
      <c r="H13" s="94"/>
      <c r="I13" s="94">
        <f>Dat_01!I152*100</f>
        <v>-0.90200000000000002</v>
      </c>
      <c r="J13" s="94"/>
      <c r="K13" s="94">
        <f>Dat_01!M152*100</f>
        <v>-0.50800000000000001</v>
      </c>
    </row>
    <row r="14" spans="3:12">
      <c r="E14" s="78" t="s">
        <v>43</v>
      </c>
      <c r="F14" s="79"/>
      <c r="G14" s="95">
        <f>Dat_01!F152*100</f>
        <v>-2.8149999999999999</v>
      </c>
      <c r="H14" s="95"/>
      <c r="I14" s="95">
        <f>Dat_01!J152*100</f>
        <v>-2.8149999999999999</v>
      </c>
      <c r="J14" s="95"/>
      <c r="K14" s="95">
        <f>Dat_01!N152*100</f>
        <v>9.3539999999999992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61"/>
      <c r="H20" s="161"/>
      <c r="I20" s="161"/>
      <c r="J20" s="161"/>
      <c r="K20" s="161"/>
    </row>
    <row r="21" spans="7:11">
      <c r="G21" s="161"/>
      <c r="H21" s="161"/>
      <c r="I21" s="161"/>
      <c r="J21" s="161"/>
      <c r="K21" s="161"/>
    </row>
    <row r="22" spans="7:11">
      <c r="G22" s="161"/>
      <c r="H22" s="161"/>
      <c r="I22" s="161"/>
      <c r="J22" s="161"/>
      <c r="K22" s="16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Enero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48</v>
      </c>
      <c r="E7" s="69"/>
      <c r="F7" s="185" t="str">
        <f>K3</f>
        <v>Enero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718.57056499999999</v>
      </c>
      <c r="G9" s="148">
        <f>Dat_01!AB24*100</f>
        <v>0.73750599999999999</v>
      </c>
      <c r="H9" s="75">
        <f>Dat_01!AC24/1000</f>
        <v>718.57056499999999</v>
      </c>
      <c r="I9" s="148">
        <f>Dat_01!AE24*100</f>
        <v>0.73750599999999999</v>
      </c>
      <c r="J9" s="75">
        <f>Dat_01!AF24/1000</f>
        <v>8536.2697819999994</v>
      </c>
      <c r="K9" s="148">
        <f>Dat_01!AG24*100</f>
        <v>4.9360164099999997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0.44999999999999996</v>
      </c>
      <c r="H12" s="94"/>
      <c r="I12" s="94">
        <f>Dat_01!H158*100</f>
        <v>0.44999999999999996</v>
      </c>
      <c r="J12" s="94"/>
      <c r="K12" s="94">
        <f>Dat_01!L158*100</f>
        <v>0.16500000000000001</v>
      </c>
    </row>
    <row r="13" spans="3:12">
      <c r="E13" s="77" t="s">
        <v>42</v>
      </c>
      <c r="F13" s="76"/>
      <c r="G13" s="94">
        <f>Dat_01!E158*100</f>
        <v>-5.8000000000000003E-2</v>
      </c>
      <c r="H13" s="94"/>
      <c r="I13" s="94">
        <f>Dat_01!I158*100</f>
        <v>-5.8000000000000003E-2</v>
      </c>
      <c r="J13" s="94"/>
      <c r="K13" s="94">
        <f>Dat_01!M158*100</f>
        <v>8.3000000000000004E-2</v>
      </c>
    </row>
    <row r="14" spans="3:12">
      <c r="E14" s="78" t="s">
        <v>43</v>
      </c>
      <c r="F14" s="79"/>
      <c r="G14" s="95">
        <f>Dat_01!F158*100</f>
        <v>0.34599999999999997</v>
      </c>
      <c r="H14" s="95"/>
      <c r="I14" s="95">
        <f>Dat_01!J158*100</f>
        <v>0.34599999999999997</v>
      </c>
      <c r="J14" s="95"/>
      <c r="K14" s="95">
        <f>Dat_01!N158*100</f>
        <v>4.6879999999999997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61"/>
      <c r="H19" s="161"/>
      <c r="I19" s="161"/>
      <c r="J19" s="161"/>
      <c r="K19" s="161"/>
    </row>
    <row r="20" spans="7:11">
      <c r="G20" s="161"/>
      <c r="H20" s="161"/>
      <c r="I20" s="161"/>
      <c r="J20" s="161"/>
      <c r="K20" s="161"/>
    </row>
    <row r="21" spans="7:11">
      <c r="G21" s="161"/>
      <c r="H21" s="161"/>
      <c r="I21" s="161"/>
      <c r="J21" s="161"/>
      <c r="K21" s="16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125</v>
      </c>
    </row>
    <row r="2" spans="1:2">
      <c r="A2" t="s">
        <v>121</v>
      </c>
    </row>
    <row r="3" spans="1:2">
      <c r="A3" t="s">
        <v>122</v>
      </c>
    </row>
    <row r="4" spans="1:2">
      <c r="A4" t="s">
        <v>123</v>
      </c>
    </row>
    <row r="5" spans="1:2">
      <c r="A5" t="s">
        <v>124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Enero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8" t="s">
        <v>18</v>
      </c>
      <c r="E7" s="26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3" customFormat="1" ht="12.75" customHeight="1">
      <c r="C8" s="188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9" t="s">
        <v>3</v>
      </c>
      <c r="G9" s="14" t="s">
        <v>3</v>
      </c>
      <c r="H9" s="14">
        <f>Dat_01!Z8/1000</f>
        <v>0.27497500000000002</v>
      </c>
      <c r="I9" s="14">
        <f>IF(Dat_01!AB8*100=-100,"-",Dat_01!AB8*100)</f>
        <v>-6.5388001200000003</v>
      </c>
      <c r="J9" s="139" t="s">
        <v>3</v>
      </c>
      <c r="K9" s="14" t="s">
        <v>3</v>
      </c>
      <c r="L9" s="139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9" t="s">
        <v>3</v>
      </c>
      <c r="G10" s="14" t="s">
        <v>3</v>
      </c>
      <c r="H10" s="139">
        <f>Dat_01!Z15/1000</f>
        <v>1.6495039999999999</v>
      </c>
      <c r="I10" s="14">
        <f>Dat_01!AB15*100</f>
        <v>48.481433340000002</v>
      </c>
      <c r="J10" s="139" t="s">
        <v>3</v>
      </c>
      <c r="K10" s="14" t="s">
        <v>3</v>
      </c>
      <c r="L10" s="139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0.21572999999999998</v>
      </c>
      <c r="G11" s="14">
        <f>Dat_01!T16*100</f>
        <v>4.2664089999999995E-2</v>
      </c>
      <c r="H11" s="139">
        <f>Dat_01!Z16/1000</f>
        <v>131.99994699999999</v>
      </c>
      <c r="I11" s="14">
        <f>Dat_01!AB16*100</f>
        <v>119.53982936</v>
      </c>
      <c r="J11" s="139" t="s">
        <v>3</v>
      </c>
      <c r="K11" s="14" t="s">
        <v>3</v>
      </c>
      <c r="L11" s="139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9">
        <f>Dat_01!R17/1000</f>
        <v>18.100467000000002</v>
      </c>
      <c r="G12" s="14">
        <f>Dat_01!T17*100</f>
        <v>25.372554670000003</v>
      </c>
      <c r="H12" s="139">
        <f>Dat_01!Z17/1000</f>
        <v>21.999483000000001</v>
      </c>
      <c r="I12" s="14">
        <f>Dat_01!AB17*100</f>
        <v>21.835547720000001</v>
      </c>
      <c r="J12" s="139" t="s">
        <v>3</v>
      </c>
      <c r="K12" s="14" t="s">
        <v>3</v>
      </c>
      <c r="L12" s="14">
        <f>Dat_01!J17/1000</f>
        <v>0</v>
      </c>
      <c r="M12" s="14" t="str">
        <f>IF(Dat_01!L17*100=-100,"-",Dat_01!L17*100)</f>
        <v>-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9.3608999999999998E-2</v>
      </c>
      <c r="G13" s="14">
        <f>Dat_01!T18*100</f>
        <v>-67.182832939999997</v>
      </c>
      <c r="H13" s="139">
        <f>Dat_01!Z18/1000</f>
        <v>0.78413300000000008</v>
      </c>
      <c r="I13" s="14">
        <f>IF(Dat_01!AB18*100=-100,"-",Dat_01!AB18*100)</f>
        <v>-8.8780067200000001</v>
      </c>
      <c r="J13" s="139" t="s">
        <v>3</v>
      </c>
      <c r="K13" s="14" t="s">
        <v>3</v>
      </c>
      <c r="L13" s="139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9">
        <f>Dat_01!R21/1000</f>
        <v>7.3618245</v>
      </c>
      <c r="G14" s="14">
        <f>Dat_01!T21*100</f>
        <v>-25.420802030000001</v>
      </c>
      <c r="H14" s="139" t="s">
        <v>3</v>
      </c>
      <c r="I14" s="14" t="s">
        <v>3</v>
      </c>
      <c r="J14" s="139" t="s">
        <v>3</v>
      </c>
      <c r="K14" s="14" t="s">
        <v>3</v>
      </c>
      <c r="L14" s="14">
        <f>Dat_01!J21/1000</f>
        <v>0.46376299999999998</v>
      </c>
      <c r="M14" s="14">
        <f>Dat_01!L21*100</f>
        <v>-10.64520542</v>
      </c>
      <c r="N14" s="7"/>
      <c r="O14" s="7"/>
    </row>
    <row r="15" spans="3:23" ht="12.75" customHeight="1">
      <c r="C15" s="10"/>
      <c r="E15" s="153" t="s">
        <v>80</v>
      </c>
      <c r="F15" s="156">
        <f>SUM(F9:F14)</f>
        <v>25.771630500000004</v>
      </c>
      <c r="G15" s="157">
        <f>((SUM(Dat_01!R8,Dat_01!R15:R18,Dat_01!R20)/SUM(Dat_01!S8,Dat_01!S15:S18,Dat_01!S20))-1)*100</f>
        <v>3.8785921096927245</v>
      </c>
      <c r="H15" s="156">
        <f>SUM(H9:H14)</f>
        <v>156.70804199999998</v>
      </c>
      <c r="I15" s="157">
        <f>((SUM(Dat_01!Z8,Dat_01!Z15:Z18,Dat_01!Z20)/SUM(Dat_01!AA8,Dat_01!AA15:AA18,Dat_01!AA20))-1)*100</f>
        <v>94.793955551692719</v>
      </c>
      <c r="J15" s="156" t="s">
        <v>3</v>
      </c>
      <c r="K15" s="157" t="s">
        <v>3</v>
      </c>
      <c r="L15" s="157">
        <f>SUM(L9:L14)</f>
        <v>0.46376299999999998</v>
      </c>
      <c r="M15" s="157">
        <f>((SUM(Dat_01!J8,Dat_01!J15:J18,Dat_01!J21)/SUM(Dat_01!K8,Dat_01!K15:K18,Dat_01!K20))-1)*100</f>
        <v>-11.467395143108606</v>
      </c>
      <c r="N15" s="7"/>
      <c r="O15" s="7"/>
    </row>
    <row r="16" spans="3:23" ht="12.75" customHeight="1">
      <c r="C16" s="19"/>
      <c r="E16" s="17" t="s">
        <v>11</v>
      </c>
      <c r="F16" s="139">
        <f>Dat_01!R9/1000</f>
        <v>-0.72771799999999998</v>
      </c>
      <c r="G16" s="14" t="s">
        <v>3</v>
      </c>
      <c r="H16" s="139" t="s">
        <v>3</v>
      </c>
      <c r="I16" s="14" t="s">
        <v>3</v>
      </c>
      <c r="J16" s="139" t="s">
        <v>3</v>
      </c>
      <c r="K16" s="14" t="s">
        <v>3</v>
      </c>
      <c r="L16" s="139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40">
        <f>SUM(Dat_01!R10,Dat_01!R14)/1000</f>
        <v>5.0179290000000005</v>
      </c>
      <c r="G17" s="20">
        <f>((SUM(Dat_01!R10,Dat_01!R14)/SUM(Dat_01!S10,Dat_01!S14))-1)*100</f>
        <v>-84.283936841203257</v>
      </c>
      <c r="H17" s="140">
        <f>SUM(Dat_01!Z10,Dat_01!Z14)/1000</f>
        <v>149.652828</v>
      </c>
      <c r="I17" s="20">
        <f>((SUM(Dat_01!Z10,Dat_01!Z14)/SUM(Dat_01!AA10,Dat_01!AA14))-1)*100</f>
        <v>3.2258143728259414</v>
      </c>
      <c r="J17" s="140">
        <f>Dat_01!B10/1000</f>
        <v>16.638507000000001</v>
      </c>
      <c r="K17" s="20">
        <f>Dat_01!D10*100</f>
        <v>-3.3683675699999998</v>
      </c>
      <c r="L17" s="140">
        <f>Dat_01!J10/1000</f>
        <v>15.322566</v>
      </c>
      <c r="M17" s="20">
        <f>Dat_01!L10*100</f>
        <v>-4.2450102300000001</v>
      </c>
      <c r="N17" s="147"/>
      <c r="O17" s="146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40">
        <f>Dat_01!R11/1000</f>
        <v>49.385100000000001</v>
      </c>
      <c r="G18" s="20">
        <f>Dat_01!T11*100</f>
        <v>245.64155871</v>
      </c>
      <c r="H18" s="140">
        <f>Dat_01!Z11/1000</f>
        <v>14.760491</v>
      </c>
      <c r="I18" s="20">
        <f>Dat_01!AB11*100</f>
        <v>-26.650842790000002</v>
      </c>
      <c r="J18" s="140">
        <f>Dat_01!B11/1000</f>
        <v>3.725E-3</v>
      </c>
      <c r="K18" s="20">
        <f>IF(Dat_01!D11=-100%,"-",Dat_01!D11*100)</f>
        <v>-89.267604009999999</v>
      </c>
      <c r="L18" s="140">
        <f>Dat_01!J11/1000</f>
        <v>3.4820000000000003E-3</v>
      </c>
      <c r="M18" s="20">
        <f>IF(Dat_01!L11*100=-100,"-",Dat_01!L11*100)</f>
        <v>590.87301587000002</v>
      </c>
      <c r="N18" s="147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40" t="s">
        <v>3</v>
      </c>
      <c r="G19" s="20" t="s">
        <v>3</v>
      </c>
      <c r="H19" s="140">
        <f>Dat_01!Z12/1000</f>
        <v>118.030389</v>
      </c>
      <c r="I19" s="20">
        <f>Dat_01!AB12*100</f>
        <v>0.51144341999999998</v>
      </c>
      <c r="J19" s="140" t="s">
        <v>3</v>
      </c>
      <c r="K19" s="140" t="s">
        <v>3</v>
      </c>
      <c r="L19" s="140" t="s">
        <v>3</v>
      </c>
      <c r="M19" s="140" t="s">
        <v>3</v>
      </c>
      <c r="N19" s="147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9">
        <f>SUM(F17:F19)</f>
        <v>54.403029000000004</v>
      </c>
      <c r="G20" s="14">
        <f>((SUM(Dat_01!R10:R12,Dat_01!R14)/SUM(Dat_01!S10:S12,Dat_01!S14))-1)*100</f>
        <v>17.713138062726163</v>
      </c>
      <c r="H20" s="139">
        <f>SUM(H17:H19)</f>
        <v>282.44370800000002</v>
      </c>
      <c r="I20" s="14">
        <f>(H20/(H17/(I17/100+1)+H18/(I18/100+1)+H19/(I19/100+1))-1)*100</f>
        <v>-3.038974104926373E-2</v>
      </c>
      <c r="J20" s="139">
        <f>SUM(J17:J19)</f>
        <v>16.642232</v>
      </c>
      <c r="K20" s="14">
        <f>((SUM(Dat_01!B10:B12)/SUM(Dat_01!C10:C12))-1)*100</f>
        <v>-3.5411697901554184</v>
      </c>
      <c r="L20" s="139">
        <f>SUM(L17:L19)</f>
        <v>15.326048</v>
      </c>
      <c r="M20" s="14">
        <f>((SUM(Dat_01!J10:J12)/SUM(Dat_01!K10:K12))-1)*100</f>
        <v>-4.2262667670685872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9">
        <f>Dat_01!R13/1000</f>
        <v>236.33414100000002</v>
      </c>
      <c r="G21" s="14">
        <f>Dat_01!T13*100</f>
        <v>-32.492665080000002</v>
      </c>
      <c r="H21" s="139">
        <f>Dat_01!Z13/1000</f>
        <v>279.418815</v>
      </c>
      <c r="I21" s="14">
        <f>Dat_01!AB13*100</f>
        <v>-20.241752779999999</v>
      </c>
      <c r="J21" s="139" t="s">
        <v>3</v>
      </c>
      <c r="K21" s="14" t="s">
        <v>3</v>
      </c>
      <c r="L21" s="139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9">
        <f>Dat_01!R19/1000</f>
        <v>3.055609</v>
      </c>
      <c r="G22" s="14">
        <f>Dat_01!T19*100</f>
        <v>-10.15570398</v>
      </c>
      <c r="H22" s="139">
        <f>Dat_01!Z19/1000</f>
        <v>0</v>
      </c>
      <c r="I22" s="14" t="s">
        <v>3</v>
      </c>
      <c r="J22" s="139" t="s">
        <v>3</v>
      </c>
      <c r="K22" s="14" t="s">
        <v>3</v>
      </c>
      <c r="L22" s="139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9">
        <f>Dat_01!R20/1000</f>
        <v>7.3618245</v>
      </c>
      <c r="G23" s="14">
        <f>Dat_01!T20*100</f>
        <v>-25.420802030000001</v>
      </c>
      <c r="H23" s="139" t="s">
        <v>3</v>
      </c>
      <c r="I23" s="14" t="s">
        <v>3</v>
      </c>
      <c r="J23" s="139" t="s">
        <v>3</v>
      </c>
      <c r="K23" s="14" t="s">
        <v>3</v>
      </c>
      <c r="L23" s="14">
        <f>Dat_01!J20/1000</f>
        <v>0.46376299999999998</v>
      </c>
      <c r="M23" s="14">
        <f>Dat_01!L20*100</f>
        <v>-10.64520542</v>
      </c>
      <c r="N23" s="7"/>
      <c r="O23" s="7"/>
    </row>
    <row r="24" spans="3:23" ht="12.75" customHeight="1">
      <c r="C24" s="10"/>
      <c r="E24" s="153" t="s">
        <v>81</v>
      </c>
      <c r="F24" s="141">
        <f>SUM(F16,F20:F23)</f>
        <v>300.42688550000003</v>
      </c>
      <c r="G24" s="157">
        <f>((SUM(Dat_01!R9:R14,Dat_01!R19,Dat_01!R21)/SUM(Dat_01!S9:S14,Dat_01!S19,Dat_01!S21))-1)*100</f>
        <v>-26.536638412742608</v>
      </c>
      <c r="H24" s="141">
        <f>SUM(H16,H20:H23)</f>
        <v>561.86252300000001</v>
      </c>
      <c r="I24" s="157">
        <f>((SUM(Dat_01!Z9:Z14,Dat_01!Z19,Dat_01!Z21)/SUM(Dat_01!AA9:AA14,Dat_01!AA19,Dat_01!AA21))-1)*100</f>
        <v>-11.218759071837036</v>
      </c>
      <c r="J24" s="141">
        <f>SUM(J16,J20:J23)</f>
        <v>16.642232</v>
      </c>
      <c r="K24" s="157">
        <f>((SUM(Dat_01!B9:B14,Dat_01!B19,Dat_01!B21)/SUM(Dat_01!C9:C14,Dat_01!C19,Dat_01!C21))-1)*100</f>
        <v>-3.5411697901554184</v>
      </c>
      <c r="L24" s="141">
        <f>SUM(L16,L20:L23)</f>
        <v>15.789811</v>
      </c>
      <c r="M24" s="157">
        <f>((SUM(Dat_01!J9:J14,Dat_01!J19,Dat_01!J21)/SUM(Dat_01!K9:K14,Dat_01!K19,Dat_01!K21))-1)*100</f>
        <v>-4.4279155418351372</v>
      </c>
      <c r="N24" s="7"/>
      <c r="O24" s="7"/>
    </row>
    <row r="25" spans="3:23" ht="12.75" customHeight="1">
      <c r="C25" s="13"/>
      <c r="E25" s="12" t="s">
        <v>87</v>
      </c>
      <c r="F25" s="142">
        <f>Dat_01!R23/1000</f>
        <v>123.950131</v>
      </c>
      <c r="G25" s="11">
        <f>Dat_01!T23*100</f>
        <v>297.79448145999999</v>
      </c>
      <c r="H25" s="142" t="s">
        <v>3</v>
      </c>
      <c r="I25" s="142" t="s">
        <v>3</v>
      </c>
      <c r="J25" s="142" t="s">
        <v>3</v>
      </c>
      <c r="K25" s="142" t="s">
        <v>3</v>
      </c>
      <c r="L25" s="142" t="s">
        <v>3</v>
      </c>
      <c r="M25" s="142" t="s">
        <v>3</v>
      </c>
      <c r="N25" s="7"/>
      <c r="O25" s="7"/>
    </row>
    <row r="26" spans="3:23" ht="16.350000000000001" customHeight="1">
      <c r="C26" s="10"/>
      <c r="E26" s="9" t="s">
        <v>1</v>
      </c>
      <c r="F26" s="143">
        <f>Dat_01!R24/1000</f>
        <v>450.14864699999998</v>
      </c>
      <c r="G26" s="8">
        <f>Dat_01!T24*100</f>
        <v>-3.1764798299999999</v>
      </c>
      <c r="H26" s="143">
        <f>Dat_01!Z24/1000</f>
        <v>718.57056499999999</v>
      </c>
      <c r="I26" s="8">
        <f>Dat_01!AB24*100</f>
        <v>0.73750599999999999</v>
      </c>
      <c r="J26" s="143">
        <f>Dat_01!B24/1000</f>
        <v>16.642232</v>
      </c>
      <c r="K26" s="8">
        <f>Dat_01!D24*100</f>
        <v>-3.5411697899999997</v>
      </c>
      <c r="L26" s="143">
        <f>Dat_01!J24/1000</f>
        <v>16.253574</v>
      </c>
      <c r="M26" s="8">
        <f>Dat_01!L24*100</f>
        <v>-4.64425284</v>
      </c>
      <c r="N26" s="7"/>
      <c r="O26" s="7"/>
    </row>
    <row r="27" spans="3:23" ht="16.350000000000001" customHeight="1">
      <c r="C27" s="10"/>
      <c r="E27" s="193" t="s">
        <v>56</v>
      </c>
      <c r="F27" s="193"/>
      <c r="G27" s="193"/>
      <c r="H27" s="193"/>
      <c r="I27" s="193"/>
      <c r="J27" s="193"/>
      <c r="K27" s="193"/>
      <c r="L27" s="154"/>
      <c r="M27" s="155"/>
      <c r="N27" s="7"/>
      <c r="O27" s="7"/>
    </row>
    <row r="28" spans="3:23" ht="34.5" customHeight="1">
      <c r="C28" s="10"/>
      <c r="E28" s="194" t="s">
        <v>105</v>
      </c>
      <c r="F28" s="194"/>
      <c r="G28" s="194"/>
      <c r="H28" s="194"/>
      <c r="I28" s="194"/>
      <c r="J28" s="194"/>
      <c r="K28" s="194"/>
      <c r="L28" s="194"/>
      <c r="M28" s="194"/>
      <c r="N28" s="7"/>
      <c r="O28" s="7"/>
    </row>
    <row r="29" spans="3:23" ht="12.75" customHeight="1">
      <c r="C29" s="3"/>
      <c r="D29" s="3"/>
      <c r="E29" s="192" t="s">
        <v>0</v>
      </c>
      <c r="F29" s="192"/>
      <c r="G29" s="192"/>
      <c r="H29" s="192"/>
      <c r="I29" s="192"/>
      <c r="J29" s="192"/>
      <c r="K29" s="192"/>
      <c r="L29" s="192"/>
      <c r="M29" s="192"/>
      <c r="O29" s="6"/>
    </row>
    <row r="30" spans="3:23" ht="12.75" customHeight="1">
      <c r="E30" s="191" t="s">
        <v>82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3"/>
      <c r="D31" s="3"/>
      <c r="E31" s="191" t="s">
        <v>85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E32" s="191" t="s">
        <v>86</v>
      </c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33" sqref="H33:H34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Enero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31</v>
      </c>
      <c r="D7" s="39"/>
      <c r="E7" s="43"/>
    </row>
    <row r="8" spans="2:12" s="33" customFormat="1" ht="12.75" customHeight="1">
      <c r="B8" s="41"/>
      <c r="C8" s="195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2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5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5" t="s">
        <v>28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Enero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32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0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32" sqref="I32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Enero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35</v>
      </c>
      <c r="D7" s="39"/>
      <c r="E7" s="43"/>
    </row>
    <row r="8" spans="2:12" s="33" customFormat="1" ht="12.75" customHeight="1">
      <c r="B8" s="41"/>
      <c r="C8" s="195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9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5" t="s">
        <v>49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Enero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36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0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2023-02-15T09:21:56Z</dcterms:modified>
</cp:coreProperties>
</file>