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DIC\INF_ELABORADA\"/>
    </mc:Choice>
  </mc:AlternateContent>
  <xr:revisionPtr revIDLastSave="0" documentId="13_ncr:1_{758DFF58-75E7-4E6A-A9B3-7B31DAEAE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8" l="1"/>
  <c r="R25" i="18"/>
  <c r="T25" i="18"/>
  <c r="G22" i="22"/>
  <c r="G11" i="22"/>
  <c r="I11" i="22"/>
  <c r="S25" i="18" l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H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<sst xmlns="http://schemas.openxmlformats.org/spreadsheetml/2006/main" count="433" uniqueCount="137">
  <si>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</si>
  <si>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</si>
  <si>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</si>
  <si>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</si>
  <si>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</si>
  <si>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</si>
  <si>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</si>
  <si>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</si>
  <si>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</si>
  <si>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</si>
  <si>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</si>
  <si>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</si>
  <si>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</si>
  <si>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</si>
  <si>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</si>
  <si>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</si>
  <si>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</si>
  <si>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</si>
  <si>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</si>
  <si>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</si>
  <si>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</si>
  <si>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</si>
  <si>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</si>
  <si>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</si>
  <si>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</si>
  <si>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</si>
  <si>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</si>
  <si>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</si>
  <si>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</si>
  <si>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</si>
  <si>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</si>
  <si>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</si>
  <si>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</si>
  <si>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</si>
  <si>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</si>
  <si>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</si>
  <si>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</si>
  <si>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</si>
  <si>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</si>
  <si>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</si>
  <si>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</si>
  <si>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</si>
  <si>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</si>
  <si>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</si>
  <si>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</si>
  <si>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</si>
  <si>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</si>
  <si>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</si>
  <si>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</si>
  <si>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</si>
  <si>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</si>
  <si>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</si>
  <si>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</si>
  <si>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</si>
  <si>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</si>
  <si>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</si>
  <si>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</si>
  <si>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</si>
  <si>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</si>
  <si>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</si>
  <si>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</si>
  <si>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</si>
  <si>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</si>
  <si>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</si>
  <si>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</si>
  <si>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</si>
  <si>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</si>
  <si>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</si>
  <si>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</si>
  <si>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</si>
  <si>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</si>
  <si>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</si>
  <si>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</si>
  <si>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</si>
  <si>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</si>
  <si>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</si>
  <si>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</si>
  <si>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</si>
  <si>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</si>
  <si>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</si>
  <si>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</si>
  <si>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</si>
  <si>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</si>
  <si>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</si>
  <si>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</si>
  <si>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</si>
  <si>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</si>
  <si>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</si>
  <si>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</si>
  <si>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</si>
  <si>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</si>
  <si>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</si>
  <si>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</si>
  <si>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</si>
  <si>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</si>
  <si>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</si>
  <si>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</si>
  <si>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</si>
  <si>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</si>
  <si>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</si>
  <si>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</si>
  <si>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</si>
  <si>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</si>
  <si>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</si>
  <si>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</si>
  <si>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</si>
  <si>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</si>
  <si>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</si>
  <si>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</si>
  <si>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</si>
  <si>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</si>
  <si>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</si>
  <si>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</si>
  <si>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</si>
  <si>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</si>
  <si>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</si>
  <si>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</si>
  <si>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</si>
  <si>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</si>
  <si>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</si>
  <si>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</si>
  <si>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</si>
  <si>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</si>
  <si>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</si>
  <si>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</si>
  <si>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</si>
  <si>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</si>
  <si>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</si>
  <si>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</si>
  <si>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</si>
  <si>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31/12/2023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</si>
  <si>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ut="01/10/2024 11:42:47"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msgID="5E35F16411EEAFAD81490080EF05C605"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</si>
  <si>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ut="01/10/2024 12:35:43"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msgID="F4C541B011EEAFB381490080EFD56502"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nrr="1462" nrc="2752"&gt;&lt;pg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</si>
  <si>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ut="01/10/2024 12:57:24"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msgID="D8CCEC6211EEAFB681490080EFA50504"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cols="26" /&gt;&lt;esdo ews="" ece="" ptn="" /&gt;&lt;/excel&gt;&lt;pgs&gt;&lt;pg rows="27" cols="24" nrr="2115" nrc="1635"&gt;&lt;pg /&gt;&lt;bls&gt;&lt;bl sr="1" sc="1" rfetch="27" cfetch="24" posid="1" darows="0" dacols="1"&gt;&lt;excel&gt;&lt;epo ews="Dat_01" ece="A85" enr="MSTR.Serie_Balance_B.C._Mensual_Baleares_y_Canarias" ptn="" qtn="" rows="30" cols="26" /&gt;&lt;esdo ews="" ece="" ptn="" /&gt;&lt;/excel&gt;&lt;gridRng&gt;&lt;sect id="TITLE_AREA" rngprop="1:1:3:2" /&gt;&lt;sect id="ROWHEADERS_AREA" rngprop="4:1:27:2" /&gt;&lt;sect id="COLUMNHEADERS_AREA" rngprop="1:3:3:24" /&gt;&lt;sect id="DATA_AREA" rngprop="4:3:27:24"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</si>
  <si>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ut="01/10/2024 13:01:37" si="2.000000012d56d3f1c44536577fb7762e2ea546c8acf4e5fe463a645c521e095c4acc4241724a029d384bbedebed6cf8800b04026b02169cf86f2d3ac76ea7e234276a5ef5af828bfa2e9e845f06482b1a563b8228e980c29321743697b6fbbc72fe7b0c7968a4042f1739d445dfe0a8d100cb0a5984ddaa9af51c86cc3be99e515b9ca6e74db10ed2d05a9a49a3c41bea8a6b0ace410e24248b92e4ab9602eac63bb.p.3082.0.1.Europe/Madrid.upriv*_1*_pidn2*_3*_session*-lat*_1.0000000182e2f99d6ce82721737427e1ab049799bc6025e0e9558ea3783f6acb58d3947a3c415c8ae383f0ff0ce7602e1b77f17aaea9f7ab.000000011006070a4c4f2a80e058f54faf89ce75bc6025e09f43a135ba003b3c482145a16af55012bbcd49d73e32eb0403af1454937b6bf7.0.1.1.BDEbi.D066E1C611E6257C10D00080EF253B44.0-3082.1.1_-0.1.0_-3082.1.1_5.5.0.*0.0000000101396ec2e9f71b76b5e7989681dbdd5cc911585a043a31811ddce9c10e2cdc85861faac1.0.23.11*.2*.0400*.31152J.e.00000001b9246a11c961b922f70e4b8aec00b9bfc911585a9ca85b0b4fee7733097791327e5656f2.0.10*.131*.122*.122.0.0" msgID="5850893F11EEAFB881490080EF658606"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nrr="112" nrc="780"&gt;&lt;pg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</si>
  <si>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267fbf365c1f4e32a50b0069af239e70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</si>
  <si>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ut="01/10/2024 13:02:09" si="2.000000012d56d3f1c44536577fb7762e2ea546c8acf4e5fe463a645c521e095c4acc4241724a029d384bbedebed6cf8800b04026b02169cf86f2d3ac76ea7e234276a5ef5af828bfa2e9e845f06482b1a563b8228e980c29321743697b6fbbc72fe7b0c7968a4042f1739d445dfe0a8d100cb0a5984ddaa9af51c86cc3be99e515b9ca6e74db10ed2d05a9a49a3c41bea8a6b0ace410e24248b92e4ab9602eac63bb.p.3082.0.1.Europe/Madrid.upriv*_1*_pidn2*_3*_session*-lat*_1.0000000182e2f99d6ce82721737427e1ab049799bc6025e0e9558ea3783f6acb58d3947a3c415c8ae383f0ff0ce7602e1b77f17aaea9f7ab.000000011006070a4c4f2a80e058f54faf89ce75bc6025e09f43a135ba003b3c482145a16af55012bbcd49d73e32eb0403af1454937b6bf7.0.1.1.BDEbi.D066E1C611E6257C10D00080EF253B44.0-3082.1.1_-0.1.0_-3082.1.1_5.5.0.*0.0000000101396ec2e9f71b76b5e7989681dbdd5cc911585a043a31811ddce9c10e2cdc85861faac1.0.23.11*.2*.0400*.31152J.e.00000001b9246a11c961b922f70e4b8aec00b9bfc911585a9ca85b0b4fee7733097791327e5656f2.0.10*.131*.122*.122.0.0" msgID="70667C1811EEAFB881490080EF352503"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nrr="68" nrc="828"&gt;&lt;pg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</si>
</sst>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rgb="FFF5F5F5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1" fillId="0" borderId="0" xfId="0" applyNumberFormat="1" applyFont="1"/>
    <xf numFmtId="0" fontId="51" fillId="0" borderId="0" xfId="0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-1.2614443415161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2.7772440944881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5915395941360988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1.3528618758144091</c:v>
                </c:pt>
                <c:pt idx="2">
                  <c:v>5.4042376252336783</c:v>
                </c:pt>
                <c:pt idx="3">
                  <c:v>55.923937572760586</c:v>
                </c:pt>
                <c:pt idx="4">
                  <c:v>0</c:v>
                </c:pt>
                <c:pt idx="5">
                  <c:v>0.91881846851389237</c:v>
                </c:pt>
                <c:pt idx="6">
                  <c:v>2.1497508759659918</c:v>
                </c:pt>
                <c:pt idx="7">
                  <c:v>2.1497508759659918</c:v>
                </c:pt>
                <c:pt idx="8">
                  <c:v>0</c:v>
                </c:pt>
                <c:pt idx="9">
                  <c:v>5.193442949570688</c:v>
                </c:pt>
                <c:pt idx="10">
                  <c:v>2.5195005659612E-2</c:v>
                </c:pt>
                <c:pt idx="11">
                  <c:v>26.882004750515165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10.867298283023866</c:v>
                </c:pt>
                <c:pt idx="1">
                  <c:v>6.280685657767525</c:v>
                </c:pt>
                <c:pt idx="2">
                  <c:v>27.172751220944001</c:v>
                </c:pt>
                <c:pt idx="3">
                  <c:v>37.075869639719485</c:v>
                </c:pt>
                <c:pt idx="4">
                  <c:v>0</c:v>
                </c:pt>
                <c:pt idx="5">
                  <c:v>0.51917030727729685</c:v>
                </c:pt>
                <c:pt idx="6">
                  <c:v>1.6850620057425065</c:v>
                </c:pt>
                <c:pt idx="7">
                  <c:v>1.6850620057425065</c:v>
                </c:pt>
                <c:pt idx="8">
                  <c:v>0.16073418998626715</c:v>
                </c:pt>
                <c:pt idx="9">
                  <c:v>14.45739925471014</c:v>
                </c:pt>
                <c:pt idx="10">
                  <c:v>9.5967435086404776E-2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-0.62679200000000002</c:v>
                </c:pt>
                <c:pt idx="1">
                  <c:v>-0.72771799999999998</c:v>
                </c:pt>
                <c:pt idx="2">
                  <c:v>-0.70697299999999996</c:v>
                </c:pt>
                <c:pt idx="3">
                  <c:v>-0.51834000000000002</c:v>
                </c:pt>
                <c:pt idx="4">
                  <c:v>-0.60865999999999998</c:v>
                </c:pt>
                <c:pt idx="5">
                  <c:v>-0.83296899999999996</c:v>
                </c:pt>
                <c:pt idx="6">
                  <c:v>3.1799559999999998</c:v>
                </c:pt>
                <c:pt idx="7">
                  <c:v>54.925434000000003</c:v>
                </c:pt>
                <c:pt idx="8">
                  <c:v>9.0232189999999992</c:v>
                </c:pt>
                <c:pt idx="9">
                  <c:v>-0.82337800000000005</c:v>
                </c:pt>
                <c:pt idx="10">
                  <c:v>-0.82724900000000001</c:v>
                </c:pt>
                <c:pt idx="11">
                  <c:v>-0.89542500000000003</c:v>
                </c:pt>
                <c:pt idx="12">
                  <c:v>-0.69586499999999996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28.980339000000001</c:v>
                </c:pt>
                <c:pt idx="1">
                  <c:v>54.403029000000004</c:v>
                </c:pt>
                <c:pt idx="2">
                  <c:v>47.337153999999998</c:v>
                </c:pt>
                <c:pt idx="3">
                  <c:v>40.752212</c:v>
                </c:pt>
                <c:pt idx="4">
                  <c:v>36.577028999999996</c:v>
                </c:pt>
                <c:pt idx="5">
                  <c:v>47.925082000000003</c:v>
                </c:pt>
                <c:pt idx="6">
                  <c:v>77.204378999999989</c:v>
                </c:pt>
                <c:pt idx="7">
                  <c:v>124.68270699999999</c:v>
                </c:pt>
                <c:pt idx="8">
                  <c:v>118.33977300000001</c:v>
                </c:pt>
                <c:pt idx="9">
                  <c:v>82.054295999999994</c:v>
                </c:pt>
                <c:pt idx="10">
                  <c:v>61.254111000000002</c:v>
                </c:pt>
                <c:pt idx="11">
                  <c:v>30.185099999999998</c:v>
                </c:pt>
                <c:pt idx="12">
                  <c:v>28.263148000000001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251.18496099999999</c:v>
                </c:pt>
                <c:pt idx="1">
                  <c:v>236.33414099999999</c:v>
                </c:pt>
                <c:pt idx="2">
                  <c:v>250.50749099999999</c:v>
                </c:pt>
                <c:pt idx="3">
                  <c:v>233.28242</c:v>
                </c:pt>
                <c:pt idx="4">
                  <c:v>207.738203</c:v>
                </c:pt>
                <c:pt idx="5">
                  <c:v>231.47546199999999</c:v>
                </c:pt>
                <c:pt idx="6">
                  <c:v>269.55010299999998</c:v>
                </c:pt>
                <c:pt idx="7">
                  <c:v>316.35504600000002</c:v>
                </c:pt>
                <c:pt idx="8">
                  <c:v>324.37696499999998</c:v>
                </c:pt>
                <c:pt idx="9">
                  <c:v>296.32292799999999</c:v>
                </c:pt>
                <c:pt idx="10">
                  <c:v>247.112684</c:v>
                </c:pt>
                <c:pt idx="11">
                  <c:v>224.26124200000001</c:v>
                </c:pt>
                <c:pt idx="12">
                  <c:v>233.91494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0.100989</c:v>
                </c:pt>
                <c:pt idx="1">
                  <c:v>0.21573000000000001</c:v>
                </c:pt>
                <c:pt idx="2">
                  <c:v>0.18323999999999999</c:v>
                </c:pt>
                <c:pt idx="3">
                  <c:v>0.20035</c:v>
                </c:pt>
                <c:pt idx="4">
                  <c:v>0.12734500000000001</c:v>
                </c:pt>
                <c:pt idx="5">
                  <c:v>0.24965100000000001</c:v>
                </c:pt>
                <c:pt idx="6">
                  <c:v>5.6180000000000001E-2</c:v>
                </c:pt>
                <c:pt idx="7">
                  <c:v>0.118565</c:v>
                </c:pt>
                <c:pt idx="8">
                  <c:v>9.7920999999999994E-2</c:v>
                </c:pt>
                <c:pt idx="9">
                  <c:v>0</c:v>
                </c:pt>
                <c:pt idx="10">
                  <c:v>1.0359999999999999E-2</c:v>
                </c:pt>
                <c:pt idx="11">
                  <c:v>8.7279999999999996E-3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15.536158</c:v>
                </c:pt>
                <c:pt idx="1">
                  <c:v>18.539918</c:v>
                </c:pt>
                <c:pt idx="2">
                  <c:v>22.493357</c:v>
                </c:pt>
                <c:pt idx="3">
                  <c:v>35.774521</c:v>
                </c:pt>
                <c:pt idx="4">
                  <c:v>38.851148000000002</c:v>
                </c:pt>
                <c:pt idx="5">
                  <c:v>34.004562</c:v>
                </c:pt>
                <c:pt idx="6">
                  <c:v>36.423403999999998</c:v>
                </c:pt>
                <c:pt idx="7">
                  <c:v>41.343387999999997</c:v>
                </c:pt>
                <c:pt idx="8">
                  <c:v>44.372684</c:v>
                </c:pt>
                <c:pt idx="9">
                  <c:v>34.510787000000001</c:v>
                </c:pt>
                <c:pt idx="10">
                  <c:v>32.549160999999998</c:v>
                </c:pt>
                <c:pt idx="11">
                  <c:v>23.299289000000002</c:v>
                </c:pt>
                <c:pt idx="12">
                  <c:v>21.722788999999999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7.7099000000000001E-2</c:v>
                </c:pt>
                <c:pt idx="1">
                  <c:v>9.3608999999999998E-2</c:v>
                </c:pt>
                <c:pt idx="2">
                  <c:v>0.13599800000000001</c:v>
                </c:pt>
                <c:pt idx="3">
                  <c:v>0.11230800000000001</c:v>
                </c:pt>
                <c:pt idx="4">
                  <c:v>7.399E-2</c:v>
                </c:pt>
                <c:pt idx="5">
                  <c:v>9.0162999999999993E-2</c:v>
                </c:pt>
                <c:pt idx="6">
                  <c:v>8.4139000000000005E-2</c:v>
                </c:pt>
                <c:pt idx="7">
                  <c:v>3.7238E-2</c:v>
                </c:pt>
                <c:pt idx="8">
                  <c:v>2.6629E-2</c:v>
                </c:pt>
                <c:pt idx="9">
                  <c:v>3.1858999999999998E-2</c:v>
                </c:pt>
                <c:pt idx="10">
                  <c:v>3.9587999999999998E-2</c:v>
                </c:pt>
                <c:pt idx="11">
                  <c:v>7.2841000000000003E-2</c:v>
                </c:pt>
                <c:pt idx="12">
                  <c:v>0.10538400000000001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2.9406370000000002</c:v>
                </c:pt>
                <c:pt idx="1">
                  <c:v>3.048152</c:v>
                </c:pt>
                <c:pt idx="2">
                  <c:v>3.0015830000000001</c:v>
                </c:pt>
                <c:pt idx="3">
                  <c:v>3.577315</c:v>
                </c:pt>
                <c:pt idx="4">
                  <c:v>3.6179220000000001</c:v>
                </c:pt>
                <c:pt idx="5">
                  <c:v>3.5173019999999999</c:v>
                </c:pt>
                <c:pt idx="6">
                  <c:v>3.783118</c:v>
                </c:pt>
                <c:pt idx="7">
                  <c:v>3.2446030000000001</c:v>
                </c:pt>
                <c:pt idx="8">
                  <c:v>3.7400570000000002</c:v>
                </c:pt>
                <c:pt idx="9">
                  <c:v>3.104663</c:v>
                </c:pt>
                <c:pt idx="10">
                  <c:v>1.7294940000000001</c:v>
                </c:pt>
                <c:pt idx="11">
                  <c:v>3.4617429999999998</c:v>
                </c:pt>
                <c:pt idx="12">
                  <c:v>3.8431730000000002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10.4136255</c:v>
                </c:pt>
                <c:pt idx="1">
                  <c:v>7.3618245</c:v>
                </c:pt>
                <c:pt idx="2">
                  <c:v>9.8298860000000001</c:v>
                </c:pt>
                <c:pt idx="3">
                  <c:v>9.6378819999999994</c:v>
                </c:pt>
                <c:pt idx="4">
                  <c:v>10.65733</c:v>
                </c:pt>
                <c:pt idx="5">
                  <c:v>12.228600500000001</c:v>
                </c:pt>
                <c:pt idx="6">
                  <c:v>15.5976535</c:v>
                </c:pt>
                <c:pt idx="7">
                  <c:v>12.5411815</c:v>
                </c:pt>
                <c:pt idx="8">
                  <c:v>14.683114</c:v>
                </c:pt>
                <c:pt idx="9">
                  <c:v>9.9340825000000006</c:v>
                </c:pt>
                <c:pt idx="10">
                  <c:v>10.860910000000001</c:v>
                </c:pt>
                <c:pt idx="11">
                  <c:v>10.810193999999999</c:v>
                </c:pt>
                <c:pt idx="12">
                  <c:v>8.9918355000000005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10.4136255</c:v>
                </c:pt>
                <c:pt idx="1">
                  <c:v>7.3618245</c:v>
                </c:pt>
                <c:pt idx="2">
                  <c:v>9.8298860000000001</c:v>
                </c:pt>
                <c:pt idx="3">
                  <c:v>9.6378819999999994</c:v>
                </c:pt>
                <c:pt idx="4">
                  <c:v>10.65733</c:v>
                </c:pt>
                <c:pt idx="5">
                  <c:v>12.228600500000001</c:v>
                </c:pt>
                <c:pt idx="6">
                  <c:v>15.5976535</c:v>
                </c:pt>
                <c:pt idx="7">
                  <c:v>12.5411815</c:v>
                </c:pt>
                <c:pt idx="8">
                  <c:v>14.683114</c:v>
                </c:pt>
                <c:pt idx="9">
                  <c:v>9.9340825000000006</c:v>
                </c:pt>
                <c:pt idx="10">
                  <c:v>10.860910000000001</c:v>
                </c:pt>
                <c:pt idx="11">
                  <c:v>10.810193999999999</c:v>
                </c:pt>
                <c:pt idx="12">
                  <c:v>8.9918355000000005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79.778822000000005</c:v>
                </c:pt>
                <c:pt idx="1">
                  <c:v>123.950131</c:v>
                </c:pt>
                <c:pt idx="2">
                  <c:v>89.734262000000001</c:v>
                </c:pt>
                <c:pt idx="3">
                  <c:v>82.194308000000007</c:v>
                </c:pt>
                <c:pt idx="4">
                  <c:v>98.033413999999993</c:v>
                </c:pt>
                <c:pt idx="5">
                  <c:v>118.762416</c:v>
                </c:pt>
                <c:pt idx="6">
                  <c:v>124.350134</c:v>
                </c:pt>
                <c:pt idx="7">
                  <c:v>168.54782399999999</c:v>
                </c:pt>
                <c:pt idx="8">
                  <c:v>175.00929099999999</c:v>
                </c:pt>
                <c:pt idx="9">
                  <c:v>130.854702</c:v>
                </c:pt>
                <c:pt idx="10">
                  <c:v>131.44748999999999</c:v>
                </c:pt>
                <c:pt idx="11">
                  <c:v>70.767787999999996</c:v>
                </c:pt>
                <c:pt idx="12">
                  <c:v>112.440268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14.816183442751235</c:v>
                </c:pt>
                <c:pt idx="1">
                  <c:v>15.822179328629124</c:v>
                </c:pt>
                <c:pt idx="2">
                  <c:v>14.664266214439866</c:v>
                </c:pt>
                <c:pt idx="3">
                  <c:v>26.293833876131817</c:v>
                </c:pt>
                <c:pt idx="4">
                  <c:v>1.1606476242988624</c:v>
                </c:pt>
                <c:pt idx="5">
                  <c:v>4.6182837406656303E-2</c:v>
                </c:pt>
                <c:pt idx="6">
                  <c:v>0.34394060489694034</c:v>
                </c:pt>
                <c:pt idx="7">
                  <c:v>19.588207418467974</c:v>
                </c:pt>
                <c:pt idx="8">
                  <c:v>7.1218779921474864</c:v>
                </c:pt>
                <c:pt idx="9">
                  <c:v>0.14268066083003814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3414634146341465"/>
                  <c:y val="-0.1078882970511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1544728250432111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170732987644837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23.320152483446218</c:v>
                </c:pt>
                <c:pt idx="1">
                  <c:v>3.6060515482946336</c:v>
                </c:pt>
                <c:pt idx="2">
                  <c:v>13.150657251238243</c:v>
                </c:pt>
                <c:pt idx="3">
                  <c:v>46.863134364149253</c:v>
                </c:pt>
                <c:pt idx="4">
                  <c:v>0</c:v>
                </c:pt>
                <c:pt idx="5">
                  <c:v>4.1669082561567823E-2</c:v>
                </c:pt>
                <c:pt idx="6">
                  <c:v>9.1233735743876623E-2</c:v>
                </c:pt>
                <c:pt idx="7">
                  <c:v>9.6555419606431556</c:v>
                </c:pt>
                <c:pt idx="8">
                  <c:v>3.2108335715141538</c:v>
                </c:pt>
                <c:pt idx="9">
                  <c:v>6.0726002408907132E-2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0.28856799999999999</c:v>
                </c:pt>
                <c:pt idx="1">
                  <c:v>0.27497500000000002</c:v>
                </c:pt>
                <c:pt idx="2">
                  <c:v>0.25442500000000001</c:v>
                </c:pt>
                <c:pt idx="3">
                  <c:v>0.28212599999999999</c:v>
                </c:pt>
                <c:pt idx="4">
                  <c:v>0.27610800000000002</c:v>
                </c:pt>
                <c:pt idx="5">
                  <c:v>0.29790899999999998</c:v>
                </c:pt>
                <c:pt idx="6">
                  <c:v>0.28383700000000001</c:v>
                </c:pt>
                <c:pt idx="7">
                  <c:v>0.30198999999999998</c:v>
                </c:pt>
                <c:pt idx="8">
                  <c:v>0.28963</c:v>
                </c:pt>
                <c:pt idx="9">
                  <c:v>0.28927700000000001</c:v>
                </c:pt>
                <c:pt idx="10">
                  <c:v>0.30293500000000001</c:v>
                </c:pt>
                <c:pt idx="11">
                  <c:v>0.28046900000000002</c:v>
                </c:pt>
                <c:pt idx="12">
                  <c:v>0.30561100000000002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312.87680900000004</c:v>
                </c:pt>
                <c:pt idx="1">
                  <c:v>282.44358199999999</c:v>
                </c:pt>
                <c:pt idx="2">
                  <c:v>296.21159499999999</c:v>
                </c:pt>
                <c:pt idx="3">
                  <c:v>261.84115199999997</c:v>
                </c:pt>
                <c:pt idx="4">
                  <c:v>260.1001</c:v>
                </c:pt>
                <c:pt idx="5">
                  <c:v>261.00792300000001</c:v>
                </c:pt>
                <c:pt idx="6">
                  <c:v>265.32891099999995</c:v>
                </c:pt>
                <c:pt idx="7">
                  <c:v>263.81678599999998</c:v>
                </c:pt>
                <c:pt idx="8">
                  <c:v>280.24951799999997</c:v>
                </c:pt>
                <c:pt idx="9">
                  <c:v>278.46901400000002</c:v>
                </c:pt>
                <c:pt idx="10">
                  <c:v>329.85294699999997</c:v>
                </c:pt>
                <c:pt idx="11">
                  <c:v>283.46044599999999</c:v>
                </c:pt>
                <c:pt idx="12">
                  <c:v>293.933269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347.66188299999999</c:v>
                </c:pt>
                <c:pt idx="1">
                  <c:v>279.418815</c:v>
                </c:pt>
                <c:pt idx="2">
                  <c:v>289.33312999999998</c:v>
                </c:pt>
                <c:pt idx="3">
                  <c:v>284.83144399999998</c:v>
                </c:pt>
                <c:pt idx="4">
                  <c:v>279.54366599999997</c:v>
                </c:pt>
                <c:pt idx="5">
                  <c:v>275.34098399999999</c:v>
                </c:pt>
                <c:pt idx="6">
                  <c:v>351.45923099999999</c:v>
                </c:pt>
                <c:pt idx="7">
                  <c:v>250.52108799999999</c:v>
                </c:pt>
                <c:pt idx="8">
                  <c:v>306.93109600000003</c:v>
                </c:pt>
                <c:pt idx="9">
                  <c:v>329.65078499999998</c:v>
                </c:pt>
                <c:pt idx="10">
                  <c:v>385.37423100000001</c:v>
                </c:pt>
                <c:pt idx="11">
                  <c:v>320.60776499999997</c:v>
                </c:pt>
                <c:pt idx="12">
                  <c:v>343.70541600000001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0.36710399999999999</c:v>
                </c:pt>
                <c:pt idx="1">
                  <c:v>1.6495040000000001</c:v>
                </c:pt>
                <c:pt idx="2">
                  <c:v>0.82934099999999999</c:v>
                </c:pt>
                <c:pt idx="3">
                  <c:v>1.5724450000000001</c:v>
                </c:pt>
                <c:pt idx="4">
                  <c:v>1.573337</c:v>
                </c:pt>
                <c:pt idx="5">
                  <c:v>2.0671949999999999</c:v>
                </c:pt>
                <c:pt idx="6">
                  <c:v>0.80873799999999996</c:v>
                </c:pt>
                <c:pt idx="7">
                  <c:v>2.7590569999999999</c:v>
                </c:pt>
                <c:pt idx="8">
                  <c:v>2.6998280000000001</c:v>
                </c:pt>
                <c:pt idx="9">
                  <c:v>1.3149919999999999</c:v>
                </c:pt>
                <c:pt idx="10">
                  <c:v>0.44324000000000002</c:v>
                </c:pt>
                <c:pt idx="11">
                  <c:v>1.0899650000000001</c:v>
                </c:pt>
                <c:pt idx="12">
                  <c:v>0.66913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37.913117999999997</c:v>
                </c:pt>
                <c:pt idx="1">
                  <c:v>132.72816599999999</c:v>
                </c:pt>
                <c:pt idx="2">
                  <c:v>42.67051</c:v>
                </c:pt>
                <c:pt idx="3">
                  <c:v>130.23741999999999</c:v>
                </c:pt>
                <c:pt idx="4">
                  <c:v>103.685765</c:v>
                </c:pt>
                <c:pt idx="5">
                  <c:v>131.84913700000001</c:v>
                </c:pt>
                <c:pt idx="6">
                  <c:v>63.874986999999997</c:v>
                </c:pt>
                <c:pt idx="7">
                  <c:v>209.60142099999999</c:v>
                </c:pt>
                <c:pt idx="8">
                  <c:v>178.40248800000001</c:v>
                </c:pt>
                <c:pt idx="9">
                  <c:v>103.232878</c:v>
                </c:pt>
                <c:pt idx="10">
                  <c:v>57.758575</c:v>
                </c:pt>
                <c:pt idx="11">
                  <c:v>99.872924999999995</c:v>
                </c:pt>
                <c:pt idx="12">
                  <c:v>70.816050000000004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19.060797999999998</c:v>
                </c:pt>
                <c:pt idx="1">
                  <c:v>22.121485</c:v>
                </c:pt>
                <c:pt idx="2">
                  <c:v>20.382895000000001</c:v>
                </c:pt>
                <c:pt idx="3">
                  <c:v>32.428702000000001</c:v>
                </c:pt>
                <c:pt idx="4">
                  <c:v>30.033574000000002</c:v>
                </c:pt>
                <c:pt idx="5">
                  <c:v>30.564440999999999</c:v>
                </c:pt>
                <c:pt idx="6">
                  <c:v>30.691880000000001</c:v>
                </c:pt>
                <c:pt idx="7">
                  <c:v>35.002752999999998</c:v>
                </c:pt>
                <c:pt idx="8">
                  <c:v>33.602015999999999</c:v>
                </c:pt>
                <c:pt idx="9">
                  <c:v>31.322213000000001</c:v>
                </c:pt>
                <c:pt idx="10">
                  <c:v>29.6997</c:v>
                </c:pt>
                <c:pt idx="11">
                  <c:v>24.842165000000001</c:v>
                </c:pt>
                <c:pt idx="12">
                  <c:v>23.549019999999999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dic.-22</c:v>
                </c:pt>
                <c:pt idx="1">
                  <c:v>ene.-23</c:v>
                </c:pt>
                <c:pt idx="2">
                  <c:v>feb.-23</c:v>
                </c:pt>
                <c:pt idx="3">
                  <c:v>mar.-23</c:v>
                </c:pt>
                <c:pt idx="4">
                  <c:v>abr.-23</c:v>
                </c:pt>
                <c:pt idx="5">
                  <c:v>may.-23</c:v>
                </c:pt>
                <c:pt idx="6">
                  <c:v>jun.-23</c:v>
                </c:pt>
                <c:pt idx="7">
                  <c:v>jul.-23</c:v>
                </c:pt>
                <c:pt idx="8">
                  <c:v>ago.-23</c:v>
                </c:pt>
                <c:pt idx="9">
                  <c:v>sep.-23</c:v>
                </c:pt>
                <c:pt idx="10">
                  <c:v>oct.-23</c:v>
                </c:pt>
                <c:pt idx="11">
                  <c:v>nov.-23</c:v>
                </c:pt>
                <c:pt idx="12">
                  <c:v>dic.-23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0.78453200000000001</c:v>
                </c:pt>
                <c:pt idx="1">
                  <c:v>0.78413299999999997</c:v>
                </c:pt>
                <c:pt idx="2">
                  <c:v>0.71108700000000002</c:v>
                </c:pt>
                <c:pt idx="3">
                  <c:v>0.73842799999999997</c:v>
                </c:pt>
                <c:pt idx="4">
                  <c:v>0.63095199999999996</c:v>
                </c:pt>
                <c:pt idx="5">
                  <c:v>0.65055600000000002</c:v>
                </c:pt>
                <c:pt idx="6">
                  <c:v>0.66513100000000003</c:v>
                </c:pt>
                <c:pt idx="7">
                  <c:v>0.64607300000000001</c:v>
                </c:pt>
                <c:pt idx="8">
                  <c:v>0.37482700000000002</c:v>
                </c:pt>
                <c:pt idx="9">
                  <c:v>0.37211699999999998</c:v>
                </c:pt>
                <c:pt idx="10">
                  <c:v>0.52430399999999999</c:v>
                </c:pt>
                <c:pt idx="11">
                  <c:v>0.42454199999999997</c:v>
                </c:pt>
                <c:pt idx="12">
                  <c:v>0.44537900000000002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Diciembre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31" zoomScaleNormal="100" workbookViewId="0">
      <selection activeCell="R26" sqref="R26"/>
    </sheetView>
  </sheetViews>
  <sheetFormatPr baseColWidth="10" defaultColWidth="11.42578125" defaultRowHeight="12"/>
  <cols>
    <col min="1" max="1" width="11.57031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129</v>
      </c>
      <c r="B2" s="133" t="s">
        <v>130</v>
      </c>
    </row>
    <row r="4" spans="1:33" ht="15">
      <c r="A4" s="134" t="s">
        <v>67</v>
      </c>
      <c r="B4" s="199" t="s">
        <v>129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305.61099999999999</v>
      </c>
      <c r="AA8" s="169">
        <v>288.56799999999998</v>
      </c>
      <c r="AB8" s="170">
        <v>5.9060602699999999E-2</v>
      </c>
      <c r="AC8" s="169">
        <v>3439.2919999999999</v>
      </c>
      <c r="AD8" s="169">
        <v>3431.4949999999999</v>
      </c>
      <c r="AE8" s="170">
        <v>2.2721874999999999E-3</v>
      </c>
      <c r="AF8" s="169">
        <v>3439.2919999999999</v>
      </c>
      <c r="AG8" s="170">
        <v>2.2721874999999999E-3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-695.86500000000001</v>
      </c>
      <c r="S9" s="169">
        <v>-626.79200000000003</v>
      </c>
      <c r="T9" s="170">
        <v>0.1102008322</v>
      </c>
      <c r="U9" s="169">
        <v>60492.031999999999</v>
      </c>
      <c r="V9" s="169">
        <v>78652.205000000002</v>
      </c>
      <c r="W9" s="170">
        <v>-0.2308921028</v>
      </c>
      <c r="X9" s="169">
        <v>60492.031999999999</v>
      </c>
      <c r="Y9" s="170">
        <v>-0.2308921028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15564.873</v>
      </c>
      <c r="C10" s="169">
        <v>15729.448</v>
      </c>
      <c r="D10" s="170">
        <v>-1.0462859200000001E-2</v>
      </c>
      <c r="E10" s="169">
        <v>186275.89300000001</v>
      </c>
      <c r="F10" s="169">
        <v>194920.76500000001</v>
      </c>
      <c r="G10" s="170">
        <v>-4.4350698100000002E-2</v>
      </c>
      <c r="H10" s="169">
        <v>186275.89300000001</v>
      </c>
      <c r="I10" s="170">
        <v>-4.4350698100000002E-2</v>
      </c>
      <c r="J10" s="169">
        <v>14765.349</v>
      </c>
      <c r="K10" s="169">
        <v>14202.365</v>
      </c>
      <c r="L10" s="170">
        <v>3.9640158500000001E-2</v>
      </c>
      <c r="M10" s="169">
        <v>191086.22200000001</v>
      </c>
      <c r="N10" s="169">
        <v>184573.258</v>
      </c>
      <c r="O10" s="170">
        <v>3.5286606900000003E-2</v>
      </c>
      <c r="P10" s="169">
        <v>191086.22200000001</v>
      </c>
      <c r="Q10" s="170">
        <v>3.5286606900000003E-2</v>
      </c>
      <c r="R10" s="169">
        <v>5658.6610000000001</v>
      </c>
      <c r="S10" s="169">
        <v>2210.44</v>
      </c>
      <c r="T10" s="170">
        <v>1.5599704131000001</v>
      </c>
      <c r="U10" s="169">
        <v>250804.09599999999</v>
      </c>
      <c r="V10" s="169">
        <v>401415.80499999999</v>
      </c>
      <c r="W10" s="170">
        <v>-0.37520124300000002</v>
      </c>
      <c r="X10" s="169">
        <v>250804.09599999999</v>
      </c>
      <c r="Y10" s="170">
        <v>-0.37520124300000002</v>
      </c>
      <c r="Z10" s="169">
        <v>171035.56599999999</v>
      </c>
      <c r="AA10" s="169">
        <v>168113.01699999999</v>
      </c>
      <c r="AB10" s="170">
        <v>1.7384430100000001E-2</v>
      </c>
      <c r="AC10" s="169">
        <v>1883159.007</v>
      </c>
      <c r="AD10" s="169">
        <v>1755240.0279999999</v>
      </c>
      <c r="AE10" s="170">
        <v>7.2878339700000003E-2</v>
      </c>
      <c r="AF10" s="169">
        <v>1883159.007</v>
      </c>
      <c r="AG10" s="170">
        <v>7.2878339700000003E-2</v>
      </c>
    </row>
    <row r="11" spans="1:33">
      <c r="A11" s="133" t="s">
        <v>9</v>
      </c>
      <c r="B11" s="169">
        <v>10.246</v>
      </c>
      <c r="C11" s="169">
        <v>5.4649999999999999</v>
      </c>
      <c r="D11" s="170">
        <v>0.87483989019999997</v>
      </c>
      <c r="E11" s="169">
        <v>253.239</v>
      </c>
      <c r="F11" s="169">
        <v>478.53100000000001</v>
      </c>
      <c r="G11" s="170">
        <v>-0.47079917500000001</v>
      </c>
      <c r="H11" s="169">
        <v>253.239</v>
      </c>
      <c r="I11" s="170">
        <v>-0.47079917500000001</v>
      </c>
      <c r="J11" s="169">
        <v>1.9410000000000001</v>
      </c>
      <c r="K11" s="169">
        <v>0.41</v>
      </c>
      <c r="L11" s="170">
        <v>3.7341463414999998</v>
      </c>
      <c r="M11" s="169">
        <v>44.136000000000003</v>
      </c>
      <c r="N11" s="169">
        <v>99.891999999999996</v>
      </c>
      <c r="O11" s="170">
        <v>-0.55816281580000005</v>
      </c>
      <c r="P11" s="169">
        <v>44.136000000000003</v>
      </c>
      <c r="Q11" s="170">
        <v>-0.55816281580000005</v>
      </c>
      <c r="R11" s="169">
        <v>22604.487000000001</v>
      </c>
      <c r="S11" s="169">
        <v>26769.899000000001</v>
      </c>
      <c r="T11" s="170">
        <v>-0.15560058709999999</v>
      </c>
      <c r="U11" s="169">
        <v>498173.924</v>
      </c>
      <c r="V11" s="169">
        <v>395907.97700000001</v>
      </c>
      <c r="W11" s="170">
        <v>0.25830736669999999</v>
      </c>
      <c r="X11" s="169">
        <v>498173.924</v>
      </c>
      <c r="Y11" s="170">
        <v>0.25830736669999999</v>
      </c>
      <c r="Z11" s="169">
        <v>26447.643</v>
      </c>
      <c r="AA11" s="169">
        <v>22080.761999999999</v>
      </c>
      <c r="AB11" s="170">
        <v>0.1977685824</v>
      </c>
      <c r="AC11" s="169">
        <v>255972.228</v>
      </c>
      <c r="AD11" s="169">
        <v>260990.87400000001</v>
      </c>
      <c r="AE11" s="170">
        <v>-1.9229201099999999E-2</v>
      </c>
      <c r="AF11" s="169">
        <v>255972.228</v>
      </c>
      <c r="AG11" s="170">
        <v>-1.9229201099999999E-2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96450.06</v>
      </c>
      <c r="AA12" s="169">
        <v>122696.655</v>
      </c>
      <c r="AB12" s="170">
        <v>-0.21391451140000001</v>
      </c>
      <c r="AC12" s="169">
        <v>1217649.996</v>
      </c>
      <c r="AD12" s="169">
        <v>1207233.064</v>
      </c>
      <c r="AE12" s="170">
        <v>8.6287663000000001E-3</v>
      </c>
      <c r="AF12" s="169">
        <v>1217649.996</v>
      </c>
      <c r="AG12" s="170">
        <v>8.6287663000000001E-3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233914.94</v>
      </c>
      <c r="S13" s="169">
        <v>251184.96100000001</v>
      </c>
      <c r="T13" s="170">
        <v>-6.8754199799999999E-2</v>
      </c>
      <c r="U13" s="169">
        <v>3071231.625</v>
      </c>
      <c r="V13" s="169">
        <v>3985680.35</v>
      </c>
      <c r="W13" s="170">
        <v>-0.22943353320000001</v>
      </c>
      <c r="X13" s="169">
        <v>3071231.625</v>
      </c>
      <c r="Y13" s="170">
        <v>-0.22943353320000001</v>
      </c>
      <c r="Z13" s="169">
        <v>343705.41600000003</v>
      </c>
      <c r="AA13" s="169">
        <v>347661.88299999997</v>
      </c>
      <c r="AB13" s="170">
        <v>-1.13802151E-2</v>
      </c>
      <c r="AC13" s="169">
        <v>3696717.6510000001</v>
      </c>
      <c r="AD13" s="169">
        <v>3590010.5269999998</v>
      </c>
      <c r="AE13" s="170">
        <v>2.9723345700000001E-2</v>
      </c>
      <c r="AF13" s="169">
        <v>3696717.6510000001</v>
      </c>
      <c r="AG13" s="170">
        <v>2.9723345700000001E-2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12117.501</v>
      </c>
      <c r="W14" s="170">
        <v>-1</v>
      </c>
      <c r="X14" s="169">
        <v>0</v>
      </c>
      <c r="Y14" s="170">
        <v>-1</v>
      </c>
      <c r="Z14" s="169">
        <v>0</v>
      </c>
      <c r="AA14" s="169">
        <v>-13.625</v>
      </c>
      <c r="AB14" s="170">
        <v>-1</v>
      </c>
      <c r="AC14" s="169">
        <v>-65.988</v>
      </c>
      <c r="AD14" s="169">
        <v>-65.671999999999997</v>
      </c>
      <c r="AE14" s="170">
        <v>4.8117919E-3</v>
      </c>
      <c r="AF14" s="169">
        <v>-65.988</v>
      </c>
      <c r="AG14" s="170">
        <v>4.8117919E-3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669.13</v>
      </c>
      <c r="AA15" s="169">
        <v>367.10399999999998</v>
      </c>
      <c r="AB15" s="170">
        <v>0.82272598500000005</v>
      </c>
      <c r="AC15" s="169">
        <v>17476.772000000001</v>
      </c>
      <c r="AD15" s="169">
        <v>22880.844000000001</v>
      </c>
      <c r="AE15" s="170">
        <v>-0.23618324569999999</v>
      </c>
      <c r="AF15" s="169">
        <v>17476.772000000001</v>
      </c>
      <c r="AG15" s="170">
        <v>-0.23618324569999999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100.989</v>
      </c>
      <c r="T16" s="170">
        <v>-1</v>
      </c>
      <c r="U16" s="169">
        <v>1268.07</v>
      </c>
      <c r="V16" s="169">
        <v>1449.37</v>
      </c>
      <c r="W16" s="170">
        <v>-0.12508883170000001</v>
      </c>
      <c r="X16" s="169">
        <v>1268.07</v>
      </c>
      <c r="Y16" s="170">
        <v>-0.12508883170000001</v>
      </c>
      <c r="Z16" s="169">
        <v>70816.05</v>
      </c>
      <c r="AA16" s="169">
        <v>37913.118000000002</v>
      </c>
      <c r="AB16" s="170">
        <v>0.86785085839999998</v>
      </c>
      <c r="AC16" s="169">
        <v>1324730.3219999999</v>
      </c>
      <c r="AD16" s="169">
        <v>1373226.2720000001</v>
      </c>
      <c r="AE16" s="170">
        <v>-3.5315338000000002E-2</v>
      </c>
      <c r="AF16" s="169">
        <v>1324730.3219999999</v>
      </c>
      <c r="AG16" s="170">
        <v>-3.5315338000000002E-2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3.5329999999999999</v>
      </c>
      <c r="K17" s="169">
        <v>3.17</v>
      </c>
      <c r="L17" s="170">
        <v>0.11451104099999999</v>
      </c>
      <c r="M17" s="169">
        <v>76.527000000000001</v>
      </c>
      <c r="N17" s="169">
        <v>72.218000000000004</v>
      </c>
      <c r="O17" s="170">
        <v>5.9666565099999999E-2</v>
      </c>
      <c r="P17" s="169">
        <v>76.527000000000001</v>
      </c>
      <c r="Q17" s="170">
        <v>5.9666565099999999E-2</v>
      </c>
      <c r="R17" s="169">
        <v>21722.789000000001</v>
      </c>
      <c r="S17" s="169">
        <v>15536.157999999999</v>
      </c>
      <c r="T17" s="170">
        <v>0.39820855319999998</v>
      </c>
      <c r="U17" s="169">
        <v>383885.00799999997</v>
      </c>
      <c r="V17" s="169">
        <v>269474.946</v>
      </c>
      <c r="W17" s="170">
        <v>0.42456660149999997</v>
      </c>
      <c r="X17" s="169">
        <v>383885.00799999997</v>
      </c>
      <c r="Y17" s="170">
        <v>0.42456660149999997</v>
      </c>
      <c r="Z17" s="169">
        <v>23549.02</v>
      </c>
      <c r="AA17" s="169">
        <v>19060.797999999999</v>
      </c>
      <c r="AB17" s="170">
        <v>0.23546873539999999</v>
      </c>
      <c r="AC17" s="169">
        <v>344240.84399999998</v>
      </c>
      <c r="AD17" s="169">
        <v>314509.00699999998</v>
      </c>
      <c r="AE17" s="170">
        <v>9.4534135199999994E-2</v>
      </c>
      <c r="AF17" s="169">
        <v>344240.84399999998</v>
      </c>
      <c r="AG17" s="170">
        <v>9.4534135199999994E-2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105.384</v>
      </c>
      <c r="S18" s="169">
        <v>77.099000000000004</v>
      </c>
      <c r="T18" s="170">
        <v>0.3668659775</v>
      </c>
      <c r="U18" s="169">
        <v>903.74599999999998</v>
      </c>
      <c r="V18" s="169">
        <v>1782.598</v>
      </c>
      <c r="W18" s="170">
        <v>-0.4930174947</v>
      </c>
      <c r="X18" s="169">
        <v>903.74599999999998</v>
      </c>
      <c r="Y18" s="170">
        <v>-0.4930174947</v>
      </c>
      <c r="Z18" s="169">
        <v>445.37900000000002</v>
      </c>
      <c r="AA18" s="169">
        <v>784.53200000000004</v>
      </c>
      <c r="AB18" s="170">
        <v>-0.43229976599999997</v>
      </c>
      <c r="AC18" s="169">
        <v>6967.5290000000005</v>
      </c>
      <c r="AD18" s="169">
        <v>8921.36</v>
      </c>
      <c r="AE18" s="170">
        <v>-0.2190059587</v>
      </c>
      <c r="AF18" s="169">
        <v>6967.5290000000005</v>
      </c>
      <c r="AG18" s="170">
        <v>-0.2190059587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3843.1729999999998</v>
      </c>
      <c r="S19" s="169">
        <v>2940.6370000000002</v>
      </c>
      <c r="T19" s="170">
        <v>0.30691853499999999</v>
      </c>
      <c r="U19" s="169">
        <v>39669.125</v>
      </c>
      <c r="V19" s="169">
        <v>26364.547999999999</v>
      </c>
      <c r="W19" s="170">
        <v>0.50463891890000001</v>
      </c>
      <c r="X19" s="169">
        <v>39669.125</v>
      </c>
      <c r="Y19" s="170">
        <v>0.50463891890000001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650.44650000000001</v>
      </c>
      <c r="K20" s="169">
        <v>489.71350000000001</v>
      </c>
      <c r="L20" s="170">
        <v>0.32821843789999999</v>
      </c>
      <c r="M20" s="169">
        <v>5413.7749999999996</v>
      </c>
      <c r="N20" s="169">
        <v>5847.3275000000003</v>
      </c>
      <c r="O20" s="170">
        <v>-7.41454109E-2</v>
      </c>
      <c r="P20" s="169">
        <v>5413.7749999999996</v>
      </c>
      <c r="Q20" s="170">
        <v>-7.41454109E-2</v>
      </c>
      <c r="R20" s="169">
        <v>8991.8354999999992</v>
      </c>
      <c r="S20" s="169">
        <v>10413.6255</v>
      </c>
      <c r="T20" s="170">
        <v>-0.13653170070000001</v>
      </c>
      <c r="U20" s="169">
        <v>133134.49400000001</v>
      </c>
      <c r="V20" s="169">
        <v>133061.28200000001</v>
      </c>
      <c r="W20" s="170">
        <v>5.502126E-4</v>
      </c>
      <c r="X20" s="169">
        <v>133134.49400000001</v>
      </c>
      <c r="Y20" s="170">
        <v>5.502126E-4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650.44650000000001</v>
      </c>
      <c r="K21" s="169">
        <v>489.71350000000001</v>
      </c>
      <c r="L21" s="170">
        <v>0.32821843789999999</v>
      </c>
      <c r="M21" s="169">
        <v>5413.7749999999996</v>
      </c>
      <c r="N21" s="169">
        <v>5847.3275000000003</v>
      </c>
      <c r="O21" s="170">
        <v>-7.41454109E-2</v>
      </c>
      <c r="P21" s="169">
        <v>5413.7749999999996</v>
      </c>
      <c r="Q21" s="170">
        <v>-7.41454109E-2</v>
      </c>
      <c r="R21" s="169">
        <v>8991.8354999999992</v>
      </c>
      <c r="S21" s="169">
        <v>10413.6255</v>
      </c>
      <c r="T21" s="170">
        <v>-0.13653170070000001</v>
      </c>
      <c r="U21" s="169">
        <v>133134.49400000001</v>
      </c>
      <c r="V21" s="169">
        <v>133061.28200000001</v>
      </c>
      <c r="W21" s="170">
        <v>5.502126E-4</v>
      </c>
      <c r="X21" s="169">
        <v>133134.49400000001</v>
      </c>
      <c r="Y21" s="170">
        <v>5.502126E-4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15575.119000000001</v>
      </c>
      <c r="C22" s="171">
        <v>15734.913</v>
      </c>
      <c r="D22" s="172">
        <v>-1.01553787E-2</v>
      </c>
      <c r="E22" s="171">
        <v>186529.13200000001</v>
      </c>
      <c r="F22" s="171">
        <v>195399.296</v>
      </c>
      <c r="G22" s="172">
        <v>-4.5395066300000002E-2</v>
      </c>
      <c r="H22" s="171">
        <v>186529.13200000001</v>
      </c>
      <c r="I22" s="172">
        <v>-4.5395066300000002E-2</v>
      </c>
      <c r="J22" s="171">
        <v>16071.716</v>
      </c>
      <c r="K22" s="171">
        <v>15185.371999999999</v>
      </c>
      <c r="L22" s="172">
        <v>5.8368277000000003E-2</v>
      </c>
      <c r="M22" s="171">
        <v>202034.435</v>
      </c>
      <c r="N22" s="171">
        <v>196440.02299999999</v>
      </c>
      <c r="O22" s="172">
        <v>2.8478982600000001E-2</v>
      </c>
      <c r="P22" s="171">
        <v>202034.435</v>
      </c>
      <c r="Q22" s="172">
        <v>2.8478982600000001E-2</v>
      </c>
      <c r="R22" s="171">
        <v>305137.24</v>
      </c>
      <c r="S22" s="171">
        <v>319020.64199999999</v>
      </c>
      <c r="T22" s="172">
        <v>-4.3518820299999997E-2</v>
      </c>
      <c r="U22" s="171">
        <v>4572696.6140000001</v>
      </c>
      <c r="V22" s="171">
        <v>5438967.8640000001</v>
      </c>
      <c r="W22" s="172">
        <v>-0.1592712573</v>
      </c>
      <c r="X22" s="171">
        <v>4572696.6140000001</v>
      </c>
      <c r="Y22" s="172">
        <v>-0.1592712573</v>
      </c>
      <c r="Z22" s="171">
        <v>733423.875</v>
      </c>
      <c r="AA22" s="171">
        <v>718952.81200000003</v>
      </c>
      <c r="AB22" s="172">
        <v>2.0127973300000001E-2</v>
      </c>
      <c r="AC22" s="171">
        <v>8750287.6530000009</v>
      </c>
      <c r="AD22" s="171">
        <v>8536377.7990000006</v>
      </c>
      <c r="AE22" s="172">
        <v>2.50586208E-2</v>
      </c>
      <c r="AF22" s="171">
        <v>8750287.6530000009</v>
      </c>
      <c r="AG22" s="172">
        <v>2.50586208E-2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112440.268</v>
      </c>
      <c r="S23" s="169">
        <v>79778.822</v>
      </c>
      <c r="T23" s="170">
        <v>0.40939995330000001</v>
      </c>
      <c r="U23" s="169">
        <v>1426092.0279999999</v>
      </c>
      <c r="V23" s="169">
        <v>602733.70400000003</v>
      </c>
      <c r="W23" s="170">
        <v>1.3660399585</v>
      </c>
      <c r="X23" s="169">
        <v>1426092.0279999999</v>
      </c>
      <c r="Y23" s="170">
        <v>1.3660399585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15575.119000000001</v>
      </c>
      <c r="C24" s="171">
        <v>15734.913</v>
      </c>
      <c r="D24" s="172">
        <v>-1.01553787E-2</v>
      </c>
      <c r="E24" s="171">
        <v>186529.13200000001</v>
      </c>
      <c r="F24" s="171">
        <v>195399.296</v>
      </c>
      <c r="G24" s="172">
        <v>-4.5395066300000002E-2</v>
      </c>
      <c r="H24" s="171">
        <v>186529.13200000001</v>
      </c>
      <c r="I24" s="172">
        <v>-4.5395066300000002E-2</v>
      </c>
      <c r="J24" s="171">
        <v>16071.716</v>
      </c>
      <c r="K24" s="171">
        <v>15185.371999999999</v>
      </c>
      <c r="L24" s="172">
        <v>5.8368277000000003E-2</v>
      </c>
      <c r="M24" s="171">
        <v>202034.435</v>
      </c>
      <c r="N24" s="171">
        <v>196440.02299999999</v>
      </c>
      <c r="O24" s="172">
        <v>2.8478982600000001E-2</v>
      </c>
      <c r="P24" s="171">
        <v>202034.435</v>
      </c>
      <c r="Q24" s="172">
        <v>2.8478982600000001E-2</v>
      </c>
      <c r="R24" s="171">
        <v>417577.50799999997</v>
      </c>
      <c r="S24" s="171">
        <v>398799.46399999998</v>
      </c>
      <c r="T24" s="172">
        <v>4.7086432400000003E-2</v>
      </c>
      <c r="U24" s="171">
        <v>5998788.642</v>
      </c>
      <c r="V24" s="171">
        <v>6041701.568</v>
      </c>
      <c r="W24" s="172">
        <v>-7.1027881000000001E-3</v>
      </c>
      <c r="X24" s="171">
        <v>5998788.642</v>
      </c>
      <c r="Y24" s="172">
        <v>-7.1027881000000001E-3</v>
      </c>
      <c r="Z24" s="171">
        <v>733423.875</v>
      </c>
      <c r="AA24" s="171">
        <v>718952.81200000003</v>
      </c>
      <c r="AB24" s="172">
        <v>2.0127973300000001E-2</v>
      </c>
      <c r="AC24" s="171">
        <v>8750287.6530000009</v>
      </c>
      <c r="AD24" s="171">
        <v>8536377.7990000006</v>
      </c>
      <c r="AE24" s="172">
        <v>2.50586208E-2</v>
      </c>
      <c r="AF24" s="171">
        <v>8750287.6530000009</v>
      </c>
      <c r="AG24" s="172">
        <v>2.50586208E-2</v>
      </c>
    </row>
    <row r="25" spans="1:33">
      <c r="R25" s="162">
        <f>SUM(R10,R14)</f>
        <v>5658.6610000000001</v>
      </c>
      <c r="S25" s="162">
        <f>SUM(S10,S14)</f>
        <v>2210.44</v>
      </c>
      <c r="T25" s="163">
        <f>((R25/S25)-1)*100</f>
        <v>155.99704131304173</v>
      </c>
    </row>
    <row r="26" spans="1:33">
      <c r="A26" s="102" t="s">
        <v>103</v>
      </c>
      <c r="B26" s="162">
        <f>SUM(B24,J24,R24,Z24)</f>
        <v>1182648.2179999999</v>
      </c>
      <c r="C26" s="162">
        <f>SUM(C24,K24,S24,AA24)</f>
        <v>1148672.561</v>
      </c>
      <c r="D26" s="163">
        <f>((B26/C26)-1)*100</f>
        <v>2.9578191517364738</v>
      </c>
      <c r="R26" s="179">
        <f>R23/R24</f>
        <v>0.26926801814239476</v>
      </c>
      <c r="S26" s="179">
        <f>S23/S24</f>
        <v>0.20004746545998367</v>
      </c>
      <c r="Z26" s="163"/>
    </row>
    <row r="29" spans="1:33" ht="15">
      <c r="A29" s="134" t="s">
        <v>67</v>
      </c>
      <c r="B29" s="199" t="str">
        <f>A2</f>
        <v>Diciembre 2023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644.70000000000005</v>
      </c>
      <c r="D41" s="167"/>
    </row>
    <row r="42" spans="1:4">
      <c r="A42" s="133" t="s">
        <v>4</v>
      </c>
      <c r="B42" s="176">
        <v>320.88239499999997</v>
      </c>
      <c r="C42" s="176">
        <v>234.399945</v>
      </c>
      <c r="D42" s="167"/>
    </row>
    <row r="43" spans="1:4">
      <c r="A43" s="133" t="s">
        <v>22</v>
      </c>
      <c r="B43" s="176">
        <v>2.13</v>
      </c>
      <c r="C43" s="176">
        <v>4.6959999999999997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2219.5028950000005</v>
      </c>
      <c r="C47" s="177">
        <f>SUM(C33:C46)</f>
        <v>3291.2659450000001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10.867298283023866</v>
      </c>
      <c r="D52" s="165"/>
      <c r="F52" s="105" t="s">
        <v>10</v>
      </c>
      <c r="G52" s="106">
        <f>C35</f>
        <v>487.64</v>
      </c>
      <c r="H52" s="107">
        <f>G52/$G$62*100</f>
        <v>14.816183442751235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6.280685657767525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15.822179328629124</v>
      </c>
    </row>
    <row r="54" spans="1:8">
      <c r="A54" s="105" t="s">
        <v>9</v>
      </c>
      <c r="B54" s="106">
        <f t="shared" si="1"/>
        <v>603.1</v>
      </c>
      <c r="C54" s="107">
        <f t="shared" si="0"/>
        <v>27.172751220944001</v>
      </c>
      <c r="D54" s="165"/>
      <c r="F54" s="105" t="s">
        <v>8</v>
      </c>
      <c r="G54" s="106">
        <f>C37</f>
        <v>482.64</v>
      </c>
      <c r="H54" s="107">
        <f t="shared" si="2"/>
        <v>14.664266214439866</v>
      </c>
    </row>
    <row r="55" spans="1:8">
      <c r="A55" s="105" t="s">
        <v>25</v>
      </c>
      <c r="B55" s="106">
        <f>B38</f>
        <v>822.9</v>
      </c>
      <c r="C55" s="107">
        <f t="shared" si="0"/>
        <v>37.075869639719485</v>
      </c>
      <c r="D55" s="165"/>
      <c r="F55" s="105" t="s">
        <v>25</v>
      </c>
      <c r="G55" s="106">
        <f>C38</f>
        <v>865.4</v>
      </c>
      <c r="H55" s="107">
        <f t="shared" si="2"/>
        <v>26.293833876131817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1.1606476242988624</v>
      </c>
    </row>
    <row r="57" spans="1:8">
      <c r="A57" s="105" t="s">
        <v>23</v>
      </c>
      <c r="B57" s="106">
        <f>B44</f>
        <v>11.523</v>
      </c>
      <c r="C57" s="107">
        <f t="shared" si="0"/>
        <v>0.51917030727729685</v>
      </c>
      <c r="D57" s="165"/>
      <c r="F57" s="105" t="s">
        <v>12</v>
      </c>
      <c r="G57" s="107">
        <f>C33</f>
        <v>1.52</v>
      </c>
      <c r="H57" s="107">
        <f t="shared" si="2"/>
        <v>4.6182837406656303E-2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1.6850620057425065</v>
      </c>
      <c r="D58" s="165"/>
      <c r="F58" s="105" t="s">
        <v>6</v>
      </c>
      <c r="G58" s="106">
        <f>C40</f>
        <v>11.32</v>
      </c>
      <c r="H58" s="107">
        <f t="shared" si="2"/>
        <v>0.34394060489694034</v>
      </c>
    </row>
    <row r="59" spans="1:8">
      <c r="A59" s="105" t="s">
        <v>54</v>
      </c>
      <c r="B59" s="106">
        <f>B45</f>
        <v>37.4</v>
      </c>
      <c r="C59" s="107">
        <f t="shared" si="3"/>
        <v>1.6850620057425065</v>
      </c>
      <c r="D59" s="165"/>
      <c r="F59" s="105" t="s">
        <v>5</v>
      </c>
      <c r="G59" s="106">
        <f>C41</f>
        <v>644.70000000000005</v>
      </c>
      <c r="H59" s="107">
        <f t="shared" si="2"/>
        <v>19.588207418467974</v>
      </c>
    </row>
    <row r="60" spans="1:8">
      <c r="A60" s="105" t="s">
        <v>5</v>
      </c>
      <c r="B60" s="106">
        <f>B41</f>
        <v>3.5674999999999999</v>
      </c>
      <c r="C60" s="107">
        <f t="shared" si="3"/>
        <v>0.16073418998626715</v>
      </c>
      <c r="D60" s="165"/>
      <c r="F60" s="105" t="s">
        <v>4</v>
      </c>
      <c r="G60" s="106">
        <f>C42</f>
        <v>234.399945</v>
      </c>
      <c r="H60" s="107">
        <f t="shared" si="2"/>
        <v>7.1218779921474864</v>
      </c>
    </row>
    <row r="61" spans="1:8">
      <c r="A61" s="105" t="s">
        <v>4</v>
      </c>
      <c r="B61" s="106">
        <f>B42</f>
        <v>320.88239499999997</v>
      </c>
      <c r="C61" s="107">
        <f t="shared" si="3"/>
        <v>14.45739925471014</v>
      </c>
      <c r="D61" s="165"/>
      <c r="F61" s="105" t="s">
        <v>22</v>
      </c>
      <c r="G61" s="106">
        <f>C43</f>
        <v>4.6959999999999997</v>
      </c>
      <c r="H61" s="107">
        <f t="shared" si="2"/>
        <v>0.14268066083003814</v>
      </c>
    </row>
    <row r="62" spans="1:8">
      <c r="A62" s="105" t="s">
        <v>22</v>
      </c>
      <c r="B62" s="106">
        <f>B43</f>
        <v>2.13</v>
      </c>
      <c r="C62" s="107">
        <f t="shared" si="3"/>
        <v>9.5967435086404776E-2</v>
      </c>
      <c r="D62" s="165"/>
      <c r="F62" s="108" t="s">
        <v>20</v>
      </c>
      <c r="G62" s="109">
        <f>SUM(G52:G61)</f>
        <v>3291.2659450000001</v>
      </c>
      <c r="H62" s="110">
        <f>SUM(H52:H61)</f>
        <v>100</v>
      </c>
    </row>
    <row r="63" spans="1:8">
      <c r="A63" s="108" t="s">
        <v>20</v>
      </c>
      <c r="B63" s="109">
        <f>SUM(B52:B62)</f>
        <v>2219.5028950000001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3">
        <f>(C68/SUM($C$68:$C$78))*100</f>
        <v>0</v>
      </c>
      <c r="F68" s="105" t="s">
        <v>10</v>
      </c>
      <c r="G68" s="107">
        <f>SUM(Z10,Z14)/Z$24*100</f>
        <v>23.320152483446218</v>
      </c>
    </row>
    <row r="69" spans="1:7">
      <c r="A69" s="105" t="s">
        <v>10</v>
      </c>
      <c r="B69" s="107">
        <f t="shared" ref="B69:B78" si="4">C69/$C$80*100</f>
        <v>1.3528618758144091</v>
      </c>
      <c r="C69" s="106">
        <f>R10</f>
        <v>5658.6610000000001</v>
      </c>
      <c r="D69" s="183">
        <f t="shared" ref="D69:D78" si="5">(C69/SUM($C$68:$C$78))*100</f>
        <v>1.8502447601282408</v>
      </c>
      <c r="F69" s="105" t="s">
        <v>9</v>
      </c>
      <c r="G69" s="107">
        <f>Z11/Z$24*100</f>
        <v>3.6060515482946336</v>
      </c>
    </row>
    <row r="70" spans="1:7">
      <c r="A70" s="105" t="s">
        <v>9</v>
      </c>
      <c r="B70" s="107">
        <f t="shared" si="4"/>
        <v>5.4042376252336783</v>
      </c>
      <c r="C70" s="106">
        <f>R11</f>
        <v>22604.487000000001</v>
      </c>
      <c r="D70" s="183">
        <f t="shared" si="5"/>
        <v>7.391118433696052</v>
      </c>
      <c r="F70" s="105" t="s">
        <v>8</v>
      </c>
      <c r="G70" s="107">
        <f>Z12/Z$24*100</f>
        <v>13.150657251238243</v>
      </c>
    </row>
    <row r="71" spans="1:7">
      <c r="A71" s="105" t="s">
        <v>25</v>
      </c>
      <c r="B71" s="107">
        <f t="shared" si="4"/>
        <v>55.923937572760586</v>
      </c>
      <c r="C71" s="106">
        <f>R13</f>
        <v>233914.94</v>
      </c>
      <c r="D71" s="183">
        <f>(C71/SUM($C$68:$C$78))*100</f>
        <v>76.484506149195326</v>
      </c>
      <c r="F71" s="105" t="s">
        <v>25</v>
      </c>
      <c r="G71" s="107">
        <f>Z13/Z$24*100</f>
        <v>46.863134364149253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4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0.91881846851389237</v>
      </c>
      <c r="C73" s="106">
        <f>R19</f>
        <v>3843.1729999999998</v>
      </c>
      <c r="D73" s="183">
        <f t="shared" si="5"/>
        <v>1.2566242624388226</v>
      </c>
      <c r="F73" s="105" t="s">
        <v>12</v>
      </c>
      <c r="G73" s="107">
        <f>Z8/Z$24*100</f>
        <v>4.1669082561567823E-2</v>
      </c>
    </row>
    <row r="74" spans="1:7">
      <c r="A74" s="105" t="s">
        <v>55</v>
      </c>
      <c r="B74" s="107">
        <f t="shared" si="4"/>
        <v>2.1497508759659918</v>
      </c>
      <c r="C74" s="106">
        <f>R21</f>
        <v>8991.8354999999992</v>
      </c>
      <c r="D74" s="183">
        <f t="shared" si="5"/>
        <v>2.9401118953423957</v>
      </c>
      <c r="F74" s="105" t="s">
        <v>6</v>
      </c>
      <c r="G74" s="107">
        <f>Z15/Z$24*100</f>
        <v>9.1233735743876623E-2</v>
      </c>
    </row>
    <row r="75" spans="1:7">
      <c r="A75" s="105" t="s">
        <v>54</v>
      </c>
      <c r="B75" s="107">
        <f t="shared" si="4"/>
        <v>2.1497508759659918</v>
      </c>
      <c r="C75" s="106">
        <f>R20</f>
        <v>8991.8354999999992</v>
      </c>
      <c r="D75" s="183">
        <f t="shared" si="5"/>
        <v>2.9401118953423957</v>
      </c>
      <c r="F75" s="105" t="s">
        <v>5</v>
      </c>
      <c r="G75" s="107">
        <f>Z16/Z$24*100</f>
        <v>9.6555419606431556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3">
        <f t="shared" si="5"/>
        <v>0</v>
      </c>
      <c r="F76" s="105" t="s">
        <v>4</v>
      </c>
      <c r="G76" s="107">
        <f>Z17/Z$24*100</f>
        <v>3.2108335715141538</v>
      </c>
    </row>
    <row r="77" spans="1:7">
      <c r="A77" s="105" t="s">
        <v>4</v>
      </c>
      <c r="B77" s="107">
        <f t="shared" si="4"/>
        <v>5.193442949570688</v>
      </c>
      <c r="C77" s="106">
        <f>R17</f>
        <v>21722.789000000001</v>
      </c>
      <c r="D77" s="183">
        <f t="shared" si="5"/>
        <v>7.1028245944793982</v>
      </c>
      <c r="F77" s="105" t="s">
        <v>22</v>
      </c>
      <c r="G77" s="107">
        <f>Z18/Z$24*100</f>
        <v>6.0726002408907132E-2</v>
      </c>
    </row>
    <row r="78" spans="1:7">
      <c r="A78" s="105" t="s">
        <v>22</v>
      </c>
      <c r="B78" s="107">
        <f t="shared" si="4"/>
        <v>2.5195005659612E-2</v>
      </c>
      <c r="C78" s="106">
        <f>R18</f>
        <v>105.384</v>
      </c>
      <c r="D78" s="183">
        <f t="shared" si="5"/>
        <v>3.4458009377369404E-2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26.882004750515165</v>
      </c>
      <c r="C79" s="106">
        <f>R23</f>
        <v>112440.268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418273.37299999996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</row>
    <row r="86" spans="1:26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122</v>
      </c>
      <c r="T86" s="180" t="s">
        <v>123</v>
      </c>
      <c r="U86" s="180" t="s">
        <v>124</v>
      </c>
      <c r="V86" s="180" t="s">
        <v>125</v>
      </c>
      <c r="W86" s="180" t="s">
        <v>126</v>
      </c>
      <c r="X86" s="180" t="s">
        <v>127</v>
      </c>
      <c r="Y86" s="180" t="s">
        <v>128</v>
      </c>
      <c r="Z86" s="180" t="s">
        <v>129</v>
      </c>
    </row>
    <row r="87" spans="1:26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>
      <c r="A88" s="210" t="s">
        <v>57</v>
      </c>
      <c r="B88" s="133" t="s">
        <v>11</v>
      </c>
      <c r="C88" s="173">
        <v>-0.627467</v>
      </c>
      <c r="D88" s="173">
        <v>-0.58012699999999995</v>
      </c>
      <c r="E88" s="173">
        <v>-0.66887300000000005</v>
      </c>
      <c r="F88" s="173">
        <v>-0.60548299999999999</v>
      </c>
      <c r="G88" s="173">
        <v>-1.0302370000000001</v>
      </c>
      <c r="H88" s="173">
        <v>29.141857000000002</v>
      </c>
      <c r="I88" s="173">
        <v>50.189168000000002</v>
      </c>
      <c r="J88" s="173">
        <v>5.2653150000000002</v>
      </c>
      <c r="K88" s="173">
        <v>-0.60380599999999995</v>
      </c>
      <c r="L88" s="173">
        <v>-0.613232</v>
      </c>
      <c r="M88" s="173">
        <v>-0.58811800000000003</v>
      </c>
      <c r="N88" s="173">
        <v>-0.62679200000000002</v>
      </c>
      <c r="O88" s="173">
        <v>-0.72771799999999998</v>
      </c>
      <c r="P88" s="173">
        <v>-0.70697299999999996</v>
      </c>
      <c r="Q88" s="173">
        <v>-0.51834000000000002</v>
      </c>
      <c r="R88" s="173">
        <v>-0.60865999999999998</v>
      </c>
      <c r="S88" s="173">
        <v>-0.83296899999999996</v>
      </c>
      <c r="T88" s="173">
        <v>3.1799559999999998</v>
      </c>
      <c r="U88" s="173">
        <v>54.925434000000003</v>
      </c>
      <c r="V88" s="173">
        <v>9.0232189999999992</v>
      </c>
      <c r="W88" s="173">
        <v>-0.82337800000000005</v>
      </c>
      <c r="X88" s="173">
        <v>-0.82724900000000001</v>
      </c>
      <c r="Y88" s="173">
        <v>-0.89542500000000003</v>
      </c>
      <c r="Z88" s="173">
        <v>-0.69586499999999996</v>
      </c>
    </row>
    <row r="89" spans="1:26">
      <c r="A89" s="211"/>
      <c r="B89" s="133" t="s">
        <v>78</v>
      </c>
      <c r="C89" s="173">
        <v>31.928664000000001</v>
      </c>
      <c r="D89" s="173">
        <v>27.287796</v>
      </c>
      <c r="E89" s="173">
        <v>26.627289999999999</v>
      </c>
      <c r="F89" s="173">
        <v>38.583128000000002</v>
      </c>
      <c r="G89" s="173">
        <v>43.134307</v>
      </c>
      <c r="H89" s="173">
        <v>52.984195999999997</v>
      </c>
      <c r="I89" s="173">
        <v>59.042844000000002</v>
      </c>
      <c r="J89" s="173">
        <v>60.455578000000003</v>
      </c>
      <c r="K89" s="173">
        <v>32.713324999999998</v>
      </c>
      <c r="L89" s="173">
        <v>17.166284999999998</v>
      </c>
      <c r="M89" s="173">
        <v>9.2819520000000004</v>
      </c>
      <c r="N89" s="173">
        <v>2.2104400000000002</v>
      </c>
      <c r="O89" s="173">
        <v>5.0179289999999996</v>
      </c>
      <c r="P89" s="173">
        <v>15.008727</v>
      </c>
      <c r="Q89" s="173">
        <v>6.2192920000000003</v>
      </c>
      <c r="R89" s="173">
        <v>7.134449</v>
      </c>
      <c r="S89" s="173">
        <v>12.70701</v>
      </c>
      <c r="T89" s="173">
        <v>20.755147999999998</v>
      </c>
      <c r="U89" s="173">
        <v>57.618448999999998</v>
      </c>
      <c r="V89" s="173">
        <v>64.924531000000002</v>
      </c>
      <c r="W89" s="173">
        <v>32.782569000000002</v>
      </c>
      <c r="X89" s="173">
        <v>16.979832999999999</v>
      </c>
      <c r="Y89" s="173">
        <v>5.9974980000000002</v>
      </c>
      <c r="Z89" s="173">
        <v>5.6586610000000004</v>
      </c>
    </row>
    <row r="90" spans="1:26">
      <c r="A90" s="211"/>
      <c r="B90" s="133" t="s">
        <v>9</v>
      </c>
      <c r="C90" s="173">
        <v>14.287952000000001</v>
      </c>
      <c r="D90" s="173">
        <v>12.016398000000001</v>
      </c>
      <c r="E90" s="173">
        <v>16.590530000000001</v>
      </c>
      <c r="F90" s="173">
        <v>16.923745</v>
      </c>
      <c r="G90" s="173">
        <v>26.908512000000002</v>
      </c>
      <c r="H90" s="173">
        <v>32.914068</v>
      </c>
      <c r="I90" s="173">
        <v>59.770274999999998</v>
      </c>
      <c r="J90" s="173">
        <v>67.572283999999996</v>
      </c>
      <c r="K90" s="173">
        <v>56.444971000000002</v>
      </c>
      <c r="L90" s="173">
        <v>42.597769999999997</v>
      </c>
      <c r="M90" s="173">
        <v>23.111573</v>
      </c>
      <c r="N90" s="173">
        <v>26.769898999999999</v>
      </c>
      <c r="O90" s="173">
        <v>49.385100000000001</v>
      </c>
      <c r="P90" s="173">
        <v>32.328426999999998</v>
      </c>
      <c r="Q90" s="173">
        <v>34.532919999999997</v>
      </c>
      <c r="R90" s="173">
        <v>29.44258</v>
      </c>
      <c r="S90" s="173">
        <v>35.218071999999999</v>
      </c>
      <c r="T90" s="173">
        <v>56.449230999999997</v>
      </c>
      <c r="U90" s="173">
        <v>67.064257999999995</v>
      </c>
      <c r="V90" s="173">
        <v>53.415241999999999</v>
      </c>
      <c r="W90" s="173">
        <v>49.271726999999998</v>
      </c>
      <c r="X90" s="173">
        <v>44.274278000000002</v>
      </c>
      <c r="Y90" s="173">
        <v>24.187601999999998</v>
      </c>
      <c r="Z90" s="173">
        <v>22.604486999999999</v>
      </c>
    </row>
    <row r="91" spans="1:26">
      <c r="A91" s="211"/>
      <c r="B91" s="133" t="s">
        <v>25</v>
      </c>
      <c r="C91" s="173">
        <v>350.086611</v>
      </c>
      <c r="D91" s="173">
        <v>298.62258500000002</v>
      </c>
      <c r="E91" s="173">
        <v>331.00133499999998</v>
      </c>
      <c r="F91" s="173">
        <v>307.42903200000001</v>
      </c>
      <c r="G91" s="173">
        <v>317.55595499999998</v>
      </c>
      <c r="H91" s="173">
        <v>367.58788099999998</v>
      </c>
      <c r="I91" s="173">
        <v>396.959791</v>
      </c>
      <c r="J91" s="173">
        <v>456.377207</v>
      </c>
      <c r="K91" s="173">
        <v>377.07382699999999</v>
      </c>
      <c r="L91" s="173">
        <v>297.32130999999998</v>
      </c>
      <c r="M91" s="173">
        <v>234.47985499999999</v>
      </c>
      <c r="N91" s="173">
        <v>251.18496099999999</v>
      </c>
      <c r="O91" s="173">
        <v>236.33414099999999</v>
      </c>
      <c r="P91" s="173">
        <v>250.50749099999999</v>
      </c>
      <c r="Q91" s="173">
        <v>233.28242</v>
      </c>
      <c r="R91" s="173">
        <v>207.738203</v>
      </c>
      <c r="S91" s="173">
        <v>231.47546199999999</v>
      </c>
      <c r="T91" s="173">
        <v>269.55010299999998</v>
      </c>
      <c r="U91" s="173">
        <v>316.35504600000002</v>
      </c>
      <c r="V91" s="173">
        <v>324.37696499999998</v>
      </c>
      <c r="W91" s="173">
        <v>296.32292799999999</v>
      </c>
      <c r="X91" s="173">
        <v>247.112684</v>
      </c>
      <c r="Y91" s="173">
        <v>224.26124200000001</v>
      </c>
      <c r="Z91" s="173">
        <v>233.91494</v>
      </c>
    </row>
    <row r="92" spans="1:26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2.6835830000000001</v>
      </c>
      <c r="J92" s="173">
        <v>4.441192</v>
      </c>
      <c r="K92" s="173">
        <v>4.0880280000000004</v>
      </c>
      <c r="L92" s="173">
        <v>0.904698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 s="173">
        <v>0</v>
      </c>
      <c r="X92" s="173">
        <v>0</v>
      </c>
      <c r="Y92" s="173">
        <v>0</v>
      </c>
      <c r="Z92" s="173">
        <v>0</v>
      </c>
    </row>
    <row r="93" spans="1:26">
      <c r="A93" s="211"/>
      <c r="B93" s="133" t="s">
        <v>5</v>
      </c>
      <c r="C93" s="173">
        <v>0.215638</v>
      </c>
      <c r="D93" s="173">
        <v>0.22824</v>
      </c>
      <c r="E93" s="173">
        <v>0.33845999999999998</v>
      </c>
      <c r="F93" s="173">
        <v>0.239788</v>
      </c>
      <c r="G93" s="173">
        <v>0.16079099999999999</v>
      </c>
      <c r="H93" s="173">
        <v>6.1459E-2</v>
      </c>
      <c r="I93" s="173">
        <v>3.0289E-2</v>
      </c>
      <c r="J93" s="173">
        <v>3.2219999999999999E-2</v>
      </c>
      <c r="K93" s="173">
        <v>1.2760000000000001E-2</v>
      </c>
      <c r="L93" s="173">
        <v>2.8530000000000001E-3</v>
      </c>
      <c r="M93" s="173">
        <v>2.5883E-2</v>
      </c>
      <c r="N93" s="173">
        <v>0.100989</v>
      </c>
      <c r="O93" s="173">
        <v>0.21573000000000001</v>
      </c>
      <c r="P93" s="173">
        <v>0.18323999999999999</v>
      </c>
      <c r="Q93" s="173">
        <v>0.20035</v>
      </c>
      <c r="R93" s="173">
        <v>0.12734500000000001</v>
      </c>
      <c r="S93" s="173">
        <v>0.24965100000000001</v>
      </c>
      <c r="T93" s="173">
        <v>5.6180000000000001E-2</v>
      </c>
      <c r="U93" s="173">
        <v>0.118565</v>
      </c>
      <c r="V93" s="173">
        <v>9.7920999999999994E-2</v>
      </c>
      <c r="W93" s="173">
        <v>0</v>
      </c>
      <c r="X93" s="173">
        <v>1.0359999999999999E-2</v>
      </c>
      <c r="Y93" s="173">
        <v>8.7279999999999996E-3</v>
      </c>
      <c r="Z93" s="173">
        <v>0</v>
      </c>
    </row>
    <row r="94" spans="1:26">
      <c r="A94" s="211"/>
      <c r="B94" s="133" t="s">
        <v>4</v>
      </c>
      <c r="C94" s="173">
        <v>14.437344</v>
      </c>
      <c r="D94" s="173">
        <v>17.860306999999999</v>
      </c>
      <c r="E94" s="173">
        <v>13.720819000000001</v>
      </c>
      <c r="F94" s="173">
        <v>22.448584</v>
      </c>
      <c r="G94" s="173">
        <v>27.351011</v>
      </c>
      <c r="H94" s="173">
        <v>29.26784</v>
      </c>
      <c r="I94" s="173">
        <v>33.069572000000001</v>
      </c>
      <c r="J94" s="173">
        <v>29.681864999999998</v>
      </c>
      <c r="K94" s="173">
        <v>25.09779</v>
      </c>
      <c r="L94" s="173">
        <v>23.675007999999998</v>
      </c>
      <c r="M94" s="173">
        <v>17.328648000000001</v>
      </c>
      <c r="N94" s="173">
        <v>15.536158</v>
      </c>
      <c r="O94" s="173">
        <v>18.539918</v>
      </c>
      <c r="P94" s="173">
        <v>22.493357</v>
      </c>
      <c r="Q94" s="173">
        <v>35.774521</v>
      </c>
      <c r="R94" s="173">
        <v>38.851148000000002</v>
      </c>
      <c r="S94" s="173">
        <v>34.004562</v>
      </c>
      <c r="T94" s="173">
        <v>36.423403999999998</v>
      </c>
      <c r="U94" s="173">
        <v>41.343387999999997</v>
      </c>
      <c r="V94" s="173">
        <v>44.372684</v>
      </c>
      <c r="W94" s="173">
        <v>34.510787000000001</v>
      </c>
      <c r="X94" s="173">
        <v>32.549160999999998</v>
      </c>
      <c r="Y94" s="173">
        <v>23.299289000000002</v>
      </c>
      <c r="Z94" s="173">
        <v>21.722788999999999</v>
      </c>
    </row>
    <row r="95" spans="1:26">
      <c r="A95" s="211"/>
      <c r="B95" s="133" t="s">
        <v>22</v>
      </c>
      <c r="C95" s="173">
        <v>0.285244</v>
      </c>
      <c r="D95" s="173">
        <v>0.28095199999999998</v>
      </c>
      <c r="E95" s="173">
        <v>0.29118100000000002</v>
      </c>
      <c r="F95" s="173">
        <v>0.16531499999999999</v>
      </c>
      <c r="G95" s="173">
        <v>0.166327</v>
      </c>
      <c r="H95" s="173">
        <v>0.111179</v>
      </c>
      <c r="I95" s="173">
        <v>9.5128000000000004E-2</v>
      </c>
      <c r="J95" s="173">
        <v>5.6752999999999998E-2</v>
      </c>
      <c r="K95" s="173">
        <v>7.1924000000000002E-2</v>
      </c>
      <c r="L95" s="173">
        <v>9.6991999999999995E-2</v>
      </c>
      <c r="M95" s="173">
        <v>8.4503999999999996E-2</v>
      </c>
      <c r="N95" s="173">
        <v>7.7099000000000001E-2</v>
      </c>
      <c r="O95" s="173">
        <v>9.3608999999999998E-2</v>
      </c>
      <c r="P95" s="173">
        <v>0.13599800000000001</v>
      </c>
      <c r="Q95" s="173">
        <v>0.11230800000000001</v>
      </c>
      <c r="R95" s="173">
        <v>7.399E-2</v>
      </c>
      <c r="S95" s="173">
        <v>9.0162999999999993E-2</v>
      </c>
      <c r="T95" s="173">
        <v>8.4139000000000005E-2</v>
      </c>
      <c r="U95" s="173">
        <v>3.7238E-2</v>
      </c>
      <c r="V95" s="173">
        <v>2.6629E-2</v>
      </c>
      <c r="W95" s="173">
        <v>3.1858999999999998E-2</v>
      </c>
      <c r="X95" s="173">
        <v>3.9587999999999998E-2</v>
      </c>
      <c r="Y95" s="173">
        <v>7.2841000000000003E-2</v>
      </c>
      <c r="Z95" s="173">
        <v>0.10538400000000001</v>
      </c>
    </row>
    <row r="96" spans="1:26">
      <c r="A96" s="211"/>
      <c r="B96" s="133" t="s">
        <v>23</v>
      </c>
      <c r="C96" s="173">
        <v>3.4010050000000001</v>
      </c>
      <c r="D96" s="173">
        <v>3.0684070000000001</v>
      </c>
      <c r="E96" s="173">
        <v>3.993204</v>
      </c>
      <c r="F96" s="173">
        <v>1.8386769999999999</v>
      </c>
      <c r="G96" s="173">
        <v>1.9461250000000001</v>
      </c>
      <c r="H96" s="173">
        <v>1.5363420000000001</v>
      </c>
      <c r="I96" s="173">
        <v>1.1719729999999999</v>
      </c>
      <c r="J96" s="173">
        <v>5.1333999999999998E-2</v>
      </c>
      <c r="K96" s="173">
        <v>2.0373130000000002</v>
      </c>
      <c r="L96" s="173">
        <v>1.826864</v>
      </c>
      <c r="M96" s="173">
        <v>2.552667</v>
      </c>
      <c r="N96" s="173">
        <v>2.9406370000000002</v>
      </c>
      <c r="O96" s="173">
        <v>3.048152</v>
      </c>
      <c r="P96" s="173">
        <v>3.0015830000000001</v>
      </c>
      <c r="Q96" s="173">
        <v>3.577315</v>
      </c>
      <c r="R96" s="173">
        <v>3.6179220000000001</v>
      </c>
      <c r="S96" s="173">
        <v>3.5173019999999999</v>
      </c>
      <c r="T96" s="173">
        <v>3.783118</v>
      </c>
      <c r="U96" s="173">
        <v>3.2446030000000001</v>
      </c>
      <c r="V96" s="173">
        <v>3.7400570000000002</v>
      </c>
      <c r="W96" s="173">
        <v>3.104663</v>
      </c>
      <c r="X96" s="173">
        <v>1.7294940000000001</v>
      </c>
      <c r="Y96" s="173">
        <v>3.4617429999999998</v>
      </c>
      <c r="Z96" s="173">
        <v>3.8431730000000002</v>
      </c>
    </row>
    <row r="97" spans="1:26">
      <c r="A97" s="211"/>
      <c r="B97" s="133" t="s">
        <v>54</v>
      </c>
      <c r="C97" s="173">
        <v>9.8711500000000001</v>
      </c>
      <c r="D97" s="173">
        <v>5.4414375000000001</v>
      </c>
      <c r="E97" s="173">
        <v>9.6633200000000006</v>
      </c>
      <c r="F97" s="173">
        <v>7.8050050000000004</v>
      </c>
      <c r="G97" s="173">
        <v>11.846197500000001</v>
      </c>
      <c r="H97" s="173">
        <v>13.186323</v>
      </c>
      <c r="I97" s="173">
        <v>16.1606655</v>
      </c>
      <c r="J97" s="173">
        <v>13.6723105</v>
      </c>
      <c r="K97" s="173">
        <v>13.5816645</v>
      </c>
      <c r="L97" s="173">
        <v>11.230755</v>
      </c>
      <c r="M97" s="173">
        <v>10.188828000000001</v>
      </c>
      <c r="N97" s="173">
        <v>10.4136255</v>
      </c>
      <c r="O97" s="173">
        <v>7.3618245</v>
      </c>
      <c r="P97" s="173">
        <v>9.8298860000000001</v>
      </c>
      <c r="Q97" s="173">
        <v>9.6378819999999994</v>
      </c>
      <c r="R97" s="173">
        <v>10.65733</v>
      </c>
      <c r="S97" s="173">
        <v>12.228600500000001</v>
      </c>
      <c r="T97" s="173">
        <v>15.5976535</v>
      </c>
      <c r="U97" s="173">
        <v>12.5411815</v>
      </c>
      <c r="V97" s="173">
        <v>14.683114</v>
      </c>
      <c r="W97" s="173">
        <v>9.9340825000000006</v>
      </c>
      <c r="X97" s="173">
        <v>10.860910000000001</v>
      </c>
      <c r="Y97" s="173">
        <v>10.810193999999999</v>
      </c>
      <c r="Z97" s="173">
        <v>8.9918355000000005</v>
      </c>
    </row>
    <row r="98" spans="1:26">
      <c r="A98" s="211"/>
      <c r="B98" s="133" t="s">
        <v>55</v>
      </c>
      <c r="C98" s="173">
        <v>9.8711500000000001</v>
      </c>
      <c r="D98" s="173">
        <v>5.4414375000000001</v>
      </c>
      <c r="E98" s="173">
        <v>9.6633200000000006</v>
      </c>
      <c r="F98" s="173">
        <v>7.8050050000000004</v>
      </c>
      <c r="G98" s="173">
        <v>11.846197500000001</v>
      </c>
      <c r="H98" s="173">
        <v>13.186323</v>
      </c>
      <c r="I98" s="173">
        <v>16.1606655</v>
      </c>
      <c r="J98" s="173">
        <v>13.6723105</v>
      </c>
      <c r="K98" s="173">
        <v>13.5816645</v>
      </c>
      <c r="L98" s="173">
        <v>11.230755</v>
      </c>
      <c r="M98" s="173">
        <v>10.188828000000001</v>
      </c>
      <c r="N98" s="173">
        <v>10.4136255</v>
      </c>
      <c r="O98" s="173">
        <v>7.3618245</v>
      </c>
      <c r="P98" s="173">
        <v>9.8298860000000001</v>
      </c>
      <c r="Q98" s="173">
        <v>9.6378819999999994</v>
      </c>
      <c r="R98" s="173">
        <v>10.65733</v>
      </c>
      <c r="S98" s="173">
        <v>12.228600500000001</v>
      </c>
      <c r="T98" s="173">
        <v>15.5976535</v>
      </c>
      <c r="U98" s="173">
        <v>12.5411815</v>
      </c>
      <c r="V98" s="173">
        <v>14.683114</v>
      </c>
      <c r="W98" s="173">
        <v>9.9340825000000006</v>
      </c>
      <c r="X98" s="173">
        <v>10.860910000000001</v>
      </c>
      <c r="Y98" s="173">
        <v>10.810193999999999</v>
      </c>
      <c r="Z98" s="173">
        <v>8.9918355000000005</v>
      </c>
    </row>
    <row r="99" spans="1:26">
      <c r="A99" s="211"/>
      <c r="B99" s="137" t="s">
        <v>2</v>
      </c>
      <c r="C99" s="174">
        <v>433.75729100000001</v>
      </c>
      <c r="D99" s="174">
        <v>369.66743300000002</v>
      </c>
      <c r="E99" s="174">
        <v>411.22058600000003</v>
      </c>
      <c r="F99" s="174">
        <v>402.63279599999998</v>
      </c>
      <c r="G99" s="174">
        <v>439.88518599999998</v>
      </c>
      <c r="H99" s="174">
        <v>539.97746800000004</v>
      </c>
      <c r="I99" s="174">
        <v>635.33395399999995</v>
      </c>
      <c r="J99" s="174">
        <v>651.278369</v>
      </c>
      <c r="K99" s="174">
        <v>524.09946100000002</v>
      </c>
      <c r="L99" s="174">
        <v>405.44005800000002</v>
      </c>
      <c r="M99" s="174">
        <v>306.65462000000002</v>
      </c>
      <c r="N99" s="174">
        <v>319.02064200000001</v>
      </c>
      <c r="O99" s="174">
        <v>326.63051000000002</v>
      </c>
      <c r="P99" s="174">
        <v>342.61162200000001</v>
      </c>
      <c r="Q99" s="174">
        <v>332.45654999999999</v>
      </c>
      <c r="R99" s="174">
        <v>307.69163700000001</v>
      </c>
      <c r="S99" s="174">
        <v>340.88645400000001</v>
      </c>
      <c r="T99" s="174">
        <v>421.476586</v>
      </c>
      <c r="U99" s="174">
        <v>565.78934400000003</v>
      </c>
      <c r="V99" s="174">
        <v>529.34347600000001</v>
      </c>
      <c r="W99" s="174">
        <v>435.06932</v>
      </c>
      <c r="X99" s="174">
        <v>363.589969</v>
      </c>
      <c r="Y99" s="174">
        <v>302.01390600000002</v>
      </c>
      <c r="Z99" s="174">
        <v>305.13724000000002</v>
      </c>
    </row>
    <row r="100" spans="1:26">
      <c r="A100" s="211"/>
      <c r="B100" s="133" t="s">
        <v>21</v>
      </c>
      <c r="C100" s="173">
        <v>31.159338999999999</v>
      </c>
      <c r="D100" s="173">
        <v>27.502502</v>
      </c>
      <c r="E100" s="173">
        <v>30.689281000000001</v>
      </c>
      <c r="F100" s="173">
        <v>33.641058999999998</v>
      </c>
      <c r="G100" s="173">
        <v>32.047055999999998</v>
      </c>
      <c r="H100" s="173">
        <v>35.225064000000003</v>
      </c>
      <c r="I100" s="173">
        <v>67.033137999999994</v>
      </c>
      <c r="J100" s="173">
        <v>77.653036</v>
      </c>
      <c r="K100" s="173">
        <v>70.647335999999996</v>
      </c>
      <c r="L100" s="173">
        <v>61.365385000000003</v>
      </c>
      <c r="M100" s="173">
        <v>55.991686000000001</v>
      </c>
      <c r="N100" s="173">
        <v>79.778822000000005</v>
      </c>
      <c r="O100" s="173">
        <v>123.950131</v>
      </c>
      <c r="P100" s="173">
        <v>89.734262000000001</v>
      </c>
      <c r="Q100" s="173">
        <v>82.194308000000007</v>
      </c>
      <c r="R100" s="173">
        <v>98.033413999999993</v>
      </c>
      <c r="S100" s="173">
        <v>118.762416</v>
      </c>
      <c r="T100" s="173">
        <v>124.350134</v>
      </c>
      <c r="U100" s="173">
        <v>168.54782399999999</v>
      </c>
      <c r="V100" s="173">
        <v>175.00929099999999</v>
      </c>
      <c r="W100" s="173">
        <v>130.854702</v>
      </c>
      <c r="X100" s="173">
        <v>131.44748999999999</v>
      </c>
      <c r="Y100" s="173">
        <v>70.767787999999996</v>
      </c>
      <c r="Z100" s="173">
        <v>112.440268</v>
      </c>
    </row>
    <row r="101" spans="1:26">
      <c r="A101" s="212"/>
      <c r="B101" s="137" t="s">
        <v>79</v>
      </c>
      <c r="C101" s="174">
        <v>464.91663</v>
      </c>
      <c r="D101" s="174">
        <v>397.16993500000001</v>
      </c>
      <c r="E101" s="174">
        <v>441.90986700000002</v>
      </c>
      <c r="F101" s="174">
        <v>436.27385500000003</v>
      </c>
      <c r="G101" s="174">
        <v>471.93224199999997</v>
      </c>
      <c r="H101" s="174">
        <v>575.20253200000002</v>
      </c>
      <c r="I101" s="174">
        <v>702.36709199999996</v>
      </c>
      <c r="J101" s="174">
        <v>728.93140500000004</v>
      </c>
      <c r="K101" s="174">
        <v>594.74679700000002</v>
      </c>
      <c r="L101" s="174">
        <v>466.80544300000003</v>
      </c>
      <c r="M101" s="174">
        <v>362.64630599999998</v>
      </c>
      <c r="N101" s="174">
        <v>398.799464</v>
      </c>
      <c r="O101" s="174">
        <v>450.58064100000001</v>
      </c>
      <c r="P101" s="174">
        <v>432.34588400000001</v>
      </c>
      <c r="Q101" s="174">
        <v>414.65085800000003</v>
      </c>
      <c r="R101" s="174">
        <v>405.72505100000001</v>
      </c>
      <c r="S101" s="174">
        <v>459.64886999999999</v>
      </c>
      <c r="T101" s="174">
        <v>545.82672000000002</v>
      </c>
      <c r="U101" s="174">
        <v>734.33716800000002</v>
      </c>
      <c r="V101" s="174">
        <v>704.35276699999997</v>
      </c>
      <c r="W101" s="174">
        <v>565.92402200000004</v>
      </c>
      <c r="X101" s="174">
        <v>495.03745900000001</v>
      </c>
      <c r="Y101" s="174">
        <v>372.78169400000002</v>
      </c>
      <c r="Z101" s="174">
        <v>417.57750800000002</v>
      </c>
    </row>
    <row r="102" spans="1:26">
      <c r="A102" s="215" t="s">
        <v>58</v>
      </c>
      <c r="B102" s="133" t="s">
        <v>12</v>
      </c>
      <c r="C102" s="173">
        <v>0.294213</v>
      </c>
      <c r="D102" s="173">
        <v>0.25058200000000003</v>
      </c>
      <c r="E102" s="173">
        <v>0.29644599999999999</v>
      </c>
      <c r="F102" s="173">
        <v>0.27407199999999998</v>
      </c>
      <c r="G102" s="173">
        <v>0.29870099999999999</v>
      </c>
      <c r="H102" s="173">
        <v>0.28138299999999999</v>
      </c>
      <c r="I102" s="173">
        <v>0.29436099999999998</v>
      </c>
      <c r="J102" s="173">
        <v>0.29274699999999998</v>
      </c>
      <c r="K102" s="173">
        <v>0.28892499999999999</v>
      </c>
      <c r="L102" s="173">
        <v>0.29400900000000002</v>
      </c>
      <c r="M102" s="173">
        <v>0.27748800000000001</v>
      </c>
      <c r="N102" s="173">
        <v>0.28856799999999999</v>
      </c>
      <c r="O102" s="173">
        <v>0.27497500000000002</v>
      </c>
      <c r="P102" s="173">
        <v>0.25442500000000001</v>
      </c>
      <c r="Q102" s="173">
        <v>0.28212599999999999</v>
      </c>
      <c r="R102" s="173">
        <v>0.27610800000000002</v>
      </c>
      <c r="S102" s="173">
        <v>0.29790899999999998</v>
      </c>
      <c r="T102" s="173">
        <v>0.28383700000000001</v>
      </c>
      <c r="U102" s="173">
        <v>0.30198999999999998</v>
      </c>
      <c r="V102" s="173">
        <v>0.28963</v>
      </c>
      <c r="W102" s="173">
        <v>0.28927700000000001</v>
      </c>
      <c r="X102" s="173">
        <v>0.30293500000000001</v>
      </c>
      <c r="Y102" s="173">
        <v>0.28046900000000002</v>
      </c>
      <c r="Z102" s="173">
        <v>0.30561100000000002</v>
      </c>
    </row>
    <row r="103" spans="1:26">
      <c r="A103" s="211"/>
      <c r="B103" s="133" t="s">
        <v>78</v>
      </c>
      <c r="C103" s="173">
        <v>144.97616600000001</v>
      </c>
      <c r="D103" s="173">
        <v>129.27922799999999</v>
      </c>
      <c r="E103" s="173">
        <v>148.837288</v>
      </c>
      <c r="F103" s="173">
        <v>137.06188</v>
      </c>
      <c r="G103" s="173">
        <v>142.20013900000001</v>
      </c>
      <c r="H103" s="173">
        <v>140.176005</v>
      </c>
      <c r="I103" s="173">
        <v>145.16306399999999</v>
      </c>
      <c r="J103" s="173">
        <v>144.44555099999999</v>
      </c>
      <c r="K103" s="173">
        <v>147.14430100000001</v>
      </c>
      <c r="L103" s="173">
        <v>153.68727999999999</v>
      </c>
      <c r="M103" s="173">
        <v>154.15610899999999</v>
      </c>
      <c r="N103" s="173">
        <v>168.11301700000001</v>
      </c>
      <c r="O103" s="173">
        <v>149.66655</v>
      </c>
      <c r="P103" s="173">
        <v>151.17901900000001</v>
      </c>
      <c r="Q103" s="173">
        <v>141.36258799999999</v>
      </c>
      <c r="R103" s="173">
        <v>149.85577699999999</v>
      </c>
      <c r="S103" s="173">
        <v>152.672844</v>
      </c>
      <c r="T103" s="173">
        <v>159.427877</v>
      </c>
      <c r="U103" s="173">
        <v>147.371253</v>
      </c>
      <c r="V103" s="173">
        <v>158.13818499999999</v>
      </c>
      <c r="W103" s="173">
        <v>154.76962499999999</v>
      </c>
      <c r="X103" s="173">
        <v>179.46748099999999</v>
      </c>
      <c r="Y103" s="173">
        <v>168.212242</v>
      </c>
      <c r="Z103" s="173">
        <v>171.03556599999999</v>
      </c>
    </row>
    <row r="104" spans="1:26">
      <c r="A104" s="211"/>
      <c r="B104" s="133" t="s">
        <v>9</v>
      </c>
      <c r="C104" s="173">
        <v>20.1236</v>
      </c>
      <c r="D104" s="173">
        <v>22.304445000000001</v>
      </c>
      <c r="E104" s="173">
        <v>22.266894000000001</v>
      </c>
      <c r="F104" s="173">
        <v>17.593667</v>
      </c>
      <c r="G104" s="173">
        <v>15.375764</v>
      </c>
      <c r="H104" s="173">
        <v>14.745179</v>
      </c>
      <c r="I104" s="173">
        <v>19.947948</v>
      </c>
      <c r="J104" s="173">
        <v>17.951955999999999</v>
      </c>
      <c r="K104" s="173">
        <v>27.959973000000002</v>
      </c>
      <c r="L104" s="173">
        <v>36.672798</v>
      </c>
      <c r="M104" s="173">
        <v>23.967887999999999</v>
      </c>
      <c r="N104" s="173">
        <v>22.080762</v>
      </c>
      <c r="O104" s="173">
        <v>14.760491</v>
      </c>
      <c r="P104" s="173">
        <v>26.990496</v>
      </c>
      <c r="Q104" s="173">
        <v>16.813075000000001</v>
      </c>
      <c r="R104" s="173">
        <v>21.092299000000001</v>
      </c>
      <c r="S104" s="173">
        <v>23.467611000000002</v>
      </c>
      <c r="T104" s="173">
        <v>20.997603000000002</v>
      </c>
      <c r="U104" s="173">
        <v>15.379733999999999</v>
      </c>
      <c r="V104" s="173">
        <v>16.795183000000002</v>
      </c>
      <c r="W104" s="173">
        <v>18.188441000000001</v>
      </c>
      <c r="X104" s="173">
        <v>30.707764999999998</v>
      </c>
      <c r="Y104" s="173">
        <v>24.331886999999998</v>
      </c>
      <c r="Z104" s="173">
        <v>26.447642999999999</v>
      </c>
    </row>
    <row r="105" spans="1:26">
      <c r="A105" s="211"/>
      <c r="B105" s="133" t="s">
        <v>8</v>
      </c>
      <c r="C105" s="173">
        <v>117.429802</v>
      </c>
      <c r="D105" s="173">
        <v>102.630663</v>
      </c>
      <c r="E105" s="173">
        <v>114.410944</v>
      </c>
      <c r="F105" s="173">
        <v>103.636366</v>
      </c>
      <c r="G105" s="173">
        <v>86.849653000000004</v>
      </c>
      <c r="H105" s="173">
        <v>60.625900999999999</v>
      </c>
      <c r="I105" s="173">
        <v>73.212086999999997</v>
      </c>
      <c r="J105" s="173">
        <v>102.417013</v>
      </c>
      <c r="K105" s="173">
        <v>110.953991</v>
      </c>
      <c r="L105" s="173">
        <v>118.59882</v>
      </c>
      <c r="M105" s="173">
        <v>93.771169</v>
      </c>
      <c r="N105" s="173">
        <v>122.69665500000001</v>
      </c>
      <c r="O105" s="173">
        <v>118.030389</v>
      </c>
      <c r="P105" s="173">
        <v>118.052049</v>
      </c>
      <c r="Q105" s="173">
        <v>103.679242</v>
      </c>
      <c r="R105" s="173">
        <v>89.164951000000002</v>
      </c>
      <c r="S105" s="173">
        <v>84.880949000000001</v>
      </c>
      <c r="T105" s="173">
        <v>84.905440999999996</v>
      </c>
      <c r="U105" s="173">
        <v>101.065799</v>
      </c>
      <c r="V105" s="173">
        <v>105.31614999999999</v>
      </c>
      <c r="W105" s="173">
        <v>105.510948</v>
      </c>
      <c r="X105" s="173">
        <v>119.677701</v>
      </c>
      <c r="Y105" s="173">
        <v>90.916317000000006</v>
      </c>
      <c r="Z105" s="173">
        <v>96.450059999999993</v>
      </c>
    </row>
    <row r="106" spans="1:26">
      <c r="A106" s="211"/>
      <c r="B106" s="133" t="s">
        <v>25</v>
      </c>
      <c r="C106" s="173">
        <v>350.33219100000002</v>
      </c>
      <c r="D106" s="173">
        <v>285.34500700000001</v>
      </c>
      <c r="E106" s="173">
        <v>288.52109999999999</v>
      </c>
      <c r="F106" s="173">
        <v>265.37271800000002</v>
      </c>
      <c r="G106" s="173">
        <v>303.45663500000001</v>
      </c>
      <c r="H106" s="173">
        <v>283.58392400000002</v>
      </c>
      <c r="I106" s="173">
        <v>295.51749599999999</v>
      </c>
      <c r="J106" s="173">
        <v>269.79137200000002</v>
      </c>
      <c r="K106" s="173">
        <v>285.29845599999999</v>
      </c>
      <c r="L106" s="173">
        <v>305.38632699999999</v>
      </c>
      <c r="M106" s="173">
        <v>309.74341800000002</v>
      </c>
      <c r="N106" s="173">
        <v>347.66188299999999</v>
      </c>
      <c r="O106" s="173">
        <v>279.418815</v>
      </c>
      <c r="P106" s="173">
        <v>289.33312999999998</v>
      </c>
      <c r="Q106" s="173">
        <v>284.83144399999998</v>
      </c>
      <c r="R106" s="173">
        <v>279.54366599999997</v>
      </c>
      <c r="S106" s="173">
        <v>275.34098399999999</v>
      </c>
      <c r="T106" s="173">
        <v>351.45923099999999</v>
      </c>
      <c r="U106" s="173">
        <v>250.52108799999999</v>
      </c>
      <c r="V106" s="173">
        <v>306.93109600000003</v>
      </c>
      <c r="W106" s="173">
        <v>329.65078499999998</v>
      </c>
      <c r="X106" s="173">
        <v>385.37423100000001</v>
      </c>
      <c r="Y106" s="173">
        <v>320.60776499999997</v>
      </c>
      <c r="Z106" s="173">
        <v>343.70541600000001</v>
      </c>
    </row>
    <row r="107" spans="1:26">
      <c r="A107" s="211"/>
      <c r="B107" s="133" t="s">
        <v>24</v>
      </c>
      <c r="C107" s="173">
        <v>0</v>
      </c>
      <c r="D107" s="173">
        <v>0</v>
      </c>
      <c r="E107" s="173">
        <v>0</v>
      </c>
      <c r="F107" s="173">
        <v>0</v>
      </c>
      <c r="G107" s="173">
        <v>0</v>
      </c>
      <c r="H107" s="173">
        <v>0</v>
      </c>
      <c r="I107" s="173">
        <v>-7.7730000000000004E-3</v>
      </c>
      <c r="J107" s="173">
        <v>-1.2208999999999999E-2</v>
      </c>
      <c r="K107" s="173">
        <v>-1.1861999999999999E-2</v>
      </c>
      <c r="L107" s="173">
        <v>-7.5659999999999998E-3</v>
      </c>
      <c r="M107" s="173">
        <v>-1.2637000000000001E-2</v>
      </c>
      <c r="N107" s="173">
        <v>-1.3625E-2</v>
      </c>
      <c r="O107" s="173">
        <v>-1.3847999999999999E-2</v>
      </c>
      <c r="P107" s="173">
        <v>-9.9690000000000004E-3</v>
      </c>
      <c r="Q107" s="173">
        <v>-1.3753E-2</v>
      </c>
      <c r="R107" s="173">
        <v>-1.2926999999999999E-2</v>
      </c>
      <c r="S107" s="173">
        <v>-1.3481E-2</v>
      </c>
      <c r="T107" s="173">
        <v>-2.0100000000000001E-3</v>
      </c>
      <c r="U107" s="173">
        <v>0</v>
      </c>
      <c r="V107" s="173">
        <v>0</v>
      </c>
      <c r="W107" s="173">
        <v>0</v>
      </c>
      <c r="X107" s="173">
        <v>0</v>
      </c>
      <c r="Y107" s="173">
        <v>0</v>
      </c>
      <c r="Z107" s="173">
        <v>0</v>
      </c>
    </row>
    <row r="108" spans="1:26">
      <c r="A108" s="211"/>
      <c r="B108" s="133" t="s">
        <v>6</v>
      </c>
      <c r="C108" s="173">
        <v>1.110916</v>
      </c>
      <c r="D108" s="173">
        <v>1.4820450000000001</v>
      </c>
      <c r="E108" s="173">
        <v>2.1263230000000002</v>
      </c>
      <c r="F108" s="173">
        <v>1.7525280000000001</v>
      </c>
      <c r="G108" s="173">
        <v>1.9171739999999999</v>
      </c>
      <c r="H108" s="173">
        <v>2.44956</v>
      </c>
      <c r="I108" s="173">
        <v>3.5629430000000002</v>
      </c>
      <c r="J108" s="173">
        <v>3.5176750000000001</v>
      </c>
      <c r="K108" s="173">
        <v>2.0750950000000001</v>
      </c>
      <c r="L108" s="173">
        <v>1.3500719999999999</v>
      </c>
      <c r="M108" s="173">
        <v>1.1694089999999999</v>
      </c>
      <c r="N108" s="173">
        <v>0.36710399999999999</v>
      </c>
      <c r="O108" s="173">
        <v>1.6495040000000001</v>
      </c>
      <c r="P108" s="173">
        <v>0.82934099999999999</v>
      </c>
      <c r="Q108" s="173">
        <v>1.5724450000000001</v>
      </c>
      <c r="R108" s="173">
        <v>1.573337</v>
      </c>
      <c r="S108" s="173">
        <v>2.0671949999999999</v>
      </c>
      <c r="T108" s="173">
        <v>0.80873799999999996</v>
      </c>
      <c r="U108" s="173">
        <v>2.7590569999999999</v>
      </c>
      <c r="V108" s="173">
        <v>2.6998280000000001</v>
      </c>
      <c r="W108" s="173">
        <v>1.3149919999999999</v>
      </c>
      <c r="X108" s="173">
        <v>0.44324000000000002</v>
      </c>
      <c r="Y108" s="173">
        <v>1.0899650000000001</v>
      </c>
      <c r="Z108" s="173">
        <v>0.66913</v>
      </c>
    </row>
    <row r="109" spans="1:26">
      <c r="A109" s="211"/>
      <c r="B109" s="133" t="s">
        <v>5</v>
      </c>
      <c r="C109" s="173">
        <v>60.12574</v>
      </c>
      <c r="D109" s="173">
        <v>88.964033999999998</v>
      </c>
      <c r="E109" s="173">
        <v>109.52770099999999</v>
      </c>
      <c r="F109" s="173">
        <v>120.73900500000001</v>
      </c>
      <c r="G109" s="173">
        <v>116.96555499999999</v>
      </c>
      <c r="H109" s="173">
        <v>160.356527</v>
      </c>
      <c r="I109" s="173">
        <v>181.49906899999999</v>
      </c>
      <c r="J109" s="173">
        <v>185.782734</v>
      </c>
      <c r="K109" s="173">
        <v>123.26133799999999</v>
      </c>
      <c r="L109" s="173">
        <v>85.870188999999996</v>
      </c>
      <c r="M109" s="173">
        <v>102.221262</v>
      </c>
      <c r="N109" s="173">
        <v>37.913117999999997</v>
      </c>
      <c r="O109" s="173">
        <v>132.72816599999999</v>
      </c>
      <c r="P109" s="173">
        <v>42.67051</v>
      </c>
      <c r="Q109" s="173">
        <v>130.23741999999999</v>
      </c>
      <c r="R109" s="173">
        <v>103.685765</v>
      </c>
      <c r="S109" s="173">
        <v>131.84913700000001</v>
      </c>
      <c r="T109" s="173">
        <v>63.874986999999997</v>
      </c>
      <c r="U109" s="173">
        <v>209.60142099999999</v>
      </c>
      <c r="V109" s="173">
        <v>178.40248800000001</v>
      </c>
      <c r="W109" s="173">
        <v>103.232878</v>
      </c>
      <c r="X109" s="173">
        <v>57.758575</v>
      </c>
      <c r="Y109" s="173">
        <v>99.872924999999995</v>
      </c>
      <c r="Z109" s="173">
        <v>70.816050000000004</v>
      </c>
    </row>
    <row r="110" spans="1:26">
      <c r="A110" s="211"/>
      <c r="B110" s="133" t="s">
        <v>4</v>
      </c>
      <c r="C110" s="173">
        <v>18.056702999999999</v>
      </c>
      <c r="D110" s="173">
        <v>18.872744999999998</v>
      </c>
      <c r="E110" s="173">
        <v>25.064551999999999</v>
      </c>
      <c r="F110" s="173">
        <v>26.39603</v>
      </c>
      <c r="G110" s="173">
        <v>32.971663999999997</v>
      </c>
      <c r="H110" s="173">
        <v>30.752493999999999</v>
      </c>
      <c r="I110" s="173">
        <v>34.435164</v>
      </c>
      <c r="J110" s="173">
        <v>32.290123000000001</v>
      </c>
      <c r="K110" s="173">
        <v>26.56626</v>
      </c>
      <c r="L110" s="173">
        <v>26.789277999999999</v>
      </c>
      <c r="M110" s="173">
        <v>23.253195999999999</v>
      </c>
      <c r="N110" s="173">
        <v>19.060797999999998</v>
      </c>
      <c r="O110" s="173">
        <v>22.121485</v>
      </c>
      <c r="P110" s="173">
        <v>20.382895000000001</v>
      </c>
      <c r="Q110" s="173">
        <v>32.428702000000001</v>
      </c>
      <c r="R110" s="173">
        <v>30.033574000000002</v>
      </c>
      <c r="S110" s="173">
        <v>30.564440999999999</v>
      </c>
      <c r="T110" s="173">
        <v>30.691880000000001</v>
      </c>
      <c r="U110" s="173">
        <v>35.002752999999998</v>
      </c>
      <c r="V110" s="173">
        <v>33.602015999999999</v>
      </c>
      <c r="W110" s="173">
        <v>31.322213000000001</v>
      </c>
      <c r="X110" s="173">
        <v>29.6997</v>
      </c>
      <c r="Y110" s="173">
        <v>24.842165000000001</v>
      </c>
      <c r="Z110" s="173">
        <v>23.549019999999999</v>
      </c>
    </row>
    <row r="111" spans="1:26">
      <c r="A111" s="211"/>
      <c r="B111" s="133" t="s">
        <v>22</v>
      </c>
      <c r="C111" s="173">
        <v>0.86053100000000005</v>
      </c>
      <c r="D111" s="173">
        <v>0.72069799999999995</v>
      </c>
      <c r="E111" s="173">
        <v>0.90984399999999999</v>
      </c>
      <c r="F111" s="173">
        <v>0.61352399999999996</v>
      </c>
      <c r="G111" s="173">
        <v>0.72146399999999999</v>
      </c>
      <c r="H111" s="173">
        <v>0.696106</v>
      </c>
      <c r="I111" s="173">
        <v>0.688222</v>
      </c>
      <c r="J111" s="173">
        <v>0.71531400000000001</v>
      </c>
      <c r="K111" s="173">
        <v>0.714812</v>
      </c>
      <c r="L111" s="173">
        <v>0.73132799999999998</v>
      </c>
      <c r="M111" s="173">
        <v>0.76498500000000003</v>
      </c>
      <c r="N111" s="173">
        <v>0.78453200000000001</v>
      </c>
      <c r="O111" s="173">
        <v>0.78413299999999997</v>
      </c>
      <c r="P111" s="173">
        <v>0.71108700000000002</v>
      </c>
      <c r="Q111" s="173">
        <v>0.73842799999999997</v>
      </c>
      <c r="R111" s="173">
        <v>0.63095199999999996</v>
      </c>
      <c r="S111" s="173">
        <v>0.65055600000000002</v>
      </c>
      <c r="T111" s="173">
        <v>0.66513100000000003</v>
      </c>
      <c r="U111" s="173">
        <v>0.64607300000000001</v>
      </c>
      <c r="V111" s="173">
        <v>0.37482700000000002</v>
      </c>
      <c r="W111" s="173">
        <v>0.37211699999999998</v>
      </c>
      <c r="X111" s="173">
        <v>0.52430399999999999</v>
      </c>
      <c r="Y111" s="173">
        <v>0.42454199999999997</v>
      </c>
      <c r="Z111" s="173">
        <v>0.44537900000000002</v>
      </c>
    </row>
    <row r="112" spans="1:26">
      <c r="A112" s="211"/>
      <c r="B112" s="133" t="s">
        <v>23</v>
      </c>
      <c r="C112" s="173">
        <v>0</v>
      </c>
      <c r="D112" s="173">
        <v>0</v>
      </c>
      <c r="E112" s="173">
        <v>0</v>
      </c>
      <c r="F112" s="173">
        <v>0</v>
      </c>
      <c r="G112" s="173">
        <v>0</v>
      </c>
      <c r="H112" s="173">
        <v>0</v>
      </c>
      <c r="I112" s="173">
        <v>0</v>
      </c>
      <c r="J112" s="173">
        <v>0</v>
      </c>
      <c r="K112" s="173">
        <v>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 s="173">
        <v>0</v>
      </c>
      <c r="R112" s="173">
        <v>0</v>
      </c>
      <c r="S112" s="173">
        <v>0</v>
      </c>
      <c r="T112" s="173">
        <v>0</v>
      </c>
      <c r="U112" s="173">
        <v>0</v>
      </c>
      <c r="V112" s="173">
        <v>0</v>
      </c>
      <c r="W112" s="173">
        <v>0</v>
      </c>
      <c r="X112" s="173">
        <v>0</v>
      </c>
      <c r="Y112" s="173">
        <v>0</v>
      </c>
      <c r="Z112" s="173">
        <v>0</v>
      </c>
    </row>
    <row r="113" spans="1:26">
      <c r="A113" s="211"/>
      <c r="B113" s="137" t="s">
        <v>2</v>
      </c>
      <c r="C113" s="174">
        <v>713.30986199999995</v>
      </c>
      <c r="D113" s="174">
        <v>649.84944700000005</v>
      </c>
      <c r="E113" s="174">
        <v>711.96109200000001</v>
      </c>
      <c r="F113" s="174">
        <v>673.43979000000002</v>
      </c>
      <c r="G113" s="174">
        <v>700.75674900000001</v>
      </c>
      <c r="H113" s="174">
        <v>693.66707899999994</v>
      </c>
      <c r="I113" s="174">
        <v>754.31258100000002</v>
      </c>
      <c r="J113" s="174">
        <v>757.19227599999999</v>
      </c>
      <c r="K113" s="174">
        <v>724.25128900000004</v>
      </c>
      <c r="L113" s="174">
        <v>729.37253499999997</v>
      </c>
      <c r="M113" s="174">
        <v>709.31228699999997</v>
      </c>
      <c r="N113" s="174">
        <v>718.95281199999999</v>
      </c>
      <c r="O113" s="174">
        <v>719.42066</v>
      </c>
      <c r="P113" s="174">
        <v>650.39298299999996</v>
      </c>
      <c r="Q113" s="174">
        <v>711.93171700000005</v>
      </c>
      <c r="R113" s="174">
        <v>675.84350199999994</v>
      </c>
      <c r="S113" s="174">
        <v>701.77814499999999</v>
      </c>
      <c r="T113" s="174">
        <v>713.11271499999998</v>
      </c>
      <c r="U113" s="174">
        <v>762.64916800000003</v>
      </c>
      <c r="V113" s="174">
        <v>802.54940299999998</v>
      </c>
      <c r="W113" s="174">
        <v>744.65127600000005</v>
      </c>
      <c r="X113" s="174">
        <v>803.95593199999996</v>
      </c>
      <c r="Y113" s="174">
        <v>730.57827699999996</v>
      </c>
      <c r="Z113" s="174">
        <v>733.42387499999995</v>
      </c>
    </row>
    <row r="114" spans="1:26">
      <c r="A114" s="212"/>
      <c r="B114" s="137" t="s">
        <v>79</v>
      </c>
      <c r="C114" s="174">
        <v>713.30986199999995</v>
      </c>
      <c r="D114" s="174">
        <v>649.84944700000005</v>
      </c>
      <c r="E114" s="174">
        <v>711.96109200000001</v>
      </c>
      <c r="F114" s="174">
        <v>673.43979000000002</v>
      </c>
      <c r="G114" s="174">
        <v>700.75674900000001</v>
      </c>
      <c r="H114" s="174">
        <v>693.66707899999994</v>
      </c>
      <c r="I114" s="174">
        <v>754.31258100000002</v>
      </c>
      <c r="J114" s="174">
        <v>757.19227599999999</v>
      </c>
      <c r="K114" s="174">
        <v>724.25128900000004</v>
      </c>
      <c r="L114" s="174">
        <v>729.37253499999997</v>
      </c>
      <c r="M114" s="174">
        <v>709.31228699999997</v>
      </c>
      <c r="N114" s="174">
        <v>718.95281199999999</v>
      </c>
      <c r="O114" s="174">
        <v>719.42066</v>
      </c>
      <c r="P114" s="174">
        <v>650.39298299999996</v>
      </c>
      <c r="Q114" s="174">
        <v>711.93171700000005</v>
      </c>
      <c r="R114" s="174">
        <v>675.84350199999994</v>
      </c>
      <c r="S114" s="174">
        <v>701.77814499999999</v>
      </c>
      <c r="T114" s="174">
        <v>713.11271499999998</v>
      </c>
      <c r="U114" s="174">
        <v>762.64916800000003</v>
      </c>
      <c r="V114" s="174">
        <v>802.54940299999998</v>
      </c>
      <c r="W114" s="174">
        <v>744.65127600000005</v>
      </c>
      <c r="X114" s="174">
        <v>803.95593199999996</v>
      </c>
      <c r="Y114" s="174">
        <v>730.57827699999996</v>
      </c>
      <c r="Z114" s="174">
        <v>733.42387499999995</v>
      </c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diciembre 2022</v>
      </c>
      <c r="D117" s="111" t="str">
        <f t="shared" ref="D117:M117" si="6">TEXT(EDATE(E117,-1),"mmmm aaaa")</f>
        <v>enero 2023</v>
      </c>
      <c r="E117" s="111" t="str">
        <f t="shared" si="6"/>
        <v>febrero 2023</v>
      </c>
      <c r="F117" s="111" t="str">
        <f t="shared" si="6"/>
        <v>marzo 2023</v>
      </c>
      <c r="G117" s="111" t="str">
        <f t="shared" si="6"/>
        <v>abril 2023</v>
      </c>
      <c r="H117" s="111" t="str">
        <f t="shared" si="6"/>
        <v>mayo 2023</v>
      </c>
      <c r="I117" s="111" t="str">
        <f t="shared" si="6"/>
        <v>junio 2023</v>
      </c>
      <c r="J117" s="111" t="str">
        <f t="shared" si="6"/>
        <v>julio 2023</v>
      </c>
      <c r="K117" s="111" t="str">
        <f t="shared" si="6"/>
        <v>agosto 2023</v>
      </c>
      <c r="L117" s="111" t="str">
        <f t="shared" si="6"/>
        <v>septiembre 2023</v>
      </c>
      <c r="M117" s="111" t="str">
        <f t="shared" si="6"/>
        <v>octubre 2023</v>
      </c>
      <c r="N117" s="111" t="str">
        <f>TEXT(EDATE(O117,-1),"mmmm aaaa")</f>
        <v>noviembre 2023</v>
      </c>
      <c r="O117" s="112" t="str">
        <f>A2</f>
        <v>Diciembre 2023</v>
      </c>
    </row>
    <row r="118" spans="1:26">
      <c r="B118" s="209"/>
      <c r="C118" s="121" t="str">
        <f>TEXT(EDATE($A$2,-12),"mmm")&amp;".-"&amp;TEXT(EDATE($A$2,-12),"aa")</f>
        <v>dic.-22</v>
      </c>
      <c r="D118" s="121" t="str">
        <f>TEXT(EDATE($A$2,-11),"mmm")&amp;".-"&amp;TEXT(EDATE($A$2,-11),"aa")</f>
        <v>ene.-23</v>
      </c>
      <c r="E118" s="121" t="str">
        <f>TEXT(EDATE($A$2,-10),"mmm")&amp;".-"&amp;TEXT(EDATE($A$2,-10),"aa")</f>
        <v>feb.-23</v>
      </c>
      <c r="F118" s="121" t="str">
        <f>TEXT(EDATE($A$2,-9),"mmm")&amp;".-"&amp;TEXT(EDATE($A$2,-9),"aa")</f>
        <v>mar.-23</v>
      </c>
      <c r="G118" s="121" t="str">
        <f>TEXT(EDATE($A$2,-8),"mmm")&amp;".-"&amp;TEXT(EDATE($A$2,-8),"aa")</f>
        <v>abr.-23</v>
      </c>
      <c r="H118" s="121" t="str">
        <f>TEXT(EDATE($A$2,-7),"mmm")&amp;".-"&amp;TEXT(EDATE($A$2,-7),"aa")</f>
        <v>may.-23</v>
      </c>
      <c r="I118" s="121" t="str">
        <f>TEXT(EDATE($A$2,-6),"mmm")&amp;".-"&amp;TEXT(EDATE($A$2,-6),"aa")</f>
        <v>jun.-23</v>
      </c>
      <c r="J118" s="121" t="str">
        <f>TEXT(EDATE($A$2,-5),"mmm")&amp;".-"&amp;TEXT(EDATE($A$2,-5),"aa")</f>
        <v>jul.-23</v>
      </c>
      <c r="K118" s="121" t="str">
        <f>TEXT(EDATE($A$2,-4),"mmm")&amp;".-"&amp;TEXT(EDATE($A$2,-4),"aa")</f>
        <v>ago.-23</v>
      </c>
      <c r="L118" s="121" t="str">
        <f>TEXT(EDATE($A$2,-3),"mmm")&amp;".-"&amp;TEXT(EDATE($A$2,-3),"aa")</f>
        <v>sep.-23</v>
      </c>
      <c r="M118" s="121" t="str">
        <f>TEXT(EDATE($A$2,-2),"mmm")&amp;".-"&amp;TEXT(EDATE($A$2,-2),"aa")</f>
        <v>oct.-23</v>
      </c>
      <c r="N118" s="121" t="str">
        <f>TEXT(EDATE($A$2,-1),"mmm")&amp;".-"&amp;TEXT(EDATE($A$2,-1),"aa")</f>
        <v>nov.-23</v>
      </c>
      <c r="O118" s="143" t="str">
        <f>TEXT($A$2,"mmm")&amp;".-"&amp;TEXT($A$2,"aa")</f>
        <v>dic.-23</v>
      </c>
    </row>
    <row r="119" spans="1:26">
      <c r="A119" s="205" t="s">
        <v>76</v>
      </c>
      <c r="B119" s="122" t="s">
        <v>11</v>
      </c>
      <c r="C119" s="123">
        <f>HLOOKUP(C$117,$86:$101,3,FALSE)</f>
        <v>-0.62679200000000002</v>
      </c>
      <c r="D119" s="123">
        <f t="shared" ref="D119:N119" si="7">HLOOKUP(D$117,$86:$101,3,FALSE)</f>
        <v>-0.72771799999999998</v>
      </c>
      <c r="E119" s="123">
        <f t="shared" si="7"/>
        <v>-0.70697299999999996</v>
      </c>
      <c r="F119" s="123">
        <f t="shared" si="7"/>
        <v>-0.51834000000000002</v>
      </c>
      <c r="G119" s="123">
        <f t="shared" si="7"/>
        <v>-0.60865999999999998</v>
      </c>
      <c r="H119" s="123">
        <f t="shared" si="7"/>
        <v>-0.83296899999999996</v>
      </c>
      <c r="I119" s="123">
        <f t="shared" si="7"/>
        <v>3.1799559999999998</v>
      </c>
      <c r="J119" s="123">
        <f t="shared" si="7"/>
        <v>54.925434000000003</v>
      </c>
      <c r="K119" s="123">
        <f t="shared" si="7"/>
        <v>9.0232189999999992</v>
      </c>
      <c r="L119" s="123">
        <f t="shared" si="7"/>
        <v>-0.82337800000000005</v>
      </c>
      <c r="M119" s="123">
        <f t="shared" si="7"/>
        <v>-0.82724900000000001</v>
      </c>
      <c r="N119" s="123">
        <f t="shared" si="7"/>
        <v>-0.89542500000000003</v>
      </c>
      <c r="O119" s="124">
        <f>HLOOKUP(O$117,$86:$101,3,FALSE)</f>
        <v>-0.69586499999999996</v>
      </c>
    </row>
    <row r="120" spans="1:26">
      <c r="A120" s="206"/>
      <c r="B120" s="105" t="s">
        <v>10</v>
      </c>
      <c r="C120" s="107">
        <f>HLOOKUP(C$117,$86:$101,4,FALSE)</f>
        <v>2.2104400000000002</v>
      </c>
      <c r="D120" s="107">
        <f t="shared" ref="D120:O120" si="8">HLOOKUP(D$117,$86:$101,4,FALSE)</f>
        <v>5.0179289999999996</v>
      </c>
      <c r="E120" s="107">
        <f t="shared" si="8"/>
        <v>15.008727</v>
      </c>
      <c r="F120" s="107">
        <f t="shared" si="8"/>
        <v>6.2192920000000003</v>
      </c>
      <c r="G120" s="107">
        <f t="shared" si="8"/>
        <v>7.134449</v>
      </c>
      <c r="H120" s="107">
        <f t="shared" si="8"/>
        <v>12.70701</v>
      </c>
      <c r="I120" s="107">
        <f t="shared" si="8"/>
        <v>20.755147999999998</v>
      </c>
      <c r="J120" s="107">
        <f t="shared" si="8"/>
        <v>57.618448999999998</v>
      </c>
      <c r="K120" s="107">
        <f t="shared" si="8"/>
        <v>64.924531000000002</v>
      </c>
      <c r="L120" s="107">
        <f t="shared" si="8"/>
        <v>32.782569000000002</v>
      </c>
      <c r="M120" s="107">
        <f t="shared" si="8"/>
        <v>16.979832999999999</v>
      </c>
      <c r="N120" s="107">
        <f t="shared" si="8"/>
        <v>5.9974980000000002</v>
      </c>
      <c r="O120" s="124">
        <f t="shared" si="8"/>
        <v>5.6586610000000004</v>
      </c>
    </row>
    <row r="121" spans="1:26">
      <c r="A121" s="206"/>
      <c r="B121" s="105" t="s">
        <v>9</v>
      </c>
      <c r="C121" s="107">
        <f>HLOOKUP(C$117,$86:$101,5,FALSE)</f>
        <v>26.769898999999999</v>
      </c>
      <c r="D121" s="107">
        <f t="shared" ref="D121:O121" si="9">HLOOKUP(D$117,$86:$101,5,FALSE)</f>
        <v>49.385100000000001</v>
      </c>
      <c r="E121" s="107">
        <f t="shared" si="9"/>
        <v>32.328426999999998</v>
      </c>
      <c r="F121" s="107">
        <f t="shared" si="9"/>
        <v>34.532919999999997</v>
      </c>
      <c r="G121" s="107">
        <f t="shared" si="9"/>
        <v>29.44258</v>
      </c>
      <c r="H121" s="107">
        <f t="shared" si="9"/>
        <v>35.218071999999999</v>
      </c>
      <c r="I121" s="107">
        <f t="shared" si="9"/>
        <v>56.449230999999997</v>
      </c>
      <c r="J121" s="107">
        <f t="shared" si="9"/>
        <v>67.064257999999995</v>
      </c>
      <c r="K121" s="107">
        <f t="shared" si="9"/>
        <v>53.415241999999999</v>
      </c>
      <c r="L121" s="107">
        <f t="shared" si="9"/>
        <v>49.271726999999998</v>
      </c>
      <c r="M121" s="107">
        <f t="shared" si="9"/>
        <v>44.274278000000002</v>
      </c>
      <c r="N121" s="107">
        <f t="shared" si="9"/>
        <v>24.187601999999998</v>
      </c>
      <c r="O121" s="124">
        <f t="shared" si="9"/>
        <v>22.604486999999999</v>
      </c>
    </row>
    <row r="122" spans="1:26" ht="14.25">
      <c r="A122" s="206"/>
      <c r="B122" s="105" t="s">
        <v>74</v>
      </c>
      <c r="C122" s="107">
        <f>HLOOKUP(C$117,$86:$101,6,FALSE)</f>
        <v>251.18496099999999</v>
      </c>
      <c r="D122" s="107">
        <f t="shared" ref="D122:O122" si="10">HLOOKUP(D$117,$86:$101,6,FALSE)</f>
        <v>236.33414099999999</v>
      </c>
      <c r="E122" s="107">
        <f t="shared" si="10"/>
        <v>250.50749099999999</v>
      </c>
      <c r="F122" s="107">
        <f t="shared" si="10"/>
        <v>233.28242</v>
      </c>
      <c r="G122" s="107">
        <f t="shared" si="10"/>
        <v>207.738203</v>
      </c>
      <c r="H122" s="107">
        <f t="shared" si="10"/>
        <v>231.47546199999999</v>
      </c>
      <c r="I122" s="107">
        <f t="shared" si="10"/>
        <v>269.55010299999998</v>
      </c>
      <c r="J122" s="107">
        <f t="shared" si="10"/>
        <v>316.35504600000002</v>
      </c>
      <c r="K122" s="107">
        <f t="shared" si="10"/>
        <v>324.37696499999998</v>
      </c>
      <c r="L122" s="107">
        <f t="shared" si="10"/>
        <v>296.32292799999999</v>
      </c>
      <c r="M122" s="107">
        <f t="shared" si="10"/>
        <v>247.112684</v>
      </c>
      <c r="N122" s="107">
        <f t="shared" si="10"/>
        <v>224.26124200000001</v>
      </c>
      <c r="O122" s="124">
        <f t="shared" si="10"/>
        <v>233.91494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0.100989</v>
      </c>
      <c r="D124" s="107">
        <f t="shared" ref="D124:O124" si="12">HLOOKUP(D$117,$86:$102,8,FALSE)</f>
        <v>0.21573000000000001</v>
      </c>
      <c r="E124" s="107">
        <f t="shared" si="12"/>
        <v>0.18323999999999999</v>
      </c>
      <c r="F124" s="107">
        <f t="shared" si="12"/>
        <v>0.20035</v>
      </c>
      <c r="G124" s="107">
        <f t="shared" si="12"/>
        <v>0.12734500000000001</v>
      </c>
      <c r="H124" s="107">
        <f t="shared" si="12"/>
        <v>0.24965100000000001</v>
      </c>
      <c r="I124" s="107">
        <f t="shared" si="12"/>
        <v>5.6180000000000001E-2</v>
      </c>
      <c r="J124" s="107">
        <f t="shared" si="12"/>
        <v>0.118565</v>
      </c>
      <c r="K124" s="107">
        <f t="shared" si="12"/>
        <v>9.7920999999999994E-2</v>
      </c>
      <c r="L124" s="107">
        <f t="shared" si="12"/>
        <v>0</v>
      </c>
      <c r="M124" s="107">
        <f t="shared" si="12"/>
        <v>1.0359999999999999E-2</v>
      </c>
      <c r="N124" s="107">
        <f t="shared" si="12"/>
        <v>8.7279999999999996E-3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15.536158</v>
      </c>
      <c r="D125" s="107">
        <f t="shared" ref="D125:O125" si="13">HLOOKUP(D$117,$86:$102,9,FALSE)</f>
        <v>18.539918</v>
      </c>
      <c r="E125" s="107">
        <f t="shared" si="13"/>
        <v>22.493357</v>
      </c>
      <c r="F125" s="107">
        <f t="shared" si="13"/>
        <v>35.774521</v>
      </c>
      <c r="G125" s="107">
        <f t="shared" si="13"/>
        <v>38.851148000000002</v>
      </c>
      <c r="H125" s="107">
        <f t="shared" si="13"/>
        <v>34.004562</v>
      </c>
      <c r="I125" s="107">
        <f t="shared" si="13"/>
        <v>36.423403999999998</v>
      </c>
      <c r="J125" s="107">
        <f t="shared" si="13"/>
        <v>41.343387999999997</v>
      </c>
      <c r="K125" s="107">
        <f t="shared" si="13"/>
        <v>44.372684</v>
      </c>
      <c r="L125" s="107">
        <f t="shared" si="13"/>
        <v>34.510787000000001</v>
      </c>
      <c r="M125" s="107">
        <f t="shared" si="13"/>
        <v>32.549160999999998</v>
      </c>
      <c r="N125" s="107">
        <f t="shared" si="13"/>
        <v>23.299289000000002</v>
      </c>
      <c r="O125" s="124">
        <f t="shared" si="13"/>
        <v>21.722788999999999</v>
      </c>
    </row>
    <row r="126" spans="1:26">
      <c r="A126" s="206"/>
      <c r="B126" s="113" t="s">
        <v>22</v>
      </c>
      <c r="C126" s="107">
        <f>HLOOKUP(C$117,$86:$102,10,FALSE)</f>
        <v>7.7099000000000001E-2</v>
      </c>
      <c r="D126" s="107">
        <f t="shared" ref="D126:O126" si="14">HLOOKUP(D$117,$86:$102,10,FALSE)</f>
        <v>9.3608999999999998E-2</v>
      </c>
      <c r="E126" s="107">
        <f t="shared" si="14"/>
        <v>0.13599800000000001</v>
      </c>
      <c r="F126" s="107">
        <f t="shared" si="14"/>
        <v>0.11230800000000001</v>
      </c>
      <c r="G126" s="107">
        <f t="shared" si="14"/>
        <v>7.399E-2</v>
      </c>
      <c r="H126" s="107">
        <f t="shared" si="14"/>
        <v>9.0162999999999993E-2</v>
      </c>
      <c r="I126" s="107">
        <f t="shared" si="14"/>
        <v>8.4139000000000005E-2</v>
      </c>
      <c r="J126" s="107">
        <f t="shared" si="14"/>
        <v>3.7238E-2</v>
      </c>
      <c r="K126" s="107">
        <f t="shared" si="14"/>
        <v>2.6629E-2</v>
      </c>
      <c r="L126" s="107">
        <f t="shared" si="14"/>
        <v>3.1858999999999998E-2</v>
      </c>
      <c r="M126" s="107">
        <f t="shared" si="14"/>
        <v>3.9587999999999998E-2</v>
      </c>
      <c r="N126" s="107">
        <f t="shared" si="14"/>
        <v>7.2841000000000003E-2</v>
      </c>
      <c r="O126" s="124">
        <f t="shared" si="14"/>
        <v>0.10538400000000001</v>
      </c>
    </row>
    <row r="127" spans="1:26">
      <c r="A127" s="206"/>
      <c r="B127" s="113" t="s">
        <v>23</v>
      </c>
      <c r="C127" s="107">
        <f>HLOOKUP(C$117,$86:$102,11,FALSE)</f>
        <v>2.9406370000000002</v>
      </c>
      <c r="D127" s="107">
        <f t="shared" ref="D127:O127" si="15">HLOOKUP(D$117,$86:$102,11,FALSE)</f>
        <v>3.048152</v>
      </c>
      <c r="E127" s="107">
        <f t="shared" si="15"/>
        <v>3.0015830000000001</v>
      </c>
      <c r="F127" s="107">
        <f t="shared" si="15"/>
        <v>3.577315</v>
      </c>
      <c r="G127" s="107">
        <f t="shared" si="15"/>
        <v>3.6179220000000001</v>
      </c>
      <c r="H127" s="107">
        <f t="shared" si="15"/>
        <v>3.5173019999999999</v>
      </c>
      <c r="I127" s="107">
        <f t="shared" si="15"/>
        <v>3.783118</v>
      </c>
      <c r="J127" s="107">
        <f t="shared" si="15"/>
        <v>3.2446030000000001</v>
      </c>
      <c r="K127" s="107">
        <f t="shared" si="15"/>
        <v>3.7400570000000002</v>
      </c>
      <c r="L127" s="107">
        <f t="shared" si="15"/>
        <v>3.104663</v>
      </c>
      <c r="M127" s="107">
        <f t="shared" si="15"/>
        <v>1.7294940000000001</v>
      </c>
      <c r="N127" s="107">
        <f t="shared" si="15"/>
        <v>3.4617429999999998</v>
      </c>
      <c r="O127" s="124">
        <f t="shared" si="15"/>
        <v>3.8431730000000002</v>
      </c>
    </row>
    <row r="128" spans="1:26">
      <c r="A128" s="206"/>
      <c r="B128" s="105" t="s">
        <v>55</v>
      </c>
      <c r="C128" s="107">
        <f t="shared" ref="C128:O128" si="16">HLOOKUP(C$117,$86:$102,13,FALSE)</f>
        <v>10.4136255</v>
      </c>
      <c r="D128" s="107">
        <f t="shared" si="16"/>
        <v>7.3618245</v>
      </c>
      <c r="E128" s="107">
        <f t="shared" si="16"/>
        <v>9.8298860000000001</v>
      </c>
      <c r="F128" s="107">
        <f t="shared" si="16"/>
        <v>9.6378819999999994</v>
      </c>
      <c r="G128" s="107">
        <f t="shared" si="16"/>
        <v>10.65733</v>
      </c>
      <c r="H128" s="107">
        <f t="shared" si="16"/>
        <v>12.228600500000001</v>
      </c>
      <c r="I128" s="107">
        <f t="shared" si="16"/>
        <v>15.5976535</v>
      </c>
      <c r="J128" s="107">
        <f t="shared" si="16"/>
        <v>12.5411815</v>
      </c>
      <c r="K128" s="107">
        <f t="shared" si="16"/>
        <v>14.683114</v>
      </c>
      <c r="L128" s="107">
        <f t="shared" si="16"/>
        <v>9.9340825000000006</v>
      </c>
      <c r="M128" s="107">
        <f t="shared" si="16"/>
        <v>10.860910000000001</v>
      </c>
      <c r="N128" s="107">
        <f t="shared" si="16"/>
        <v>10.810193999999999</v>
      </c>
      <c r="O128" s="124">
        <f t="shared" si="16"/>
        <v>8.9918355000000005</v>
      </c>
    </row>
    <row r="129" spans="1:15">
      <c r="A129" s="206"/>
      <c r="B129" s="105" t="s">
        <v>54</v>
      </c>
      <c r="C129" s="107">
        <f>HLOOKUP(C$117,$86:$102,12,FALSE)</f>
        <v>10.4136255</v>
      </c>
      <c r="D129" s="107">
        <f t="shared" ref="D129:O129" si="17">HLOOKUP(D$117,$86:$102,12,FALSE)</f>
        <v>7.3618245</v>
      </c>
      <c r="E129" s="107">
        <f t="shared" si="17"/>
        <v>9.8298860000000001</v>
      </c>
      <c r="F129" s="107">
        <f t="shared" si="17"/>
        <v>9.6378819999999994</v>
      </c>
      <c r="G129" s="107">
        <f t="shared" si="17"/>
        <v>10.65733</v>
      </c>
      <c r="H129" s="107">
        <f t="shared" si="17"/>
        <v>12.228600500000001</v>
      </c>
      <c r="I129" s="107">
        <f t="shared" si="17"/>
        <v>15.5976535</v>
      </c>
      <c r="J129" s="107">
        <f t="shared" si="17"/>
        <v>12.5411815</v>
      </c>
      <c r="K129" s="107">
        <f t="shared" si="17"/>
        <v>14.683114</v>
      </c>
      <c r="L129" s="107">
        <f t="shared" si="17"/>
        <v>9.9340825000000006</v>
      </c>
      <c r="M129" s="107">
        <f t="shared" si="17"/>
        <v>10.860910000000001</v>
      </c>
      <c r="N129" s="107">
        <f t="shared" si="17"/>
        <v>10.810193999999999</v>
      </c>
      <c r="O129" s="124">
        <f t="shared" si="17"/>
        <v>8.9918355000000005</v>
      </c>
    </row>
    <row r="130" spans="1:15">
      <c r="A130" s="206"/>
      <c r="B130" s="114" t="s">
        <v>2</v>
      </c>
      <c r="C130" s="115">
        <f>HLOOKUP(C$117,$86:$102,14,FALSE)</f>
        <v>319.02064200000001</v>
      </c>
      <c r="D130" s="115">
        <f t="shared" ref="D130:O130" si="18">HLOOKUP(D$117,$86:$102,14,FALSE)</f>
        <v>326.63051000000002</v>
      </c>
      <c r="E130" s="115">
        <f t="shared" si="18"/>
        <v>342.61162200000001</v>
      </c>
      <c r="F130" s="115">
        <f t="shared" si="18"/>
        <v>332.45654999999999</v>
      </c>
      <c r="G130" s="115">
        <f t="shared" si="18"/>
        <v>307.69163700000001</v>
      </c>
      <c r="H130" s="115">
        <f t="shared" si="18"/>
        <v>340.88645400000001</v>
      </c>
      <c r="I130" s="115">
        <f t="shared" si="18"/>
        <v>421.476586</v>
      </c>
      <c r="J130" s="115">
        <f t="shared" si="18"/>
        <v>565.78934400000003</v>
      </c>
      <c r="K130" s="115">
        <f t="shared" si="18"/>
        <v>529.34347600000001</v>
      </c>
      <c r="L130" s="115">
        <f t="shared" si="18"/>
        <v>435.06932</v>
      </c>
      <c r="M130" s="115">
        <f t="shared" si="18"/>
        <v>363.589969</v>
      </c>
      <c r="N130" s="115">
        <f t="shared" si="18"/>
        <v>302.01390600000002</v>
      </c>
      <c r="O130" s="125">
        <f t="shared" si="18"/>
        <v>305.13724000000002</v>
      </c>
    </row>
    <row r="131" spans="1:15">
      <c r="A131" s="206"/>
      <c r="B131" s="105" t="s">
        <v>21</v>
      </c>
      <c r="C131" s="116">
        <f>HLOOKUP(C$117,$86:$102,15,FALSE)</f>
        <v>79.778822000000005</v>
      </c>
      <c r="D131" s="116">
        <f t="shared" ref="D131:O131" si="19">HLOOKUP(D$117,$86:$102,15,FALSE)</f>
        <v>123.950131</v>
      </c>
      <c r="E131" s="116">
        <f t="shared" si="19"/>
        <v>89.734262000000001</v>
      </c>
      <c r="F131" s="116">
        <f t="shared" si="19"/>
        <v>82.194308000000007</v>
      </c>
      <c r="G131" s="116">
        <f t="shared" si="19"/>
        <v>98.033413999999993</v>
      </c>
      <c r="H131" s="116">
        <f t="shared" si="19"/>
        <v>118.762416</v>
      </c>
      <c r="I131" s="116">
        <f t="shared" si="19"/>
        <v>124.350134</v>
      </c>
      <c r="J131" s="116">
        <f t="shared" si="19"/>
        <v>168.54782399999999</v>
      </c>
      <c r="K131" s="116">
        <f t="shared" si="19"/>
        <v>175.00929099999999</v>
      </c>
      <c r="L131" s="116">
        <f t="shared" si="19"/>
        <v>130.854702</v>
      </c>
      <c r="M131" s="116">
        <f t="shared" si="19"/>
        <v>131.44748999999999</v>
      </c>
      <c r="N131" s="116">
        <f t="shared" si="19"/>
        <v>70.767787999999996</v>
      </c>
      <c r="O131" s="116">
        <f t="shared" si="19"/>
        <v>112.440268</v>
      </c>
    </row>
    <row r="132" spans="1:15">
      <c r="A132" s="206"/>
      <c r="B132" s="117" t="s">
        <v>1</v>
      </c>
      <c r="C132" s="118">
        <f>HLOOKUP(C$117,$86:$102,16,FALSE)</f>
        <v>398.799464</v>
      </c>
      <c r="D132" s="118">
        <f t="shared" ref="D132:O132" si="20">HLOOKUP(D$117,$86:$102,16,FALSE)</f>
        <v>450.58064100000001</v>
      </c>
      <c r="E132" s="118">
        <f t="shared" si="20"/>
        <v>432.34588400000001</v>
      </c>
      <c r="F132" s="118">
        <f t="shared" si="20"/>
        <v>414.65085800000003</v>
      </c>
      <c r="G132" s="118">
        <f t="shared" si="20"/>
        <v>405.72505100000001</v>
      </c>
      <c r="H132" s="118">
        <f t="shared" si="20"/>
        <v>459.64886999999999</v>
      </c>
      <c r="I132" s="118">
        <f t="shared" si="20"/>
        <v>545.82672000000002</v>
      </c>
      <c r="J132" s="118">
        <f t="shared" si="20"/>
        <v>734.33716800000002</v>
      </c>
      <c r="K132" s="118">
        <f t="shared" si="20"/>
        <v>704.35276699999997</v>
      </c>
      <c r="L132" s="118">
        <f t="shared" si="20"/>
        <v>565.92402200000004</v>
      </c>
      <c r="M132" s="118">
        <f t="shared" si="20"/>
        <v>495.03745900000001</v>
      </c>
      <c r="N132" s="118">
        <f t="shared" si="20"/>
        <v>372.78169400000002</v>
      </c>
      <c r="O132" s="118">
        <f t="shared" si="20"/>
        <v>417.57750800000002</v>
      </c>
    </row>
    <row r="133" spans="1:15" ht="14.25">
      <c r="A133" s="207"/>
      <c r="B133" s="126" t="s">
        <v>75</v>
      </c>
      <c r="C133" s="127">
        <f>C120+C121+C123</f>
        <v>28.980339000000001</v>
      </c>
      <c r="D133" s="127">
        <f>D120+D121+D123</f>
        <v>54.403029000000004</v>
      </c>
      <c r="E133" s="127">
        <f t="shared" ref="E133:O133" si="21">E120+E121+E123</f>
        <v>47.337153999999998</v>
      </c>
      <c r="F133" s="127">
        <f t="shared" si="21"/>
        <v>40.752212</v>
      </c>
      <c r="G133" s="127">
        <f t="shared" si="21"/>
        <v>36.577028999999996</v>
      </c>
      <c r="H133" s="127">
        <f t="shared" si="21"/>
        <v>47.925082000000003</v>
      </c>
      <c r="I133" s="127">
        <f t="shared" si="21"/>
        <v>77.204378999999989</v>
      </c>
      <c r="J133" s="127">
        <f t="shared" si="21"/>
        <v>124.68270699999999</v>
      </c>
      <c r="K133" s="127">
        <f t="shared" si="21"/>
        <v>118.33977300000001</v>
      </c>
      <c r="L133" s="127">
        <f t="shared" si="21"/>
        <v>82.054295999999994</v>
      </c>
      <c r="M133" s="127">
        <f t="shared" si="21"/>
        <v>61.254111000000002</v>
      </c>
      <c r="N133" s="127">
        <f t="shared" si="21"/>
        <v>30.185099999999998</v>
      </c>
      <c r="O133" s="127">
        <f t="shared" si="21"/>
        <v>28.263148000000001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dic.-22</v>
      </c>
      <c r="D134" s="111" t="str">
        <f>TEXT(EDATE($A$2,-11),"mmm")&amp;".-"&amp;TEXT(EDATE($A$2,-11),"aa")</f>
        <v>ene.-23</v>
      </c>
      <c r="E134" s="111" t="str">
        <f>TEXT(EDATE($A$2,-10),"mmm")&amp;".-"&amp;TEXT(EDATE($A$2,-10),"aa")</f>
        <v>feb.-23</v>
      </c>
      <c r="F134" s="111" t="str">
        <f>TEXT(EDATE($A$2,-9),"mmm")&amp;".-"&amp;TEXT(EDATE($A$2,-9),"aa")</f>
        <v>mar.-23</v>
      </c>
      <c r="G134" s="111" t="str">
        <f>TEXT(EDATE($A$2,-8),"mmm")&amp;".-"&amp;TEXT(EDATE($A$2,-8),"aa")</f>
        <v>abr.-23</v>
      </c>
      <c r="H134" s="111" t="str">
        <f>TEXT(EDATE($A$2,-7),"mmm")&amp;".-"&amp;TEXT(EDATE($A$2,-7),"aa")</f>
        <v>may.-23</v>
      </c>
      <c r="I134" s="111" t="str">
        <f>TEXT(EDATE($A$2,-6),"mmm")&amp;".-"&amp;TEXT(EDATE($A$2,-6),"aa")</f>
        <v>jun.-23</v>
      </c>
      <c r="J134" s="111" t="str">
        <f>TEXT(EDATE($A$2,-5),"mmm")&amp;".-"&amp;TEXT(EDATE($A$2,-5),"aa")</f>
        <v>jul.-23</v>
      </c>
      <c r="K134" s="111" t="str">
        <f>TEXT(EDATE($A$2,-4),"mmm")&amp;".-"&amp;TEXT(EDATE($A$2,-4),"aa")</f>
        <v>ago.-23</v>
      </c>
      <c r="L134" s="111" t="str">
        <f>TEXT(EDATE($A$2,-3),"mmm")&amp;".-"&amp;TEXT(EDATE($A$2,-3),"aa")</f>
        <v>sep.-23</v>
      </c>
      <c r="M134" s="111" t="str">
        <f>TEXT(EDATE($A$2,-2),"mmm")&amp;".-"&amp;TEXT(EDATE($A$2,-2),"aa")</f>
        <v>oct.-23</v>
      </c>
      <c r="N134" s="111" t="str">
        <f>TEXT(EDATE($A$2,-1),"mmm")&amp;".-"&amp;TEXT(EDATE($A$2,-1),"aa")</f>
        <v>nov.-23</v>
      </c>
      <c r="O134" s="112" t="str">
        <f>TEXT($A$2,"mmm")&amp;".-"&amp;TEXT($A$2,"aa")</f>
        <v>dic.-23</v>
      </c>
    </row>
    <row r="135" spans="1:15" ht="15" customHeight="1">
      <c r="A135" s="206"/>
      <c r="B135" s="105" t="s">
        <v>12</v>
      </c>
      <c r="C135" s="107">
        <f>HLOOKUP(C$117,$86:$115,17,FALSE)</f>
        <v>0.28856799999999999</v>
      </c>
      <c r="D135" s="107">
        <f t="shared" ref="D135:N135" si="22">HLOOKUP(D$117,$86:$115,17,FALSE)</f>
        <v>0.27497500000000002</v>
      </c>
      <c r="E135" s="107">
        <f t="shared" si="22"/>
        <v>0.25442500000000001</v>
      </c>
      <c r="F135" s="107">
        <f t="shared" si="22"/>
        <v>0.28212599999999999</v>
      </c>
      <c r="G135" s="107">
        <f t="shared" si="22"/>
        <v>0.27610800000000002</v>
      </c>
      <c r="H135" s="107">
        <f t="shared" si="22"/>
        <v>0.29790899999999998</v>
      </c>
      <c r="I135" s="107">
        <f t="shared" si="22"/>
        <v>0.28383700000000001</v>
      </c>
      <c r="J135" s="107">
        <f t="shared" si="22"/>
        <v>0.30198999999999998</v>
      </c>
      <c r="K135" s="107">
        <f t="shared" si="22"/>
        <v>0.28963</v>
      </c>
      <c r="L135" s="107">
        <f t="shared" si="22"/>
        <v>0.28927700000000001</v>
      </c>
      <c r="M135" s="107">
        <f t="shared" si="22"/>
        <v>0.30293500000000001</v>
      </c>
      <c r="N135" s="107">
        <f t="shared" si="22"/>
        <v>0.28046900000000002</v>
      </c>
      <c r="O135" s="144">
        <f>HLOOKUP(O$117,$86:$115,17,FALSE)</f>
        <v>0.30561100000000002</v>
      </c>
    </row>
    <row r="136" spans="1:15">
      <c r="A136" s="206"/>
      <c r="B136" s="105" t="s">
        <v>10</v>
      </c>
      <c r="C136" s="107">
        <f>HLOOKUP(C$117,$86:$115,18,FALSE)+HLOOKUP(C$117,$86:$115,22,FALSE)</f>
        <v>168.09939200000002</v>
      </c>
      <c r="D136" s="107">
        <f>HLOOKUP(D$117,$86:$115,18,FALSE)+HLOOKUP(D$117,$86:$115,22,FALSE)</f>
        <v>149.65270200000001</v>
      </c>
      <c r="E136" s="107">
        <f t="shared" ref="E136:N136" si="23">HLOOKUP(E$117,$86:$115,18,FALSE)+HLOOKUP(E$117,$86:$115,22,FALSE)</f>
        <v>151.16905</v>
      </c>
      <c r="F136" s="107">
        <f t="shared" si="23"/>
        <v>141.34883499999998</v>
      </c>
      <c r="G136" s="107">
        <f t="shared" si="23"/>
        <v>149.84285</v>
      </c>
      <c r="H136" s="107">
        <f t="shared" si="23"/>
        <v>152.65936299999998</v>
      </c>
      <c r="I136" s="107">
        <f t="shared" si="23"/>
        <v>159.42586699999998</v>
      </c>
      <c r="J136" s="107">
        <f t="shared" si="23"/>
        <v>147.371253</v>
      </c>
      <c r="K136" s="107">
        <f t="shared" si="23"/>
        <v>158.13818499999999</v>
      </c>
      <c r="L136" s="107">
        <f t="shared" si="23"/>
        <v>154.76962499999999</v>
      </c>
      <c r="M136" s="107">
        <f t="shared" si="23"/>
        <v>179.46748099999999</v>
      </c>
      <c r="N136" s="107">
        <f t="shared" si="23"/>
        <v>168.212242</v>
      </c>
      <c r="O136" s="124">
        <f>HLOOKUP(O$117,$86:$115,18,FALSE)+HLOOKUP(O$117,$86:$115,22,FALSE)</f>
        <v>171.03556599999999</v>
      </c>
    </row>
    <row r="137" spans="1:15">
      <c r="A137" s="206"/>
      <c r="B137" s="105" t="s">
        <v>9</v>
      </c>
      <c r="C137" s="107">
        <f>HLOOKUP(C$117,$86:$115,19,FALSE)</f>
        <v>22.080762</v>
      </c>
      <c r="D137" s="107">
        <f t="shared" ref="D137:O137" si="24">HLOOKUP(D$117,$86:$115,19,FALSE)</f>
        <v>14.760491</v>
      </c>
      <c r="E137" s="107">
        <f t="shared" si="24"/>
        <v>26.990496</v>
      </c>
      <c r="F137" s="107">
        <f t="shared" si="24"/>
        <v>16.813075000000001</v>
      </c>
      <c r="G137" s="107">
        <f t="shared" si="24"/>
        <v>21.092299000000001</v>
      </c>
      <c r="H137" s="107">
        <f t="shared" si="24"/>
        <v>23.467611000000002</v>
      </c>
      <c r="I137" s="107">
        <f t="shared" si="24"/>
        <v>20.997603000000002</v>
      </c>
      <c r="J137" s="107">
        <f t="shared" si="24"/>
        <v>15.379733999999999</v>
      </c>
      <c r="K137" s="107">
        <f t="shared" si="24"/>
        <v>16.795183000000002</v>
      </c>
      <c r="L137" s="107">
        <f t="shared" si="24"/>
        <v>18.188441000000001</v>
      </c>
      <c r="M137" s="107">
        <f t="shared" si="24"/>
        <v>30.707764999999998</v>
      </c>
      <c r="N137" s="107">
        <f t="shared" si="24"/>
        <v>24.331886999999998</v>
      </c>
      <c r="O137" s="124">
        <f t="shared" si="24"/>
        <v>26.447642999999999</v>
      </c>
    </row>
    <row r="138" spans="1:15">
      <c r="A138" s="206"/>
      <c r="B138" s="105" t="s">
        <v>8</v>
      </c>
      <c r="C138" s="107">
        <f>HLOOKUP(C$117,$86:$115,20,FALSE)</f>
        <v>122.69665500000001</v>
      </c>
      <c r="D138" s="107">
        <f t="shared" ref="D138:O138" si="25">HLOOKUP(D$117,$86:$115,20,FALSE)</f>
        <v>118.030389</v>
      </c>
      <c r="E138" s="107">
        <f t="shared" si="25"/>
        <v>118.052049</v>
      </c>
      <c r="F138" s="107">
        <f t="shared" si="25"/>
        <v>103.679242</v>
      </c>
      <c r="G138" s="107">
        <f t="shared" si="25"/>
        <v>89.164951000000002</v>
      </c>
      <c r="H138" s="107">
        <f t="shared" si="25"/>
        <v>84.880949000000001</v>
      </c>
      <c r="I138" s="107">
        <f t="shared" si="25"/>
        <v>84.905440999999996</v>
      </c>
      <c r="J138" s="107">
        <f t="shared" si="25"/>
        <v>101.065799</v>
      </c>
      <c r="K138" s="107">
        <f t="shared" si="25"/>
        <v>105.31614999999999</v>
      </c>
      <c r="L138" s="107">
        <f t="shared" si="25"/>
        <v>105.510948</v>
      </c>
      <c r="M138" s="107">
        <f t="shared" si="25"/>
        <v>119.677701</v>
      </c>
      <c r="N138" s="107">
        <f t="shared" si="25"/>
        <v>90.916317000000006</v>
      </c>
      <c r="O138" s="124">
        <f t="shared" si="25"/>
        <v>96.450059999999993</v>
      </c>
    </row>
    <row r="139" spans="1:15" ht="14.25">
      <c r="A139" s="206"/>
      <c r="B139" s="105" t="s">
        <v>74</v>
      </c>
      <c r="C139" s="107">
        <f>HLOOKUP(C$117,$86:$115,21,FALSE)</f>
        <v>347.66188299999999</v>
      </c>
      <c r="D139" s="107">
        <f t="shared" ref="D139:O139" si="26">HLOOKUP(D$117,$86:$115,21,FALSE)</f>
        <v>279.418815</v>
      </c>
      <c r="E139" s="107">
        <f t="shared" si="26"/>
        <v>289.33312999999998</v>
      </c>
      <c r="F139" s="107">
        <f t="shared" si="26"/>
        <v>284.83144399999998</v>
      </c>
      <c r="G139" s="107">
        <f t="shared" si="26"/>
        <v>279.54366599999997</v>
      </c>
      <c r="H139" s="107">
        <f t="shared" si="26"/>
        <v>275.34098399999999</v>
      </c>
      <c r="I139" s="107">
        <f t="shared" si="26"/>
        <v>351.45923099999999</v>
      </c>
      <c r="J139" s="107">
        <f t="shared" si="26"/>
        <v>250.52108799999999</v>
      </c>
      <c r="K139" s="107">
        <f t="shared" si="26"/>
        <v>306.93109600000003</v>
      </c>
      <c r="L139" s="107">
        <f t="shared" si="26"/>
        <v>329.65078499999998</v>
      </c>
      <c r="M139" s="107">
        <f t="shared" si="26"/>
        <v>385.37423100000001</v>
      </c>
      <c r="N139" s="107">
        <f t="shared" si="26"/>
        <v>320.60776499999997</v>
      </c>
      <c r="O139" s="124">
        <f t="shared" si="26"/>
        <v>343.70541600000001</v>
      </c>
    </row>
    <row r="140" spans="1:15">
      <c r="A140" s="206"/>
      <c r="B140" s="105" t="s">
        <v>6</v>
      </c>
      <c r="C140" s="107">
        <f>HLOOKUP(C$117,$86:$115,23,FALSE)</f>
        <v>0.36710399999999999</v>
      </c>
      <c r="D140" s="107">
        <f t="shared" ref="D140:O140" si="27">HLOOKUP(D$117,$86:$115,23,FALSE)</f>
        <v>1.6495040000000001</v>
      </c>
      <c r="E140" s="107">
        <f t="shared" si="27"/>
        <v>0.82934099999999999</v>
      </c>
      <c r="F140" s="107">
        <f t="shared" si="27"/>
        <v>1.5724450000000001</v>
      </c>
      <c r="G140" s="107">
        <f t="shared" si="27"/>
        <v>1.573337</v>
      </c>
      <c r="H140" s="107">
        <f t="shared" si="27"/>
        <v>2.0671949999999999</v>
      </c>
      <c r="I140" s="107">
        <f t="shared" si="27"/>
        <v>0.80873799999999996</v>
      </c>
      <c r="J140" s="107">
        <f t="shared" si="27"/>
        <v>2.7590569999999999</v>
      </c>
      <c r="K140" s="107">
        <f t="shared" si="27"/>
        <v>2.6998280000000001</v>
      </c>
      <c r="L140" s="107">
        <f t="shared" si="27"/>
        <v>1.3149919999999999</v>
      </c>
      <c r="M140" s="107">
        <f t="shared" si="27"/>
        <v>0.44324000000000002</v>
      </c>
      <c r="N140" s="107">
        <f t="shared" si="27"/>
        <v>1.0899650000000001</v>
      </c>
      <c r="O140" s="124">
        <f t="shared" si="27"/>
        <v>0.66913</v>
      </c>
    </row>
    <row r="141" spans="1:15">
      <c r="A141" s="206"/>
      <c r="B141" s="105" t="s">
        <v>5</v>
      </c>
      <c r="C141" s="107">
        <f>HLOOKUP(C$117,$86:$115,24,FALSE)</f>
        <v>37.913117999999997</v>
      </c>
      <c r="D141" s="107">
        <f t="shared" ref="D141:O141" si="28">HLOOKUP(D$117,$86:$115,24,FALSE)</f>
        <v>132.72816599999999</v>
      </c>
      <c r="E141" s="107">
        <f t="shared" si="28"/>
        <v>42.67051</v>
      </c>
      <c r="F141" s="107">
        <f t="shared" si="28"/>
        <v>130.23741999999999</v>
      </c>
      <c r="G141" s="107">
        <f t="shared" si="28"/>
        <v>103.685765</v>
      </c>
      <c r="H141" s="107">
        <f t="shared" si="28"/>
        <v>131.84913700000001</v>
      </c>
      <c r="I141" s="107">
        <f t="shared" si="28"/>
        <v>63.874986999999997</v>
      </c>
      <c r="J141" s="107">
        <f t="shared" si="28"/>
        <v>209.60142099999999</v>
      </c>
      <c r="K141" s="107">
        <f t="shared" si="28"/>
        <v>178.40248800000001</v>
      </c>
      <c r="L141" s="107">
        <f t="shared" si="28"/>
        <v>103.232878</v>
      </c>
      <c r="M141" s="107">
        <f t="shared" si="28"/>
        <v>57.758575</v>
      </c>
      <c r="N141" s="107">
        <f t="shared" si="28"/>
        <v>99.872924999999995</v>
      </c>
      <c r="O141" s="124">
        <f t="shared" si="28"/>
        <v>70.816050000000004</v>
      </c>
    </row>
    <row r="142" spans="1:15">
      <c r="A142" s="206"/>
      <c r="B142" s="105" t="s">
        <v>4</v>
      </c>
      <c r="C142" s="107">
        <f>HLOOKUP(C$117,$86:$115,25,FALSE)</f>
        <v>19.060797999999998</v>
      </c>
      <c r="D142" s="107">
        <f t="shared" ref="D142:O142" si="29">HLOOKUP(D$117,$86:$115,25,FALSE)</f>
        <v>22.121485</v>
      </c>
      <c r="E142" s="107">
        <f t="shared" si="29"/>
        <v>20.382895000000001</v>
      </c>
      <c r="F142" s="107">
        <f t="shared" si="29"/>
        <v>32.428702000000001</v>
      </c>
      <c r="G142" s="107">
        <f t="shared" si="29"/>
        <v>30.033574000000002</v>
      </c>
      <c r="H142" s="107">
        <f t="shared" si="29"/>
        <v>30.564440999999999</v>
      </c>
      <c r="I142" s="107">
        <f t="shared" si="29"/>
        <v>30.691880000000001</v>
      </c>
      <c r="J142" s="107">
        <f t="shared" si="29"/>
        <v>35.002752999999998</v>
      </c>
      <c r="K142" s="107">
        <f t="shared" si="29"/>
        <v>33.602015999999999</v>
      </c>
      <c r="L142" s="107">
        <f t="shared" si="29"/>
        <v>31.322213000000001</v>
      </c>
      <c r="M142" s="107">
        <f t="shared" si="29"/>
        <v>29.6997</v>
      </c>
      <c r="N142" s="107">
        <f t="shared" si="29"/>
        <v>24.842165000000001</v>
      </c>
      <c r="O142" s="124">
        <f t="shared" si="29"/>
        <v>23.549019999999999</v>
      </c>
    </row>
    <row r="143" spans="1:15">
      <c r="A143" s="206"/>
      <c r="B143" s="105" t="s">
        <v>22</v>
      </c>
      <c r="C143" s="107">
        <f>HLOOKUP(C$117,$86:$115,26,FALSE)</f>
        <v>0.78453200000000001</v>
      </c>
      <c r="D143" s="107">
        <f t="shared" ref="D143:O143" si="30">HLOOKUP(D$117,$86:$115,26,FALSE)</f>
        <v>0.78413299999999997</v>
      </c>
      <c r="E143" s="107">
        <f t="shared" si="30"/>
        <v>0.71108700000000002</v>
      </c>
      <c r="F143" s="107">
        <f t="shared" si="30"/>
        <v>0.73842799999999997</v>
      </c>
      <c r="G143" s="107">
        <f t="shared" si="30"/>
        <v>0.63095199999999996</v>
      </c>
      <c r="H143" s="107">
        <f t="shared" si="30"/>
        <v>0.65055600000000002</v>
      </c>
      <c r="I143" s="107">
        <f t="shared" si="30"/>
        <v>0.66513100000000003</v>
      </c>
      <c r="J143" s="107">
        <f t="shared" si="30"/>
        <v>0.64607300000000001</v>
      </c>
      <c r="K143" s="107">
        <f t="shared" si="30"/>
        <v>0.37482700000000002</v>
      </c>
      <c r="L143" s="107">
        <f t="shared" si="30"/>
        <v>0.37211699999999998</v>
      </c>
      <c r="M143" s="107">
        <f t="shared" si="30"/>
        <v>0.52430399999999999</v>
      </c>
      <c r="N143" s="107">
        <f t="shared" si="30"/>
        <v>0.42454199999999997</v>
      </c>
      <c r="O143" s="124">
        <f t="shared" si="30"/>
        <v>0.44537900000000002</v>
      </c>
    </row>
    <row r="144" spans="1:15">
      <c r="A144" s="206"/>
      <c r="B144" s="117" t="s">
        <v>1</v>
      </c>
      <c r="C144" s="118">
        <f>HLOOKUP(C$117,$86:$115,28,FALSE)</f>
        <v>718.95281199999999</v>
      </c>
      <c r="D144" s="118">
        <f t="shared" ref="D144:O144" si="31">HLOOKUP(D$117,$86:$115,28,FALSE)</f>
        <v>719.42066</v>
      </c>
      <c r="E144" s="118">
        <f t="shared" si="31"/>
        <v>650.39298299999996</v>
      </c>
      <c r="F144" s="118">
        <f t="shared" si="31"/>
        <v>711.93171700000005</v>
      </c>
      <c r="G144" s="118">
        <f t="shared" si="31"/>
        <v>675.84350199999994</v>
      </c>
      <c r="H144" s="118">
        <f t="shared" si="31"/>
        <v>701.77814499999999</v>
      </c>
      <c r="I144" s="118">
        <f t="shared" si="31"/>
        <v>713.11271499999998</v>
      </c>
      <c r="J144" s="118">
        <f t="shared" si="31"/>
        <v>762.64916800000003</v>
      </c>
      <c r="K144" s="118">
        <f t="shared" si="31"/>
        <v>802.54940299999998</v>
      </c>
      <c r="L144" s="118">
        <f t="shared" si="31"/>
        <v>744.65127600000005</v>
      </c>
      <c r="M144" s="118">
        <f t="shared" si="31"/>
        <v>803.95593199999996</v>
      </c>
      <c r="N144" s="118">
        <f t="shared" si="31"/>
        <v>730.57827699999996</v>
      </c>
      <c r="O144" s="118">
        <f t="shared" si="31"/>
        <v>733.42387499999995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312.87680900000004</v>
      </c>
      <c r="D146" s="130">
        <f t="shared" ref="D146:N146" si="32">SUM(D136:D138)</f>
        <v>282.44358199999999</v>
      </c>
      <c r="E146" s="130">
        <f t="shared" si="32"/>
        <v>296.21159499999999</v>
      </c>
      <c r="F146" s="130">
        <f t="shared" si="32"/>
        <v>261.84115199999997</v>
      </c>
      <c r="G146" s="130">
        <f t="shared" si="32"/>
        <v>260.1001</v>
      </c>
      <c r="H146" s="130">
        <f t="shared" si="32"/>
        <v>261.00792300000001</v>
      </c>
      <c r="I146" s="130">
        <f t="shared" si="32"/>
        <v>265.32891099999995</v>
      </c>
      <c r="J146" s="130">
        <f t="shared" si="32"/>
        <v>263.81678599999998</v>
      </c>
      <c r="K146" s="130">
        <f t="shared" si="32"/>
        <v>280.24951799999997</v>
      </c>
      <c r="L146" s="130">
        <f t="shared" si="32"/>
        <v>278.46901400000002</v>
      </c>
      <c r="M146" s="130">
        <f t="shared" si="32"/>
        <v>329.85294699999997</v>
      </c>
      <c r="N146" s="130">
        <f t="shared" si="32"/>
        <v>283.46044599999999</v>
      </c>
      <c r="O146" s="131">
        <f>SUM(O136:O138)</f>
        <v>293.933269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129</v>
      </c>
      <c r="B152" s="159" t="s">
        <v>130</v>
      </c>
      <c r="C152" s="175">
        <v>4.709E-2</v>
      </c>
      <c r="D152" s="175">
        <v>-1.0749999999999999E-2</v>
      </c>
      <c r="E152" s="175">
        <v>7.7200000000000003E-3</v>
      </c>
      <c r="F152" s="175">
        <v>5.0119999999999998E-2</v>
      </c>
      <c r="G152" s="175">
        <v>-7.1000000000000004E-3</v>
      </c>
      <c r="H152" s="175">
        <v>1.1E-4</v>
      </c>
      <c r="I152" s="175">
        <v>6.9100000000000003E-3</v>
      </c>
      <c r="J152" s="175">
        <v>-1.4120000000000001E-2</v>
      </c>
      <c r="K152" s="175">
        <v>-7.1000000000000004E-3</v>
      </c>
      <c r="L152" s="175">
        <v>1.1E-4</v>
      </c>
      <c r="M152" s="175">
        <v>6.9100000000000003E-3</v>
      </c>
      <c r="N152" s="175">
        <v>-1.4120000000000001E-2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129</v>
      </c>
      <c r="B158" s="159" t="s">
        <v>130</v>
      </c>
      <c r="C158" s="175">
        <v>2.0129999999999999E-2</v>
      </c>
      <c r="D158" s="175">
        <v>-5.9300000000000004E-3</v>
      </c>
      <c r="E158" s="175">
        <v>5.0000000000000002E-5</v>
      </c>
      <c r="F158" s="175">
        <v>2.6009999999999998E-2</v>
      </c>
      <c r="G158" s="175">
        <v>2.5059999999999999E-2</v>
      </c>
      <c r="H158" s="175">
        <v>5.5000000000000003E-4</v>
      </c>
      <c r="I158" s="175">
        <v>2.6900000000000001E-3</v>
      </c>
      <c r="J158" s="175">
        <v>2.1819999999999999E-2</v>
      </c>
      <c r="K158" s="175">
        <v>2.5059999999999999E-2</v>
      </c>
      <c r="L158" s="175">
        <v>5.5000000000000003E-4</v>
      </c>
      <c r="M158" s="175">
        <v>2.6900000000000001E-3</v>
      </c>
      <c r="N158" s="175">
        <v>2.1819999999999999E-2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Z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Diciembre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417.57750799999997</v>
      </c>
      <c r="G9" s="147">
        <f>Dat_01!T24*100</f>
        <v>4.7086432400000007</v>
      </c>
      <c r="H9" s="75">
        <f>Dat_01!U24/1000</f>
        <v>5998.7886420000004</v>
      </c>
      <c r="I9" s="147">
        <f>Dat_01!W24*100</f>
        <v>-0.71027881000000004</v>
      </c>
      <c r="J9" s="75">
        <f>Dat_01!X24/1000</f>
        <v>5998.7886420000004</v>
      </c>
      <c r="K9" s="147">
        <f>Dat_01!Y24*100</f>
        <v>-0.71027881000000004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-1.075</v>
      </c>
      <c r="H12" s="94"/>
      <c r="I12" s="94">
        <f>Dat_01!H152*100</f>
        <v>1.1000000000000001E-2</v>
      </c>
      <c r="J12" s="94"/>
      <c r="K12" s="94">
        <f>Dat_01!L152*100</f>
        <v>1.1000000000000001E-2</v>
      </c>
    </row>
    <row r="13" spans="3:12">
      <c r="E13" s="77" t="s">
        <v>42</v>
      </c>
      <c r="F13" s="76"/>
      <c r="G13" s="94">
        <f>Dat_01!E152*100</f>
        <v>0.77200000000000002</v>
      </c>
      <c r="H13" s="94"/>
      <c r="I13" s="94">
        <f>Dat_01!I152*100</f>
        <v>0.69100000000000006</v>
      </c>
      <c r="J13" s="94"/>
      <c r="K13" s="94">
        <f>Dat_01!M152*100</f>
        <v>0.69100000000000006</v>
      </c>
    </row>
    <row r="14" spans="3:12">
      <c r="E14" s="78" t="s">
        <v>43</v>
      </c>
      <c r="F14" s="79"/>
      <c r="G14" s="95">
        <f>Dat_01!F152*100</f>
        <v>5.0119999999999996</v>
      </c>
      <c r="H14" s="95"/>
      <c r="I14" s="95">
        <f>Dat_01!J152*100</f>
        <v>-1.4120000000000001</v>
      </c>
      <c r="J14" s="95"/>
      <c r="K14" s="95">
        <f>Dat_01!N152*100</f>
        <v>-1.4120000000000001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Diciembre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733.42387499999995</v>
      </c>
      <c r="G9" s="147">
        <f>Dat_01!AB24*100</f>
        <v>2.0127973300000002</v>
      </c>
      <c r="H9" s="75">
        <f>Dat_01!AC24/1000</f>
        <v>8750.2876530000012</v>
      </c>
      <c r="I9" s="147">
        <f>Dat_01!AE24*100</f>
        <v>2.50586208</v>
      </c>
      <c r="J9" s="75">
        <f>Dat_01!AF24/1000</f>
        <v>8750.2876530000012</v>
      </c>
      <c r="K9" s="147">
        <f>Dat_01!AG24*100</f>
        <v>2.50586208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-0.59300000000000008</v>
      </c>
      <c r="H12" s="94"/>
      <c r="I12" s="94">
        <f>Dat_01!H158*100</f>
        <v>5.5E-2</v>
      </c>
      <c r="J12" s="94"/>
      <c r="K12" s="94">
        <f>Dat_01!L158*100</f>
        <v>5.5E-2</v>
      </c>
    </row>
    <row r="13" spans="3:12">
      <c r="E13" s="77" t="s">
        <v>42</v>
      </c>
      <c r="F13" s="76"/>
      <c r="G13" s="94">
        <f>Dat_01!E158*100</f>
        <v>5.0000000000000001E-3</v>
      </c>
      <c r="H13" s="94"/>
      <c r="I13" s="94">
        <f>Dat_01!I158*100</f>
        <v>0.26900000000000002</v>
      </c>
      <c r="J13" s="94"/>
      <c r="K13" s="94">
        <f>Dat_01!M158*100</f>
        <v>0.26900000000000002</v>
      </c>
    </row>
    <row r="14" spans="3:12">
      <c r="E14" s="78" t="s">
        <v>43</v>
      </c>
      <c r="F14" s="79"/>
      <c r="G14" s="95">
        <f>Dat_01!F158*100</f>
        <v>2.601</v>
      </c>
      <c r="H14" s="95"/>
      <c r="I14" s="95">
        <f>Dat_01!J158*100</f>
        <v>2.1819999999999999</v>
      </c>
      <c r="J14" s="95"/>
      <c r="K14" s="95">
        <f>Dat_01!N158*100</f>
        <v>2.1819999999999999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topLeftCell="B1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Diciembre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0.30561099999999997</v>
      </c>
      <c r="I9" s="14">
        <f>IF(Dat_01!AB8*100=-100,"-",Dat_01!AB8*100)</f>
        <v>5.9060602700000002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0.66913</v>
      </c>
      <c r="I10" s="14">
        <f>Dat_01!AB15*100</f>
        <v>82.272598500000001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</v>
      </c>
      <c r="G11" s="14" t="str">
        <f>IF(Dat_01!R16=0,"-",Dat_01!T16*100)</f>
        <v>-</v>
      </c>
      <c r="H11" s="138">
        <f>Dat_01!Z16/1000</f>
        <v>70.816050000000004</v>
      </c>
      <c r="I11" s="14">
        <f>Dat_01!AB16*100</f>
        <v>86.785085839999994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21.722789000000002</v>
      </c>
      <c r="G12" s="14">
        <f>Dat_01!T17*100</f>
        <v>39.82085532</v>
      </c>
      <c r="H12" s="138">
        <f>Dat_01!Z17/1000</f>
        <v>23.549019999999999</v>
      </c>
      <c r="I12" s="14">
        <f>Dat_01!AB17*100</f>
        <v>23.54687354</v>
      </c>
      <c r="J12" s="138" t="s">
        <v>3</v>
      </c>
      <c r="K12" s="14" t="s">
        <v>3</v>
      </c>
      <c r="L12" s="138">
        <f>Dat_01!J17/1000</f>
        <v>3.5330000000000001E-3</v>
      </c>
      <c r="M12" s="14">
        <f>IF(Dat_01!L17*100=-100,"-",Dat_01!L17*100)</f>
        <v>11.4511041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0.10538400000000001</v>
      </c>
      <c r="G13" s="14">
        <f>Dat_01!T18*100</f>
        <v>36.686597749999997</v>
      </c>
      <c r="H13" s="138">
        <f>Dat_01!Z18/1000</f>
        <v>0.44537900000000002</v>
      </c>
      <c r="I13" s="14">
        <f>IF(Dat_01!AB18*100=-100,"-",Dat_01!AB18*100)</f>
        <v>-43.229976600000001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8.9918354999999988</v>
      </c>
      <c r="G14" s="14">
        <f>Dat_01!T21*100</f>
        <v>-13.653170070000002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0.65044650000000004</v>
      </c>
      <c r="M14" s="14">
        <f>Dat_01!L21*100</f>
        <v>32.821843790000003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30.8200085</v>
      </c>
      <c r="G15" s="156">
        <f>((SUM(Dat_01!R8,Dat_01!R15:R18,Dat_01!R20)/SUM(Dat_01!S8,Dat_01!S15:S18,Dat_01!S20))-1)*100</f>
        <v>17.958359141501411</v>
      </c>
      <c r="H15" s="155">
        <f>SUM(H9:H14)</f>
        <v>95.78519</v>
      </c>
      <c r="I15" s="156">
        <f>((SUM(Dat_01!Z8,Dat_01!Z15:Z18,Dat_01!Z20)/SUM(Dat_01!AA8,Dat_01!AA15:AA18,Dat_01!AA20))-1)*100</f>
        <v>63.976090027548139</v>
      </c>
      <c r="J15" s="155" t="s">
        <v>3</v>
      </c>
      <c r="K15" s="156" t="s">
        <v>3</v>
      </c>
      <c r="L15" s="156">
        <f>SUM(L9:L14)</f>
        <v>0.65397950000000005</v>
      </c>
      <c r="M15" s="156">
        <f>((SUM(Dat_01!J8,Dat_01!J15:J18,Dat_01!J21)/SUM(Dat_01!K8,Dat_01!K15:K18,Dat_01!K20))-1)*100</f>
        <v>32.684397022825884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-0.69586499999999996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5.6586610000000004</v>
      </c>
      <c r="G17" s="20">
        <f>((SUM(Dat_01!R10,Dat_01!R14)/SUM(Dat_01!S10,Dat_01!S14))-1)*100</f>
        <v>155.99704131304173</v>
      </c>
      <c r="H17" s="139">
        <f>SUM(Dat_01!Z10,Dat_01!Z14)/1000</f>
        <v>171.03556599999999</v>
      </c>
      <c r="I17" s="20">
        <f>((SUM(Dat_01!Z10,Dat_01!Z14)/SUM(Dat_01!AA10,Dat_01!AA14))-1)*100</f>
        <v>1.7466892444203408</v>
      </c>
      <c r="J17" s="139">
        <f>Dat_01!B10/1000</f>
        <v>15.564873</v>
      </c>
      <c r="K17" s="20">
        <f>Dat_01!D10*100</f>
        <v>-1.0462859200000001</v>
      </c>
      <c r="L17" s="139">
        <f>Dat_01!J10/1000</f>
        <v>14.765349000000001</v>
      </c>
      <c r="M17" s="20">
        <f>Dat_01!L10*100</f>
        <v>3.96401585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22.604487000000002</v>
      </c>
      <c r="G18" s="20">
        <f>Dat_01!T11*100</f>
        <v>-15.56005871</v>
      </c>
      <c r="H18" s="139">
        <f>Dat_01!Z11/1000</f>
        <v>26.447642999999999</v>
      </c>
      <c r="I18" s="20">
        <f>Dat_01!AB11*100</f>
        <v>19.776858239999999</v>
      </c>
      <c r="J18" s="139">
        <f>Dat_01!B11/1000</f>
        <v>1.0246E-2</v>
      </c>
      <c r="K18" s="20">
        <f>IF(Dat_01!D11=-100%,"-",Dat_01!D11*100)</f>
        <v>87.483989019999996</v>
      </c>
      <c r="L18" s="139">
        <f>Dat_01!J11/1000</f>
        <v>1.941E-3</v>
      </c>
      <c r="M18" s="20">
        <f>IF(Dat_01!L11*100=-100,"-",Dat_01!L11*100)</f>
        <v>373.41463414999998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96.450059999999993</v>
      </c>
      <c r="I19" s="20">
        <f>Dat_01!AB12*100</f>
        <v>-21.391451140000001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28.263148000000001</v>
      </c>
      <c r="G20" s="14">
        <f>((SUM(Dat_01!R10:R12,Dat_01!R14)/SUM(Dat_01!S10:S12,Dat_01!S14))-1)*100</f>
        <v>-2.4747502090986528</v>
      </c>
      <c r="H20" s="138">
        <f>SUM(H17:H19)</f>
        <v>293.933269</v>
      </c>
      <c r="I20" s="14">
        <f>(H20/(H17/(I17/100+1)+H18/(I18/100+1)+H19/(I19/100+1))-1)*100</f>
        <v>-6.0546321943624086</v>
      </c>
      <c r="J20" s="138">
        <f>SUM(J17:J19)</f>
        <v>15.575119000000001</v>
      </c>
      <c r="K20" s="14">
        <f>((SUM(Dat_01!B10:B12)/SUM(Dat_01!C10:C12))-1)*100</f>
        <v>-1.0155378679246652</v>
      </c>
      <c r="L20" s="138">
        <f>SUM(L17:L19)</f>
        <v>14.767290000000001</v>
      </c>
      <c r="M20" s="14">
        <f>((SUM(Dat_01!J10:J12)/SUM(Dat_01!K10:K12))-1)*100</f>
        <v>3.9746810042403879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233.91494</v>
      </c>
      <c r="G21" s="14">
        <f>Dat_01!T13*100</f>
        <v>-6.8754199800000002</v>
      </c>
      <c r="H21" s="138">
        <f>Dat_01!Z13/1000</f>
        <v>343.70541600000001</v>
      </c>
      <c r="I21" s="14">
        <f>Dat_01!AB13*100</f>
        <v>-1.13802151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3.8431729999999997</v>
      </c>
      <c r="G22" s="14">
        <f>Dat_01!T19*100</f>
        <v>30.691853500000001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8.9918354999999988</v>
      </c>
      <c r="G23" s="14">
        <f>Dat_01!T20*100</f>
        <v>-13.653170070000002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0.65044650000000004</v>
      </c>
      <c r="M23" s="14">
        <f>Dat_01!L20*100</f>
        <v>32.821843790000003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274.31723149999993</v>
      </c>
      <c r="G24" s="156">
        <f>((SUM(Dat_01!R9:R14,Dat_01!R19,Dat_01!R21)/SUM(Dat_01!S9:S14,Dat_01!S19,Dat_01!S21))-1)*100</f>
        <v>-6.3420954256704798</v>
      </c>
      <c r="H24" s="140">
        <f>SUM(H16,H20:H23)</f>
        <v>637.63868500000001</v>
      </c>
      <c r="I24" s="156">
        <f>((SUM(Dat_01!Z9:Z14,Dat_01!Z19,Dat_01!Z21)/SUM(Dat_01!AA9:AA14,Dat_01!AA19,Dat_01!AA21))-1)*100</f>
        <v>-3.4668683723375282</v>
      </c>
      <c r="J24" s="140">
        <f>SUM(J16,J20:J23)</f>
        <v>15.575119000000001</v>
      </c>
      <c r="K24" s="156">
        <f>((SUM(Dat_01!B9:B14,Dat_01!B19,Dat_01!B21)/SUM(Dat_01!C9:C14,Dat_01!C19,Dat_01!C21))-1)*100</f>
        <v>-1.0155378679246652</v>
      </c>
      <c r="L24" s="140">
        <f>SUM(L16,L20:L23)</f>
        <v>15.4177365</v>
      </c>
      <c r="M24" s="156">
        <f>((SUM(Dat_01!J9:J14,Dat_01!J19,Dat_01!J21)/SUM(Dat_01!K9:K14,Dat_01!K19,Dat_01!K21))-1)*100</f>
        <v>4.9361821858836308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112.440268</v>
      </c>
      <c r="G25" s="11">
        <f>Dat_01!T23*100</f>
        <v>40.939995330000002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417.57750799999997</v>
      </c>
      <c r="G26" s="8">
        <f>Dat_01!T24*100</f>
        <v>4.7086432400000007</v>
      </c>
      <c r="H26" s="142">
        <f>Dat_01!Z24/1000</f>
        <v>733.42387499999995</v>
      </c>
      <c r="I26" s="8">
        <f>Dat_01!AB24*100</f>
        <v>2.0127973300000002</v>
      </c>
      <c r="J26" s="142">
        <f>Dat_01!B24/1000</f>
        <v>15.575119000000001</v>
      </c>
      <c r="K26" s="8">
        <f>Dat_01!D24*100</f>
        <v>-1.01553787</v>
      </c>
      <c r="L26" s="142">
        <f>Dat_01!J24/1000</f>
        <v>16.071716000000002</v>
      </c>
      <c r="M26" s="8">
        <f>Dat_01!L24*100</f>
        <v>5.8368277000000006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N37" sqref="N37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G21" sqref="G21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2024-01-15T16:12:17Z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