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AGO\INF_ELABORADA\"/>
    </mc:Choice>
  </mc:AlternateContent>
  <xr:revisionPtr revIDLastSave="0" documentId="13_ncr:1_{DEEF32AA-46F0-4D81-9CE7-8F5F8A918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Dat_01!$A$85:$W$114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2" l="1"/>
  <c r="G13" i="22"/>
  <c r="R26" i="18"/>
  <c r="R25" i="18"/>
  <c r="G22" i="22"/>
  <c r="G11" i="22"/>
  <c r="I11" i="22"/>
  <c r="S25" i="18" l="1"/>
  <c r="T25" i="18" s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8" i="18" l="1"/>
  <c r="D69" i="18"/>
  <c r="D75" i="18"/>
  <c r="D70" i="18"/>
  <c r="D76" i="18"/>
  <c r="D71" i="18"/>
  <c r="D73" i="18"/>
  <c r="D77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<sst xmlns="http://schemas.openxmlformats.org/spreadsheetml/2006/main" count="430" uniqueCount="134">
  <si>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</si>
  <si>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</si>
  <si>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</si>
  <si>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</si>
  <si>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</si>
  <si>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</si>
  <si>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</si>
  <si>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</si>
  <si>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</si>
  <si>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</si>
  <si>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</si>
  <si>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</si>
  <si>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</si>
  <si>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</si>
  <si>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</si>
  <si>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</si>
  <si>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</si>
  <si>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</si>
  <si>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</si>
  <si>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</si>
  <si>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</si>
  <si>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</si>
  <si>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</si>
  <si>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</si>
  <si>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</si>
  <si>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</si>
  <si>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</si>
  <si>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</si>
  <si>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</si>
  <si>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</si>
  <si>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</si>
  <si>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</si>
  <si>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</si>
  <si>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</si>
  <si>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</si>
  <si>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</si>
  <si>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</si>
  <si>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</si>
  <si>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</si>
  <si>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</si>
  <si>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</si>
  <si>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</si>
  <si>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</si>
  <si>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</si>
  <si>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</si>
  <si>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</si>
  <si>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</si>
  <si>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</si>
  <si>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</si>
  <si>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</si>
  <si>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</si>
  <si>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</si>
  <si>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</si>
  <si>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</si>
  <si>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</si>
  <si>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</si>
  <si>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</si>
  <si>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</si>
  <si>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</si>
  <si>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</si>
  <si>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</si>
  <si>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</si>
  <si>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</si>
  <si>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</si>
  <si>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</si>
  <si>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</si>
  <si>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</si>
  <si>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</si>
  <si>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</si>
  <si>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</si>
  <si>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</si>
  <si>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</si>
  <si>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</si>
  <si>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</si>
  <si>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</si>
  <si>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</si>
  <si>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</si>
  <si>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</si>
  <si>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</si>
  <si>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</si>
  <si>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</si>
  <si>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</si>
  <si>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</si>
  <si>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</si>
  <si>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</si>
  <si>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</si>
  <si>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</si>
  <si>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</si>
  <si>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</si>
  <si>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</si>
  <si>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</si>
  <si>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</si>
  <si>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</si>
  <si>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</si>
  <si>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</si>
  <si>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</si>
  <si>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</si>
  <si>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</si>
  <si>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</si>
  <si>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</si>
  <si>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</si>
  <si>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</si>
  <si>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</si>
  <si>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</si>
  <si>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</si>
  <si>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</si>
  <si>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</si>
  <si>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</si>
  <si>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</si>
  <si>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</si>
  <si>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</si>
  <si>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</si>
  <si>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</si>
  <si>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</si>
  <si>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</si>
  <si>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</si>
  <si>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</si>
  <si>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</si>
  <si>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</si>
  <si>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</si>
  <si>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</si>
  <si>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</si>
  <si>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</si>
  <si>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</si>
  <si>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</si>
  <si>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</si>
  <si>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31/08/2024</t>
  </si>
  <si>
    <t>Septiembre 2024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</si>
  <si>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ut="09/11/2024 09:54:46" si="2.000000016f5d7041acfed43b1bb29f89e6d116993b3f2b5b8c289be95c1a4fd8f5e4ad6cc3fbf22c27529f95d1571b80dd78776af70ee165104167dbdaea60954fb45f546d5d64e3d9d62cea9ba2a17032273304692f6f416c69d49539e4595d3f49f7d47cddd9d26c96ec31b859f55810ad8f94b26760bcd69da46b1d3231aa3d39e63c46fcb9327dfcbe62aee381e05bacfbf0a14d440b3cac90cd51679e9a7767.p.3082.0.1.Europe/Madrid.upriv*_1*_pidn2*_7*_session*-lat*_1.000000017ed12a900c6e2dbc63a8b432ca8dbe08bc6025e0c0e540dbe91a2ff161a3f969a361514c2eb6abdcbdddd372380dc3c611668898.000000017d0a653864371d614592bcfc7a68212cbc6025e0899b3731a35c6ae230d45fc09dcc6dab51096f617707c7cde3e939adda1d62bf.0.1.1.BDEbi.D066E1C611E6257C10D00080EF253B44.0-3082.1.1_-0.1.0_-3082.1.1_5.5.0.*0.000000017ffc39f3c12cf4e5e6645a1a5114346ec911585a4233c42d722e947aa5a725e4a0f08009.0.23.11*.2*.0400*.31152J.e.00000001701d101ee17b05b1290e9abef3070fafc911585afa8428faedb9a696287d1d0db91accda.0.10*.131*.122*.122.0.0" msgID="DC77072A11EF702363450080EFC52411"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</si>
  <si>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ut="09/11/2024 10:01:53" si="2.000000016f5d7041acfed43b1bb29f89e6d116993b3f2b5b8c289be95c1a4fd8f5e4ad6cc3fbf22c27529f95d1571b80dd78776af70ee165104167dbdaea60954fb45f546d5d64e3d9d62cea9ba2a17032273304692f6f416c69d49539e4595d3f49f7d47cddd9d26c96ec31b859f55810ad8f94b26760bcd69da46b1d3231aa3d39e63c46fcb9327dfcbe62aee381e05bacfbf0a14d440b3cac90cd51679e9a7767.p.3082.0.1.Europe/Madrid.upriv*_1*_pidn2*_7*_session*-lat*_1.000000017ed12a900c6e2dbc63a8b432ca8dbe08bc6025e0c0e540dbe91a2ff161a3f969a361514c2eb6abdcbdddd372380dc3c611668898.000000017d0a653864371d614592bcfc7a68212cbc6025e0899b3731a35c6ae230d45fc09dcc6dab51096f617707c7cde3e939adda1d62bf.0.1.1.BDEbi.D066E1C611E6257C10D00080EF253B44.0-3082.1.1_-0.1.0_-3082.1.1_5.5.0.*0.000000017ffc39f3c12cf4e5e6645a1a5114346ec911585a4233c42d722e947aa5a725e4a0f08009.0.23.11*.2*.0400*.31152J.e.00000001701d101ee17b05b1290e9abef3070fafc911585afa8428faedb9a696287d1d0db91accda.0.10*.131*.122*.122.0.0" msgID="E5DE899611EF702363450080EF350310"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nrr="1632" nrc="3072"&gt;&lt;pg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</si>
  <si>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ut="09/11/2024 10:24:50" si="2.000000016f5d7041acfed43b1bb29f89e6d116993b3f2b5b8c289be95c1a4fd8f5e4ad6cc3fbf22c27529f95d1571b80dd78776af70ee165104167dbdaea60954fb45f546d5d64e3d9d62cea9ba2a17032273304692f6f416c69d49539e4595d3f49f7d47cddd9d26c96ec31b859f55810ad8f94b26760bcd69da46b1d3231aa3d39e63c46fcb9327dfcbe62aee381e05bacfbf0a14d440b3cac90cd51679e9a7767.p.3082.0.1.Europe/Madrid.upriv*_1*_pidn2*_7*_session*-lat*_1.000000017ed12a900c6e2dbc63a8b432ca8dbe08bc6025e0c0e540dbe91a2ff161a3f969a361514c2eb6abdcbdddd372380dc3c611668898.000000017d0a653864371d614592bcfc7a68212cbc6025e0899b3731a35c6ae230d45fc09dcc6dab51096f617707c7cde3e939adda1d62bf.0.1.1.BDEbi.D066E1C611E6257C10D00080EF253B44.0-3082.1.1_-0.1.0_-3082.1.1_5.5.0.*0.000000017ffc39f3c12cf4e5e6645a1a5114346ec911585a4233c42d722e947aa5a725e4a0f08009.0.23.11*.2*.0400*.31152J.e.00000001701d101ee17b05b1290e9abef3070fafc911585afa8428faedb9a696287d1d0db91accda.0.10*.131*.122*.122.0.0" msgID="F7F4D15011EF702663450080EFE5630F"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cols="23" /&gt;&lt;esdo ews="" ece="" ptn="" /&gt;&lt;/excel&gt;&lt;pgs&gt;&lt;pg rows="27" cols="21" nrr="2381" nrc="1811"&gt;&lt;pg /&gt;&lt;bls&gt;&lt;bl sr="1" sc="1" rfetch="27" cfetch="21" posid="1" darows="0" dacols="1"&gt;&lt;excel&gt;&lt;epo ews="Dat_01" ece="A85" enr="MSTR.Serie_Balance_B.C._Mensual_Baleares_y_Canarias" ptn="" qtn="" rows="30" cols="23" /&gt;&lt;esdo ews="" ece="" ptn="" /&gt;&lt;/excel&gt;&lt;gridRng&gt;&lt;sect id="TITLE_AREA" rngprop="1:1:3:2" /&gt;&lt;sect id="ROWHEADERS_AREA" rngprop="4:1:27:2" /&gt;&lt;sect id="COLUMNHEADERS_AREA" rngprop="1:3:3:21" /&gt;&lt;sect id="DATA_AREA" rngprop="4:3:27:21"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</si>
  <si>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ut="09/11/2024 10:25:48" si="2.00000001d80e21d9d2c64079e6c622ab7ea92a22dac46a75e60d9d932b8271263763c129bad107758980805d732705eed24bb1b2a09e66b8416e735f2a78487aaa83f8e2956beb956205bf1262bbf09c2464839d7b3fa8dfaf2a8037e7eae927a956e8b23a0d2d9b1400b25ecc5bd66ba6513a2e0db0aa2562a390a411200184e20ca08d1aedbb3a2ec8b21688f569c14dda9bec31a082952b2c3ed7dbfa828499a7.p.3082.0.1.Europe/Madrid.upriv*_1*_pidn2*_7*_session*-lat*_1.000000015074864f29f46503045be10ec275fba9bc6025e0978752ae27c0362142a1adb068204e7cf8741c7b6a32a3e9a5621daae94f2961.00000001d86cd3f8fb7ca69fbfc8a4e9bb08dcffbc6025e0d7eeb63b1739ffbe9ff26ccafd998a88b02fb06687ec3cde7c13c8d7c701380b.0.1.1.BDEbi.D066E1C611E6257C10D00080EF253B44.0-3082.1.1_-0.1.0_-3082.1.1_5.5.0.*0.00000001e7d2e73d02fcd8e9a40fc743b820900bc911585acdd989fc4964368a0c7265d33207f853.0.23.11*.2*.0400*.31152J.e.00000001f815920b84d87d8e46a9fb8ab171e3b9c911585aed314903913c0c8c9f8da3c99c7d5dfe.0.10*.131*.122*.122.0.0" msgID="2D4B0B2111EF702863450080EF65620E"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nrr="122" nrc="900"&gt;&lt;pg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</si>
  <si>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f947ced37fa845bcb293cef94b879fbb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</si>
  <si>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ut="09/11/2024 10:26:22" si="2.00000001d80e21d9d2c64079e6c622ab7ea92a22dac46a75e60d9d932b8271263763c129bad107758980805d732705eed24bb1b2a09e66b8416e735f2a78487aaa83f8e2956beb956205bf1262bbf09c2464839d7b3fa8dfaf2a8037e7eae927a956e8b23a0d2d9b1400b25ecc5bd66ba6513a2e0db0aa2562a390a411200184e20ca08d1aedbb3a2ec8b21688f569c14dda9bec31a082952b2c3ed7dbfa828499a7.p.3082.0.1.Europe/Madrid.upriv*_1*_pidn2*_7*_session*-lat*_1.000000015074864f29f46503045be10ec275fba9bc6025e0978752ae27c0362142a1adb068204e7cf8741c7b6a32a3e9a5621daae94f2961.00000001d86cd3f8fb7ca69fbfc8a4e9bb08dcffbc6025e0d7eeb63b1739ffbe9ff26ccafd998a88b02fb06687ec3cde7c13c8d7c701380b.0.1.1.BDEbi.D066E1C611E6257C10D00080EF253B44.0-3082.1.1_-0.1.0_-3082.1.1_5.5.0.*0.00000001e7d2e73d02fcd8e9a40fc743b820900bc911585acdd989fc4964368a0c7265d33207f853.0.23.11*.2*.0400*.31152J.e.00000001f815920b84d87d8e46a9fb8ab171e3b9c911585aed314903913c0c8c9f8da3c99c7d5dfe.0.10*.131*.122*.122.0.0" msgID="42BD76A011EF702863450080EF85A20F"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nrr="78" nrc="948"&gt;&lt;pg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</si>
</sst>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168" fontId="51" fillId="0" borderId="0" xfId="0" applyNumberFormat="1" applyFont="1"/>
    <xf numFmtId="0" fontId="51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07"/>
                  <c:y val="-2.3534645669291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245118750400103"/>
                  <c:y val="1.611122047244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1382101017860573"/>
                  <c:y val="0.231568503937007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0.11004999999999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70083861468536"/>
                  <c:y val="-1.3066535433070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9024390243902439"/>
                  <c:y val="-6.7824803149606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8842225209653671"/>
                  <c:y val="-0.130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8.5819274982292324</c:v>
                </c:pt>
                <c:pt idx="2">
                  <c:v>7.8659450837256868</c:v>
                </c:pt>
                <c:pt idx="3">
                  <c:v>45.569813189438804</c:v>
                </c:pt>
                <c:pt idx="4">
                  <c:v>0</c:v>
                </c:pt>
                <c:pt idx="5">
                  <c:v>0.42691263552955133</c:v>
                </c:pt>
                <c:pt idx="6">
                  <c:v>2.12868477010228</c:v>
                </c:pt>
                <c:pt idx="7">
                  <c:v>2.12868477010228</c:v>
                </c:pt>
                <c:pt idx="8">
                  <c:v>0</c:v>
                </c:pt>
                <c:pt idx="9">
                  <c:v>7.5759548948768325</c:v>
                </c:pt>
                <c:pt idx="10">
                  <c:v>3.9615610655954051E-2</c:v>
                </c:pt>
                <c:pt idx="11">
                  <c:v>25.682461547339379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00813008130081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5284552845528454"/>
                  <c:y val="-8.35295275590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0.10687689648550032"/>
                  <c:y val="-0.147325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10.78108372772213</c:v>
                </c:pt>
                <c:pt idx="1">
                  <c:v>6.2308585059886612</c:v>
                </c:pt>
                <c:pt idx="2">
                  <c:v>26.957179088678345</c:v>
                </c:pt>
                <c:pt idx="3">
                  <c:v>36.781732170574379</c:v>
                </c:pt>
                <c:pt idx="4">
                  <c:v>0</c:v>
                </c:pt>
                <c:pt idx="5">
                  <c:v>0.51505152485299388</c:v>
                </c:pt>
                <c:pt idx="6">
                  <c:v>1.6716937455091527</c:v>
                </c:pt>
                <c:pt idx="7">
                  <c:v>1.6716937455091527</c:v>
                </c:pt>
                <c:pt idx="8">
                  <c:v>0.15945902238245729</c:v>
                </c:pt>
                <c:pt idx="9">
                  <c:v>15.055497137035612</c:v>
                </c:pt>
                <c:pt idx="10">
                  <c:v>0.17575133174711202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9.0232189999999992</c:v>
                </c:pt>
                <c:pt idx="1">
                  <c:v>-0.82337800000000005</c:v>
                </c:pt>
                <c:pt idx="2">
                  <c:v>-0.82724900000000001</c:v>
                </c:pt>
                <c:pt idx="3">
                  <c:v>-0.89542500000000003</c:v>
                </c:pt>
                <c:pt idx="4">
                  <c:v>-0.69586499999999996</c:v>
                </c:pt>
                <c:pt idx="5">
                  <c:v>-0.70605399999999996</c:v>
                </c:pt>
                <c:pt idx="6">
                  <c:v>-0.66276199999999996</c:v>
                </c:pt>
                <c:pt idx="7">
                  <c:v>-0.710283</c:v>
                </c:pt>
                <c:pt idx="8">
                  <c:v>-0.939218</c:v>
                </c:pt>
                <c:pt idx="9">
                  <c:v>22.073955999999999</c:v>
                </c:pt>
                <c:pt idx="10">
                  <c:v>26.418958</c:v>
                </c:pt>
                <c:pt idx="11">
                  <c:v>1.554179</c:v>
                </c:pt>
                <c:pt idx="12">
                  <c:v>-0.75178999999999996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118.33977300000001</c:v>
                </c:pt>
                <c:pt idx="1">
                  <c:v>82.054295999999994</c:v>
                </c:pt>
                <c:pt idx="2">
                  <c:v>61.254111000000002</c:v>
                </c:pt>
                <c:pt idx="3">
                  <c:v>30.185099999999998</c:v>
                </c:pt>
                <c:pt idx="4">
                  <c:v>28.871046999999997</c:v>
                </c:pt>
                <c:pt idx="5">
                  <c:v>30.443576</c:v>
                </c:pt>
                <c:pt idx="6">
                  <c:v>28.621776999999998</c:v>
                </c:pt>
                <c:pt idx="7">
                  <c:v>30.374336</c:v>
                </c:pt>
                <c:pt idx="8">
                  <c:v>47.711207999999999</c:v>
                </c:pt>
                <c:pt idx="9">
                  <c:v>41.291938999999999</c:v>
                </c:pt>
                <c:pt idx="10">
                  <c:v>61.203187</c:v>
                </c:pt>
                <c:pt idx="11">
                  <c:v>103.43266399999999</c:v>
                </c:pt>
                <c:pt idx="12">
                  <c:v>120.37340399999999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324.37696499999998</c:v>
                </c:pt>
                <c:pt idx="1">
                  <c:v>296.32292799999999</c:v>
                </c:pt>
                <c:pt idx="2">
                  <c:v>247.112684</c:v>
                </c:pt>
                <c:pt idx="3">
                  <c:v>224.26124200000001</c:v>
                </c:pt>
                <c:pt idx="4">
                  <c:v>233.91494</c:v>
                </c:pt>
                <c:pt idx="5">
                  <c:v>244.02029300000001</c:v>
                </c:pt>
                <c:pt idx="6">
                  <c:v>218.49136100000001</c:v>
                </c:pt>
                <c:pt idx="7">
                  <c:v>213.548517</c:v>
                </c:pt>
                <c:pt idx="8">
                  <c:v>205.68247400000001</c:v>
                </c:pt>
                <c:pt idx="9">
                  <c:v>206.763338</c:v>
                </c:pt>
                <c:pt idx="10">
                  <c:v>212.499032</c:v>
                </c:pt>
                <c:pt idx="11">
                  <c:v>272.94692199999997</c:v>
                </c:pt>
                <c:pt idx="12">
                  <c:v>333.50170400000002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9.7920999999999994E-2</c:v>
                </c:pt>
                <c:pt idx="1">
                  <c:v>0</c:v>
                </c:pt>
                <c:pt idx="2">
                  <c:v>1.0359999999999999E-2</c:v>
                </c:pt>
                <c:pt idx="3">
                  <c:v>8.7279999999999996E-3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44.650032000000003</c:v>
                </c:pt>
                <c:pt idx="1">
                  <c:v>34.850726000000002</c:v>
                </c:pt>
                <c:pt idx="2">
                  <c:v>32.896220999999997</c:v>
                </c:pt>
                <c:pt idx="3">
                  <c:v>24.884706000000001</c:v>
                </c:pt>
                <c:pt idx="4">
                  <c:v>22.636651000000001</c:v>
                </c:pt>
                <c:pt idx="5">
                  <c:v>24.18449</c:v>
                </c:pt>
                <c:pt idx="6">
                  <c:v>30.744498</c:v>
                </c:pt>
                <c:pt idx="7">
                  <c:v>45.305076999999997</c:v>
                </c:pt>
                <c:pt idx="8">
                  <c:v>44.568354999999997</c:v>
                </c:pt>
                <c:pt idx="9">
                  <c:v>58.305483000000002</c:v>
                </c:pt>
                <c:pt idx="10">
                  <c:v>53.291172000000003</c:v>
                </c:pt>
                <c:pt idx="11">
                  <c:v>60.161617</c:v>
                </c:pt>
                <c:pt idx="12">
                  <c:v>55.444464000000004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9.2054999999999998E-2</c:v>
                </c:pt>
                <c:pt idx="1">
                  <c:v>0.14128099999999999</c:v>
                </c:pt>
                <c:pt idx="2">
                  <c:v>0.14801500000000001</c:v>
                </c:pt>
                <c:pt idx="3">
                  <c:v>0.14354</c:v>
                </c:pt>
                <c:pt idx="4">
                  <c:v>0.12625700000000001</c:v>
                </c:pt>
                <c:pt idx="5">
                  <c:v>0.10423</c:v>
                </c:pt>
                <c:pt idx="6">
                  <c:v>3.9530000000000003E-2</c:v>
                </c:pt>
                <c:pt idx="7">
                  <c:v>4.0002000000000003E-2</c:v>
                </c:pt>
                <c:pt idx="8">
                  <c:v>1.5544000000000001E-2</c:v>
                </c:pt>
                <c:pt idx="9">
                  <c:v>4.1384999999999998E-2</c:v>
                </c:pt>
                <c:pt idx="10">
                  <c:v>7.8099000000000002E-2</c:v>
                </c:pt>
                <c:pt idx="11">
                  <c:v>0.18402499999999999</c:v>
                </c:pt>
                <c:pt idx="12">
                  <c:v>0.28992600000000002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3.6746310000000002</c:v>
                </c:pt>
                <c:pt idx="1">
                  <c:v>2.995241</c:v>
                </c:pt>
                <c:pt idx="2">
                  <c:v>1.6210690000000001</c:v>
                </c:pt>
                <c:pt idx="3">
                  <c:v>1.996553</c:v>
                </c:pt>
                <c:pt idx="4">
                  <c:v>3.1565249999999998</c:v>
                </c:pt>
                <c:pt idx="5">
                  <c:v>3.9370180000000001</c:v>
                </c:pt>
                <c:pt idx="6">
                  <c:v>3.7397490000000002</c:v>
                </c:pt>
                <c:pt idx="7">
                  <c:v>3.4851179999999999</c:v>
                </c:pt>
                <c:pt idx="8">
                  <c:v>1.9095409999999999</c:v>
                </c:pt>
                <c:pt idx="9">
                  <c:v>3.5397620000000001</c:v>
                </c:pt>
                <c:pt idx="10">
                  <c:v>3.4609559999999999</c:v>
                </c:pt>
                <c:pt idx="11">
                  <c:v>3.2774670000000001</c:v>
                </c:pt>
                <c:pt idx="12">
                  <c:v>3.1243509999999999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14.683114</c:v>
                </c:pt>
                <c:pt idx="1">
                  <c:v>9.9340825000000006</c:v>
                </c:pt>
                <c:pt idx="2">
                  <c:v>10.861402</c:v>
                </c:pt>
                <c:pt idx="3">
                  <c:v>10.810193999999999</c:v>
                </c:pt>
                <c:pt idx="4">
                  <c:v>8.9918355000000005</c:v>
                </c:pt>
                <c:pt idx="5">
                  <c:v>10.485035</c:v>
                </c:pt>
                <c:pt idx="6">
                  <c:v>5.6085469999999997</c:v>
                </c:pt>
                <c:pt idx="7">
                  <c:v>12.829401000000001</c:v>
                </c:pt>
                <c:pt idx="8">
                  <c:v>11.323399</c:v>
                </c:pt>
                <c:pt idx="9">
                  <c:v>12.2750895</c:v>
                </c:pt>
                <c:pt idx="10">
                  <c:v>16.584269500000001</c:v>
                </c:pt>
                <c:pt idx="11">
                  <c:v>15.726691000000001</c:v>
                </c:pt>
                <c:pt idx="12">
                  <c:v>15.578734000000001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14.683114</c:v>
                </c:pt>
                <c:pt idx="1">
                  <c:v>9.9340825000000006</c:v>
                </c:pt>
                <c:pt idx="2">
                  <c:v>10.861402</c:v>
                </c:pt>
                <c:pt idx="3">
                  <c:v>10.810193999999999</c:v>
                </c:pt>
                <c:pt idx="4">
                  <c:v>8.9918355000000005</c:v>
                </c:pt>
                <c:pt idx="5">
                  <c:v>10.485035</c:v>
                </c:pt>
                <c:pt idx="6">
                  <c:v>5.6085469999999997</c:v>
                </c:pt>
                <c:pt idx="7">
                  <c:v>12.829401000000001</c:v>
                </c:pt>
                <c:pt idx="8">
                  <c:v>11.323399</c:v>
                </c:pt>
                <c:pt idx="9">
                  <c:v>12.2750895</c:v>
                </c:pt>
                <c:pt idx="10">
                  <c:v>16.584269500000001</c:v>
                </c:pt>
                <c:pt idx="11">
                  <c:v>15.726691000000001</c:v>
                </c:pt>
                <c:pt idx="12">
                  <c:v>15.578734000000001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175.00929099999999</c:v>
                </c:pt>
                <c:pt idx="1">
                  <c:v>130.854702</c:v>
                </c:pt>
                <c:pt idx="2">
                  <c:v>131.44748999999999</c:v>
                </c:pt>
                <c:pt idx="3">
                  <c:v>70.735690000000005</c:v>
                </c:pt>
                <c:pt idx="4">
                  <c:v>112.440268</c:v>
                </c:pt>
                <c:pt idx="5">
                  <c:v>122.760274</c:v>
                </c:pt>
                <c:pt idx="6">
                  <c:v>114.74408200000001</c:v>
                </c:pt>
                <c:pt idx="7">
                  <c:v>110.667727</c:v>
                </c:pt>
                <c:pt idx="8">
                  <c:v>109.36235000000001</c:v>
                </c:pt>
                <c:pt idx="9">
                  <c:v>117.764884</c:v>
                </c:pt>
                <c:pt idx="10">
                  <c:v>145.36358899999999</c:v>
                </c:pt>
                <c:pt idx="11">
                  <c:v>208.454387</c:v>
                </c:pt>
                <c:pt idx="12">
                  <c:v>187.956546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14.622108518633253</c:v>
                </c:pt>
                <c:pt idx="1">
                  <c:v>15.614927018042547</c:v>
                </c:pt>
                <c:pt idx="2">
                  <c:v>14.472181230894007</c:v>
                </c:pt>
                <c:pt idx="3">
                  <c:v>25.949414961908822</c:v>
                </c:pt>
                <c:pt idx="4">
                  <c:v>1.145444478327845</c:v>
                </c:pt>
                <c:pt idx="5">
                  <c:v>4.5577895472731E-2</c:v>
                </c:pt>
                <c:pt idx="6">
                  <c:v>0.33943537944165458</c:v>
                </c:pt>
                <c:pt idx="7">
                  <c:v>19.331924335673953</c:v>
                </c:pt>
                <c:pt idx="8">
                  <c:v>8.2560143192793873</c:v>
                </c:pt>
                <c:pt idx="9">
                  <c:v>0.22297186232580773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-3.980393700787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7398668459125535"/>
                  <c:y val="9.9117519685039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0.30569105691056908"/>
                  <c:y val="9.5866338582676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6585365853658537"/>
                  <c:y val="9.0644488188976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7560988413033737"/>
                  <c:y val="-0.14215666975451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19.086007444325066</c:v>
                </c:pt>
                <c:pt idx="1">
                  <c:v>1.9920929167439496</c:v>
                </c:pt>
                <c:pt idx="2">
                  <c:v>12.987241948820127</c:v>
                </c:pt>
                <c:pt idx="3">
                  <c:v>33.046867423279473</c:v>
                </c:pt>
                <c:pt idx="4">
                  <c:v>0</c:v>
                </c:pt>
                <c:pt idx="5">
                  <c:v>3.6058396384667006E-2</c:v>
                </c:pt>
                <c:pt idx="6">
                  <c:v>0.50870031052710429</c:v>
                </c:pt>
                <c:pt idx="7">
                  <c:v>26.950310467287743</c:v>
                </c:pt>
                <c:pt idx="8">
                  <c:v>5.2226869649066598</c:v>
                </c:pt>
                <c:pt idx="9">
                  <c:v>0.17003412772520241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0.289545</c:v>
                </c:pt>
                <c:pt idx="1">
                  <c:v>0.28924100000000003</c:v>
                </c:pt>
                <c:pt idx="2">
                  <c:v>0.30332900000000002</c:v>
                </c:pt>
                <c:pt idx="3">
                  <c:v>0.28045300000000001</c:v>
                </c:pt>
                <c:pt idx="4">
                  <c:v>0.30560300000000001</c:v>
                </c:pt>
                <c:pt idx="5">
                  <c:v>0.29624200000000001</c:v>
                </c:pt>
                <c:pt idx="6">
                  <c:v>0.28508299999999998</c:v>
                </c:pt>
                <c:pt idx="7">
                  <c:v>0.272924</c:v>
                </c:pt>
                <c:pt idx="8">
                  <c:v>0.258407</c:v>
                </c:pt>
                <c:pt idx="9">
                  <c:v>0.28213199999999999</c:v>
                </c:pt>
                <c:pt idx="10">
                  <c:v>0.27541500000000002</c:v>
                </c:pt>
                <c:pt idx="11">
                  <c:v>0.290603</c:v>
                </c:pt>
                <c:pt idx="12">
                  <c:v>0.28181699999999998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280.24951799999997</c:v>
                </c:pt>
                <c:pt idx="1">
                  <c:v>278.46901400000002</c:v>
                </c:pt>
                <c:pt idx="2">
                  <c:v>329.55548099999999</c:v>
                </c:pt>
                <c:pt idx="3">
                  <c:v>283.46044599999999</c:v>
                </c:pt>
                <c:pt idx="4">
                  <c:v>293.93341900000001</c:v>
                </c:pt>
                <c:pt idx="5">
                  <c:v>313.17357400000003</c:v>
                </c:pt>
                <c:pt idx="6">
                  <c:v>271.07811399999997</c:v>
                </c:pt>
                <c:pt idx="7">
                  <c:v>294.881663</c:v>
                </c:pt>
                <c:pt idx="8">
                  <c:v>257.29920000000004</c:v>
                </c:pt>
                <c:pt idx="9">
                  <c:v>262.610321</c:v>
                </c:pt>
                <c:pt idx="10">
                  <c:v>252.95584600000001</c:v>
                </c:pt>
                <c:pt idx="11">
                  <c:v>278.93440799999996</c:v>
                </c:pt>
                <c:pt idx="12">
                  <c:v>266.24014199999999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306.93109600000003</c:v>
                </c:pt>
                <c:pt idx="1">
                  <c:v>329.65078499999998</c:v>
                </c:pt>
                <c:pt idx="2">
                  <c:v>385.37423100000001</c:v>
                </c:pt>
                <c:pt idx="3">
                  <c:v>320.60776499999997</c:v>
                </c:pt>
                <c:pt idx="4">
                  <c:v>343.70541600000001</c:v>
                </c:pt>
                <c:pt idx="5">
                  <c:v>348.60822999999999</c:v>
                </c:pt>
                <c:pt idx="6">
                  <c:v>282.95672999999999</c:v>
                </c:pt>
                <c:pt idx="7">
                  <c:v>305.966994</c:v>
                </c:pt>
                <c:pt idx="8">
                  <c:v>315.19474500000001</c:v>
                </c:pt>
                <c:pt idx="9">
                  <c:v>259.74817300000001</c:v>
                </c:pt>
                <c:pt idx="10">
                  <c:v>269.75380799999999</c:v>
                </c:pt>
                <c:pt idx="11">
                  <c:v>264.109264</c:v>
                </c:pt>
                <c:pt idx="12">
                  <c:v>258.28017799999998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2.6998280000000001</c:v>
                </c:pt>
                <c:pt idx="1">
                  <c:v>1.3149919999999999</c:v>
                </c:pt>
                <c:pt idx="2">
                  <c:v>0.44324000000000002</c:v>
                </c:pt>
                <c:pt idx="3">
                  <c:v>1.0899650000000001</c:v>
                </c:pt>
                <c:pt idx="4">
                  <c:v>0.66913</c:v>
                </c:pt>
                <c:pt idx="5">
                  <c:v>0.66808100000000004</c:v>
                </c:pt>
                <c:pt idx="6">
                  <c:v>1.414679</c:v>
                </c:pt>
                <c:pt idx="7">
                  <c:v>1.5891550000000001</c:v>
                </c:pt>
                <c:pt idx="8">
                  <c:v>1.2945469999999999</c:v>
                </c:pt>
                <c:pt idx="9">
                  <c:v>2.2523740000000001</c:v>
                </c:pt>
                <c:pt idx="10">
                  <c:v>2.6292490000000002</c:v>
                </c:pt>
                <c:pt idx="11">
                  <c:v>3.5113029999999998</c:v>
                </c:pt>
                <c:pt idx="12">
                  <c:v>3.975784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178.40540899999999</c:v>
                </c:pt>
                <c:pt idx="1">
                  <c:v>103.255752</c:v>
                </c:pt>
                <c:pt idx="2">
                  <c:v>57.760353000000002</c:v>
                </c:pt>
                <c:pt idx="3">
                  <c:v>99.230602000000005</c:v>
                </c:pt>
                <c:pt idx="4">
                  <c:v>70.608433000000005</c:v>
                </c:pt>
                <c:pt idx="5">
                  <c:v>53.195481000000001</c:v>
                </c:pt>
                <c:pt idx="6">
                  <c:v>108.751811</c:v>
                </c:pt>
                <c:pt idx="7">
                  <c:v>89.282236999999995</c:v>
                </c:pt>
                <c:pt idx="8">
                  <c:v>94.671989999999994</c:v>
                </c:pt>
                <c:pt idx="9">
                  <c:v>147.019094</c:v>
                </c:pt>
                <c:pt idx="10">
                  <c:v>129.86778200000001</c:v>
                </c:pt>
                <c:pt idx="11">
                  <c:v>169.43657200000001</c:v>
                </c:pt>
                <c:pt idx="12">
                  <c:v>210.63209699999999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33.707680000000003</c:v>
                </c:pt>
                <c:pt idx="1">
                  <c:v>31.407260000000001</c:v>
                </c:pt>
                <c:pt idx="2">
                  <c:v>29.906251000000001</c:v>
                </c:pt>
                <c:pt idx="3">
                  <c:v>25.097702999999999</c:v>
                </c:pt>
                <c:pt idx="4">
                  <c:v>23.682936000000002</c:v>
                </c:pt>
                <c:pt idx="5">
                  <c:v>24.702621000000001</c:v>
                </c:pt>
                <c:pt idx="6">
                  <c:v>26.306543000000001</c:v>
                </c:pt>
                <c:pt idx="7">
                  <c:v>31.905954000000001</c:v>
                </c:pt>
                <c:pt idx="8">
                  <c:v>35.953691999999997</c:v>
                </c:pt>
                <c:pt idx="9">
                  <c:v>35.545333999999997</c:v>
                </c:pt>
                <c:pt idx="10">
                  <c:v>36.232920999999997</c:v>
                </c:pt>
                <c:pt idx="11">
                  <c:v>42.799511000000003</c:v>
                </c:pt>
                <c:pt idx="12">
                  <c:v>40.818286999999998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ago.-23</c:v>
                </c:pt>
                <c:pt idx="1">
                  <c:v>sep.-23</c:v>
                </c:pt>
                <c:pt idx="2">
                  <c:v>oct.-23</c:v>
                </c:pt>
                <c:pt idx="3">
                  <c:v>nov.-23</c:v>
                </c:pt>
                <c:pt idx="4">
                  <c:v>dic.-23</c:v>
                </c:pt>
                <c:pt idx="5">
                  <c:v>ene.-24</c:v>
                </c:pt>
                <c:pt idx="6">
                  <c:v>feb.-24</c:v>
                </c:pt>
                <c:pt idx="7">
                  <c:v>mar.-24</c:v>
                </c:pt>
                <c:pt idx="8">
                  <c:v>abr.-24</c:v>
                </c:pt>
                <c:pt idx="9">
                  <c:v>may.-24</c:v>
                </c:pt>
                <c:pt idx="10">
                  <c:v>jun.-24</c:v>
                </c:pt>
                <c:pt idx="11">
                  <c:v>jul.-24</c:v>
                </c:pt>
                <c:pt idx="12">
                  <c:v>ago.-24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0.37482700000000002</c:v>
                </c:pt>
                <c:pt idx="1">
                  <c:v>0.37211699999999998</c:v>
                </c:pt>
                <c:pt idx="2">
                  <c:v>0.524733</c:v>
                </c:pt>
                <c:pt idx="3">
                  <c:v>0.42454199999999997</c:v>
                </c:pt>
                <c:pt idx="4">
                  <c:v>0.44537900000000002</c:v>
                </c:pt>
                <c:pt idx="5">
                  <c:v>0.50013399999999997</c:v>
                </c:pt>
                <c:pt idx="6">
                  <c:v>0.49944300000000003</c:v>
                </c:pt>
                <c:pt idx="7">
                  <c:v>0.57839200000000002</c:v>
                </c:pt>
                <c:pt idx="8">
                  <c:v>0.26424700000000001</c:v>
                </c:pt>
                <c:pt idx="9">
                  <c:v>0.430983</c:v>
                </c:pt>
                <c:pt idx="10">
                  <c:v>0.49796200000000002</c:v>
                </c:pt>
                <c:pt idx="11">
                  <c:v>0.62341999999999997</c:v>
                </c:pt>
                <c:pt idx="12">
                  <c:v>1.3289139999999999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Agosto 2024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Agosto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Agosto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72" t="str">
        <f>G8</f>
        <v>% 24/23</v>
      </c>
      <c r="J8" s="71" t="s">
        <v>13</v>
      </c>
      <c r="K8" s="72" t="str">
        <f>G8</f>
        <v>% 24/23</v>
      </c>
    </row>
    <row r="9" spans="3:12">
      <c r="C9" s="73"/>
      <c r="E9" s="74" t="s">
        <v>39</v>
      </c>
      <c r="F9" s="75">
        <f>Dat_01!R24/1000</f>
        <v>731.09607299999993</v>
      </c>
      <c r="G9" s="147">
        <f>Dat_01!T24*100</f>
        <v>3.7560072200000003</v>
      </c>
      <c r="H9" s="75">
        <f>Dat_01!U24/1000</f>
        <v>4134.3507479999998</v>
      </c>
      <c r="I9" s="147">
        <f>Dat_01!W24*100</f>
        <v>-0.36154016</v>
      </c>
      <c r="J9" s="75">
        <f>Dat_01!X24/1000</f>
        <v>5987.3742300000004</v>
      </c>
      <c r="K9" s="147">
        <f>Dat_01!Y24*100</f>
        <v>0.25155753000000003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-0.27599999999999997</v>
      </c>
      <c r="H12" s="94"/>
      <c r="I12" s="94">
        <f>Dat_01!H152*100</f>
        <v>-0.11299999999999999</v>
      </c>
      <c r="J12" s="94"/>
      <c r="K12" s="94">
        <f>Dat_01!L152*100</f>
        <v>-0.157</v>
      </c>
    </row>
    <row r="13" spans="3:12">
      <c r="E13" s="77" t="s">
        <v>42</v>
      </c>
      <c r="F13" s="76"/>
      <c r="G13" s="94">
        <f>Dat_01!E152*100</f>
        <v>1.212</v>
      </c>
      <c r="H13" s="94"/>
      <c r="I13" s="94">
        <f>Dat_01!I152*100</f>
        <v>-1.6260000000000001</v>
      </c>
      <c r="J13" s="94"/>
      <c r="K13" s="94">
        <f>Dat_01!M152*100</f>
        <v>-0.89700000000000002</v>
      </c>
    </row>
    <row r="14" spans="3:12">
      <c r="E14" s="78" t="s">
        <v>43</v>
      </c>
      <c r="F14" s="79"/>
      <c r="G14" s="95">
        <f>Dat_01!F152*100</f>
        <v>2.82</v>
      </c>
      <c r="H14" s="95"/>
      <c r="I14" s="95">
        <f>Dat_01!J152*100</f>
        <v>1.377</v>
      </c>
      <c r="J14" s="95"/>
      <c r="K14" s="95">
        <f>Dat_01!N152*100</f>
        <v>1.306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Agosto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Agosto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98" t="str">
        <f>G8</f>
        <v>% 24/23</v>
      </c>
      <c r="J8" s="71" t="s">
        <v>13</v>
      </c>
      <c r="K8" s="98" t="str">
        <f>G8</f>
        <v>% 24/23</v>
      </c>
    </row>
    <row r="9" spans="3:12">
      <c r="C9" s="73"/>
      <c r="E9" s="74" t="s">
        <v>39</v>
      </c>
      <c r="F9" s="75">
        <f>Dat_01!Z24/1000</f>
        <v>781.55721900000003</v>
      </c>
      <c r="G9" s="147">
        <f>Dat_01!AB24*100</f>
        <v>-2.6288514599999999</v>
      </c>
      <c r="H9" s="75">
        <f>Dat_01!AC24/1000</f>
        <v>5803.2146069999999</v>
      </c>
      <c r="I9" s="147">
        <f>Dat_01!AE24*100</f>
        <v>1.08940821</v>
      </c>
      <c r="J9" s="75">
        <f>Dat_01!AF24/1000</f>
        <v>8815.383178</v>
      </c>
      <c r="K9" s="147">
        <f>Dat_01!AG24*100</f>
        <v>2.2362145600000001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-0.188</v>
      </c>
      <c r="H12" s="94"/>
      <c r="I12" s="94">
        <f>Dat_01!H158*100</f>
        <v>-0.01</v>
      </c>
      <c r="J12" s="94"/>
      <c r="K12" s="94">
        <f>Dat_01!L158*100</f>
        <v>-4.7E-2</v>
      </c>
    </row>
    <row r="13" spans="3:12">
      <c r="E13" s="77" t="s">
        <v>42</v>
      </c>
      <c r="F13" s="76"/>
      <c r="G13" s="94">
        <f>Dat_01!E158*100</f>
        <v>-1.484</v>
      </c>
      <c r="H13" s="94"/>
      <c r="I13" s="94">
        <f>Dat_01!I158*100</f>
        <v>-0.36</v>
      </c>
      <c r="J13" s="94"/>
      <c r="K13" s="94">
        <f>Dat_01!M158*100</f>
        <v>-6.9999999999999993E-2</v>
      </c>
    </row>
    <row r="14" spans="3:12">
      <c r="E14" s="78" t="s">
        <v>43</v>
      </c>
      <c r="F14" s="79"/>
      <c r="G14" s="95">
        <f>Dat_01!F158*100</f>
        <v>-0.95700000000000007</v>
      </c>
      <c r="H14" s="95"/>
      <c r="I14" s="95">
        <f>Dat_01!J158*100</f>
        <v>1.4590000000000001</v>
      </c>
      <c r="J14" s="95"/>
      <c r="K14" s="95">
        <f>Dat_01!N158*100</f>
        <v>2.3529999999999998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132</v>
      </c>
    </row>
    <row r="2" spans="1:2">
      <c r="A2" t="s">
        <v>128</v>
      </c>
    </row>
    <row r="3" spans="1:2">
      <c r="A3" t="s">
        <v>129</v>
      </c>
    </row>
    <row r="4" spans="1:2">
      <c r="A4" t="s">
        <v>130</v>
      </c>
    </row>
    <row r="5" spans="1:2">
      <c r="A5" t="s">
        <v>131</v>
      </c>
    </row>
    <row r="6" spans="1:2">
      <c r="A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Agosto 2024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24/23</v>
      </c>
      <c r="H8" s="24" t="s">
        <v>13</v>
      </c>
      <c r="I8" s="96" t="str">
        <f>G8</f>
        <v>% 24/23</v>
      </c>
      <c r="J8" s="24" t="s">
        <v>13</v>
      </c>
      <c r="K8" s="96" t="str">
        <f>I8</f>
        <v>% 24/23</v>
      </c>
      <c r="L8" s="24" t="s">
        <v>13</v>
      </c>
      <c r="M8" s="96" t="str">
        <f>K8</f>
        <v>% 24/23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0.28181699999999998</v>
      </c>
      <c r="I9" s="14">
        <f>IF(Dat_01!AB8*100=-100,"-",Dat_01!AB8*100)</f>
        <v>-2.6690151799999997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3.975784</v>
      </c>
      <c r="I10" s="14">
        <f>Dat_01!AB15*100</f>
        <v>47.260640309999999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38">
        <f>Dat_01!R16/1000</f>
        <v>0</v>
      </c>
      <c r="G11" s="14" t="str">
        <f>IF(Dat_01!R16=0,"-",Dat_01!T16*100)</f>
        <v>-</v>
      </c>
      <c r="H11" s="138">
        <f>Dat_01!Z16/1000</f>
        <v>210.63209700000002</v>
      </c>
      <c r="I11" s="14">
        <f>Dat_01!AB16*100</f>
        <v>18.063739309999999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55.444463999999996</v>
      </c>
      <c r="G12" s="14">
        <f>Dat_01!T17*100</f>
        <v>24.175642250000003</v>
      </c>
      <c r="H12" s="138">
        <f>Dat_01!Z17/1000</f>
        <v>40.818286999999998</v>
      </c>
      <c r="I12" s="14">
        <f>Dat_01!AB17*100</f>
        <v>21.094916650000002</v>
      </c>
      <c r="J12" s="138" t="s">
        <v>3</v>
      </c>
      <c r="K12" s="14" t="s">
        <v>3</v>
      </c>
      <c r="L12" s="138">
        <f>Dat_01!J17/1000</f>
        <v>6.8600000000000006E-3</v>
      </c>
      <c r="M12" s="14">
        <f>IF(Dat_01!L17*100=-100,"-",Dat_01!L17*100)</f>
        <v>-12.15264438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0.28992599999999996</v>
      </c>
      <c r="G13" s="14">
        <f>IF(Dat_01!T18=-100%,"-",Dat_01!T18*100)</f>
        <v>214.94867199000001</v>
      </c>
      <c r="H13" s="138">
        <f>Dat_01!Z18/1000</f>
        <v>1.3289139999999999</v>
      </c>
      <c r="I13" s="14">
        <f>IF(Dat_01!AB18*100=-100,"-",Dat_01!AB18*100)</f>
        <v>254.54062808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15.578734000000001</v>
      </c>
      <c r="G14" s="14">
        <f>Dat_01!T21*100</f>
        <v>6.0996597899999996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0.493647</v>
      </c>
      <c r="M14" s="14">
        <f>Dat_01!L21*100</f>
        <v>-6.1690450100000005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71.313124000000002</v>
      </c>
      <c r="G15" s="156">
        <f>((SUM(Dat_01!R8,Dat_01!R15:R18,Dat_01!R20)/SUM(Dat_01!S8,Dat_01!S15:S18,Dat_01!S20))-1)*100</f>
        <v>19.807432143764213</v>
      </c>
      <c r="H15" s="155">
        <f>SUM(H9:H14)</f>
        <v>257.03689900000001</v>
      </c>
      <c r="I15" s="156">
        <f>((SUM(Dat_01!Z8,Dat_01!Z15:Z18,Dat_01!Z20)/SUM(Dat_01!AA8,Dat_01!AA15:AA18,Dat_01!AA20))-1)*100</f>
        <v>19.287234489013816</v>
      </c>
      <c r="J15" s="155" t="s">
        <v>3</v>
      </c>
      <c r="K15" s="156" t="s">
        <v>3</v>
      </c>
      <c r="L15" s="156">
        <f>SUM(L9:L14)</f>
        <v>0.50050700000000004</v>
      </c>
      <c r="M15" s="156">
        <f>((SUM(Dat_01!J8,Dat_01!J15:J18,Dat_01!J21)/SUM(Dat_01!K8,Dat_01!K15:K18,Dat_01!K20))-1)*100</f>
        <v>-6.2565612465736216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-0.75178999999999996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62.806652999999997</v>
      </c>
      <c r="G17" s="20">
        <f>((SUM(Dat_01!R10,Dat_01!R14)/SUM(Dat_01!S10,Dat_01!S14))-1)*100</f>
        <v>-3.2620613000654664</v>
      </c>
      <c r="H17" s="139">
        <f>SUM(Dat_01!Z10,Dat_01!Z14)/1000</f>
        <v>149.168069</v>
      </c>
      <c r="I17" s="20">
        <f>((SUM(Dat_01!Z10,Dat_01!Z14)/SUM(Dat_01!AA10,Dat_01!AA14))-1)*100</f>
        <v>-5.6723276544498162</v>
      </c>
      <c r="J17" s="139">
        <f>Dat_01!B10/1000</f>
        <v>18.052401999999997</v>
      </c>
      <c r="K17" s="20">
        <f>Dat_01!D10*100</f>
        <v>5.83272353</v>
      </c>
      <c r="L17" s="139">
        <f>Dat_01!J10/1000</f>
        <v>21.530129000000002</v>
      </c>
      <c r="M17" s="20">
        <f>Dat_01!L10*100</f>
        <v>3.8576243500000005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57.566750999999996</v>
      </c>
      <c r="G18" s="20">
        <f>Dat_01!T11*100</f>
        <v>7.7721430100000006</v>
      </c>
      <c r="H18" s="139">
        <f>Dat_01!Z11/1000</f>
        <v>15.569345999999999</v>
      </c>
      <c r="I18" s="20">
        <f>Dat_01!AB11*100</f>
        <v>-7.2987415499999999</v>
      </c>
      <c r="J18" s="139">
        <f>Dat_01!B11/1000</f>
        <v>3.0865E-2</v>
      </c>
      <c r="K18" s="20">
        <f>IF(Dat_01!D11=-100%,"-",Dat_01!D11*100)</f>
        <v>773.37294850000001</v>
      </c>
      <c r="L18" s="139">
        <f>Dat_01!J11/1000</f>
        <v>2.264E-3</v>
      </c>
      <c r="M18" s="20">
        <f>IF(Dat_01!L11*100=-100,"-",Dat_01!L11*100)</f>
        <v>-20.949720669999998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101.50272699999999</v>
      </c>
      <c r="I19" s="20">
        <f>Dat_01!AB12*100</f>
        <v>-3.6209289800000004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120.37340399999999</v>
      </c>
      <c r="G20" s="14">
        <f>((SUM(Dat_01!R10:R12,Dat_01!R14)/SUM(Dat_01!S10:S12,Dat_01!S14))-1)*100</f>
        <v>1.7184678899122119</v>
      </c>
      <c r="H20" s="138">
        <f>SUM(H17:H19)</f>
        <v>266.24014199999999</v>
      </c>
      <c r="I20" s="14">
        <f>(H20/(H17/(I17/100+1)+H18/(I18/100+1)+H19/(I19/100+1))-1)*100</f>
        <v>-4.9988938771512554</v>
      </c>
      <c r="J20" s="138">
        <f>SUM(J17:J19)</f>
        <v>18.083266999999996</v>
      </c>
      <c r="K20" s="14">
        <f>((SUM(Dat_01!B10:B12)/SUM(Dat_01!C10:C12))-1)*100</f>
        <v>5.9917109293582627</v>
      </c>
      <c r="L20" s="138">
        <f>SUM(L17:L19)</f>
        <v>21.532393000000003</v>
      </c>
      <c r="M20" s="14">
        <f>((SUM(Dat_01!J10:J12)/SUM(Dat_01!K10:K12))-1)*100</f>
        <v>3.8541975801140271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333.50170400000002</v>
      </c>
      <c r="G21" s="14">
        <f>Dat_01!T13*100</f>
        <v>2.8130046200000001</v>
      </c>
      <c r="H21" s="138">
        <f>Dat_01!Z13/1000</f>
        <v>258.28017800000003</v>
      </c>
      <c r="I21" s="14">
        <f>Dat_01!AB13*100</f>
        <v>-15.85076215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3.1243510000000003</v>
      </c>
      <c r="G22" s="14">
        <f>Dat_01!T19*100</f>
        <v>-14.97510907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15.578734000000001</v>
      </c>
      <c r="G23" s="14">
        <f>Dat_01!T20*100</f>
        <v>6.0996597899999996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0.493647</v>
      </c>
      <c r="M23" s="14">
        <f>Dat_01!L20*100</f>
        <v>-6.1690450100000005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471.82640300000003</v>
      </c>
      <c r="G24" s="156">
        <f>((SUM(Dat_01!R9:R14,Dat_01!R19,Dat_01!R21)/SUM(Dat_01!S9:S14,Dat_01!S19,Dat_01!S21))-1)*100</f>
        <v>0.3677322804696459</v>
      </c>
      <c r="H24" s="140">
        <f>SUM(H16,H20:H23)</f>
        <v>524.52032000000008</v>
      </c>
      <c r="I24" s="156">
        <f>((SUM(Dat_01!Z9:Z14,Dat_01!Z19,Dat_01!Z21)/SUM(Dat_01!AA9:AA14,Dat_01!AA19,Dat_01!AA21))-1)*100</f>
        <v>-10.67138330285543</v>
      </c>
      <c r="J24" s="140">
        <f>SUM(J16,J20:J23)</f>
        <v>18.083266999999996</v>
      </c>
      <c r="K24" s="156">
        <f>((SUM(Dat_01!B9:B14,Dat_01!B19,Dat_01!B21)/SUM(Dat_01!C9:C14,Dat_01!C19,Dat_01!C21))-1)*100</f>
        <v>5.9917109293582627</v>
      </c>
      <c r="L24" s="140">
        <f>SUM(L16,L20:L23)</f>
        <v>22.026040000000002</v>
      </c>
      <c r="M24" s="156">
        <f>((SUM(Dat_01!J9:J14,Dat_01!J19,Dat_01!J21)/SUM(Dat_01!K9:K14,Dat_01!K19,Dat_01!K21))-1)*100</f>
        <v>3.6061541454604384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187.956546</v>
      </c>
      <c r="G25" s="11">
        <f>Dat_01!T23*100</f>
        <v>7.3980386600000001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731.09607299999993</v>
      </c>
      <c r="G26" s="8">
        <f>Dat_01!T24*100</f>
        <v>3.7560072200000003</v>
      </c>
      <c r="H26" s="142">
        <f>Dat_01!Z24/1000</f>
        <v>781.55721900000003</v>
      </c>
      <c r="I26" s="8">
        <f>Dat_01!AB24*100</f>
        <v>-2.6288514599999999</v>
      </c>
      <c r="J26" s="142">
        <f>Dat_01!B24/1000</f>
        <v>18.083274000000003</v>
      </c>
      <c r="K26" s="8">
        <f>Dat_01!D24*100</f>
        <v>5.9917519599999993</v>
      </c>
      <c r="L26" s="142">
        <f>Dat_01!J24/1000</f>
        <v>22.526546999999997</v>
      </c>
      <c r="M26" s="8">
        <f>Dat_01!L24*100</f>
        <v>3.3645286900000002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I21" sqref="I21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Agosto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Agosto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I25" sqref="I25:J25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Agosto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Agosto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57" zoomScale="80" zoomScaleNormal="80" workbookViewId="0">
      <selection activeCell="D68" sqref="D68:D78"/>
    </sheetView>
  </sheetViews>
  <sheetFormatPr baseColWidth="10" defaultColWidth="11.42578125" defaultRowHeight="12"/>
  <cols>
    <col min="1" max="1" width="9.140625" style="102" bestFit="1" customWidth="1"/>
    <col min="2" max="2" width="13.28515625" style="102" bestFit="1" customWidth="1"/>
    <col min="3" max="3" width="24.5703125" style="102" bestFit="1" customWidth="1"/>
    <col min="4" max="4" width="20.42578125" style="102" bestFit="1" customWidth="1"/>
    <col min="5" max="5" width="20.85546875" style="102" bestFit="1" customWidth="1"/>
    <col min="6" max="6" width="33.28515625" style="102" bestFit="1" customWidth="1"/>
    <col min="7" max="7" width="24.5703125" style="102" bestFit="1" customWidth="1"/>
    <col min="8" max="8" width="20.42578125" style="102" bestFit="1" customWidth="1"/>
    <col min="9" max="9" width="20.85546875" style="102" bestFit="1" customWidth="1"/>
    <col min="10" max="10" width="28.85546875" style="102" bestFit="1" customWidth="1"/>
    <col min="11" max="11" width="29" style="102" bestFit="1" customWidth="1"/>
    <col min="12" max="12" width="24.7109375" style="102" bestFit="1" customWidth="1"/>
    <col min="13" max="13" width="25.42578125" style="102" bestFit="1" customWidth="1"/>
    <col min="14" max="14" width="33.28515625" style="102" bestFit="1" customWidth="1"/>
    <col min="15" max="33" width="21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125</v>
      </c>
      <c r="B2" s="133" t="s">
        <v>126</v>
      </c>
    </row>
    <row r="4" spans="1:33" ht="15">
      <c r="A4" s="134" t="s">
        <v>67</v>
      </c>
      <c r="B4" s="199" t="s">
        <v>125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15" t="s">
        <v>15</v>
      </c>
      <c r="C5" s="216"/>
      <c r="D5" s="216"/>
      <c r="E5" s="216"/>
      <c r="F5" s="216"/>
      <c r="G5" s="216"/>
      <c r="H5" s="216"/>
      <c r="I5" s="217"/>
      <c r="J5" s="215" t="s">
        <v>14</v>
      </c>
      <c r="K5" s="216"/>
      <c r="L5" s="216"/>
      <c r="M5" s="216"/>
      <c r="N5" s="216"/>
      <c r="O5" s="216"/>
      <c r="P5" s="216"/>
      <c r="Q5" s="217"/>
      <c r="R5" s="215" t="s">
        <v>57</v>
      </c>
      <c r="S5" s="216"/>
      <c r="T5" s="216"/>
      <c r="U5" s="216"/>
      <c r="V5" s="216"/>
      <c r="W5" s="216"/>
      <c r="X5" s="216"/>
      <c r="Y5" s="217"/>
      <c r="Z5" s="215" t="s">
        <v>58</v>
      </c>
      <c r="AA5" s="216"/>
      <c r="AB5" s="216"/>
      <c r="AC5" s="216"/>
      <c r="AD5" s="216"/>
      <c r="AE5" s="216"/>
      <c r="AF5" s="216"/>
      <c r="AG5" s="216"/>
    </row>
    <row r="6" spans="1:33">
      <c r="A6" s="134" t="s">
        <v>69</v>
      </c>
      <c r="B6" s="184" t="s">
        <v>59</v>
      </c>
      <c r="C6" s="184" t="s">
        <v>60</v>
      </c>
      <c r="D6" s="184" t="s">
        <v>61</v>
      </c>
      <c r="E6" s="184" t="s">
        <v>62</v>
      </c>
      <c r="F6" s="184" t="s">
        <v>63</v>
      </c>
      <c r="G6" s="184" t="s">
        <v>64</v>
      </c>
      <c r="H6" s="184" t="s">
        <v>65</v>
      </c>
      <c r="I6" s="184" t="s">
        <v>66</v>
      </c>
      <c r="J6" s="184" t="s">
        <v>59</v>
      </c>
      <c r="K6" s="184" t="s">
        <v>60</v>
      </c>
      <c r="L6" s="184" t="s">
        <v>61</v>
      </c>
      <c r="M6" s="184" t="s">
        <v>62</v>
      </c>
      <c r="N6" s="184" t="s">
        <v>63</v>
      </c>
      <c r="O6" s="184" t="s">
        <v>64</v>
      </c>
      <c r="P6" s="184" t="s">
        <v>65</v>
      </c>
      <c r="Q6" s="184" t="s">
        <v>66</v>
      </c>
      <c r="R6" s="184" t="s">
        <v>59</v>
      </c>
      <c r="S6" s="184" t="s">
        <v>60</v>
      </c>
      <c r="T6" s="184" t="s">
        <v>61</v>
      </c>
      <c r="U6" s="184" t="s">
        <v>62</v>
      </c>
      <c r="V6" s="184" t="s">
        <v>63</v>
      </c>
      <c r="W6" s="184" t="s">
        <v>64</v>
      </c>
      <c r="X6" s="184" t="s">
        <v>65</v>
      </c>
      <c r="Y6" s="184" t="s">
        <v>66</v>
      </c>
      <c r="Z6" s="184" t="s">
        <v>59</v>
      </c>
      <c r="AA6" s="184" t="s">
        <v>60</v>
      </c>
      <c r="AB6" s="184" t="s">
        <v>61</v>
      </c>
      <c r="AC6" s="184" t="s">
        <v>62</v>
      </c>
      <c r="AD6" s="184" t="s">
        <v>63</v>
      </c>
      <c r="AE6" s="184" t="s">
        <v>64</v>
      </c>
      <c r="AF6" s="184" t="s">
        <v>65</v>
      </c>
      <c r="AG6" s="184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281.81700000000001</v>
      </c>
      <c r="AA8" s="169">
        <v>289.54500000000002</v>
      </c>
      <c r="AB8" s="170">
        <v>-2.6690151799999999E-2</v>
      </c>
      <c r="AC8" s="169">
        <v>2242.623</v>
      </c>
      <c r="AD8" s="169">
        <v>2268.2710000000002</v>
      </c>
      <c r="AE8" s="170">
        <v>-1.1307290899999999E-2</v>
      </c>
      <c r="AF8" s="169">
        <v>3421.2489999999998</v>
      </c>
      <c r="AG8" s="170">
        <v>1.1670165000000001E-3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-751.79</v>
      </c>
      <c r="S9" s="169">
        <v>9023.2189999999991</v>
      </c>
      <c r="T9" s="170">
        <v>-1.0833172729</v>
      </c>
      <c r="U9" s="169">
        <v>46276.985999999997</v>
      </c>
      <c r="V9" s="169">
        <v>63733.949000000001</v>
      </c>
      <c r="W9" s="170">
        <v>-0.27390367729999998</v>
      </c>
      <c r="X9" s="169">
        <v>43035.069000000003</v>
      </c>
      <c r="Y9" s="170">
        <v>-0.2979826384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18052.401999999998</v>
      </c>
      <c r="C10" s="169">
        <v>17057.486000000001</v>
      </c>
      <c r="D10" s="170">
        <v>5.8327235300000002E-2</v>
      </c>
      <c r="E10" s="169">
        <v>124638.308</v>
      </c>
      <c r="F10" s="169">
        <v>124721.82</v>
      </c>
      <c r="G10" s="170">
        <v>-6.6958610000000004E-4</v>
      </c>
      <c r="H10" s="169">
        <v>185920.432</v>
      </c>
      <c r="I10" s="170">
        <v>-6.8714168000000003E-3</v>
      </c>
      <c r="J10" s="169">
        <v>21530.129000000001</v>
      </c>
      <c r="K10" s="169">
        <v>20730.427</v>
      </c>
      <c r="L10" s="170">
        <v>3.8576243500000003E-2</v>
      </c>
      <c r="M10" s="169">
        <v>127741.587</v>
      </c>
      <c r="N10" s="169">
        <v>129125.27099999999</v>
      </c>
      <c r="O10" s="170">
        <v>-1.0715826499999999E-2</v>
      </c>
      <c r="P10" s="169">
        <v>189716.26500000001</v>
      </c>
      <c r="Q10" s="170">
        <v>8.9340442999999992E-3</v>
      </c>
      <c r="R10" s="169">
        <v>62806.652999999998</v>
      </c>
      <c r="S10" s="169">
        <v>64924.531000000003</v>
      </c>
      <c r="T10" s="170">
        <v>-3.2620613E-2</v>
      </c>
      <c r="U10" s="169">
        <v>177478.31299999999</v>
      </c>
      <c r="V10" s="169">
        <v>189385.535</v>
      </c>
      <c r="W10" s="170">
        <v>-6.28729222E-2</v>
      </c>
      <c r="X10" s="169">
        <v>239504.77299999999</v>
      </c>
      <c r="Y10" s="170">
        <v>-4.4875077899999997E-2</v>
      </c>
      <c r="Z10" s="169">
        <v>149168.06899999999</v>
      </c>
      <c r="AA10" s="169">
        <v>158138.185</v>
      </c>
      <c r="AB10" s="170">
        <v>-5.6723276500000003E-2</v>
      </c>
      <c r="AC10" s="169">
        <v>1210703.831</v>
      </c>
      <c r="AD10" s="169">
        <v>1209673.946</v>
      </c>
      <c r="AE10" s="170">
        <v>8.5137400000000001E-4</v>
      </c>
      <c r="AF10" s="169">
        <v>1883891.429</v>
      </c>
      <c r="AG10" s="170">
        <v>2.7890377000000001E-2</v>
      </c>
    </row>
    <row r="11" spans="1:33">
      <c r="A11" s="133" t="s">
        <v>9</v>
      </c>
      <c r="B11" s="169">
        <v>30.864999999999998</v>
      </c>
      <c r="C11" s="169">
        <v>3.5339999999999998</v>
      </c>
      <c r="D11" s="170">
        <v>7.7337294849999996</v>
      </c>
      <c r="E11" s="169">
        <v>356.43099999999998</v>
      </c>
      <c r="F11" s="169">
        <v>47.494999999999997</v>
      </c>
      <c r="G11" s="170">
        <v>6.5046004843</v>
      </c>
      <c r="H11" s="169">
        <v>562.17499999999995</v>
      </c>
      <c r="I11" s="170">
        <v>0.40128968250000002</v>
      </c>
      <c r="J11" s="169">
        <v>2.2639999999999998</v>
      </c>
      <c r="K11" s="169">
        <v>2.8639999999999999</v>
      </c>
      <c r="L11" s="170">
        <v>-0.20949720669999999</v>
      </c>
      <c r="M11" s="169">
        <v>250.85400000000001</v>
      </c>
      <c r="N11" s="169">
        <v>36.917000000000002</v>
      </c>
      <c r="O11" s="170">
        <v>5.7950808571000003</v>
      </c>
      <c r="P11" s="169">
        <v>258.07299999999998</v>
      </c>
      <c r="Q11" s="170">
        <v>5.1494269306999998</v>
      </c>
      <c r="R11" s="169">
        <v>57566.750999999997</v>
      </c>
      <c r="S11" s="169">
        <v>53415.241999999998</v>
      </c>
      <c r="T11" s="170">
        <v>7.7721430100000002E-2</v>
      </c>
      <c r="U11" s="169">
        <v>285973.77799999999</v>
      </c>
      <c r="V11" s="169">
        <v>357835.83</v>
      </c>
      <c r="W11" s="170">
        <v>-0.2008240818</v>
      </c>
      <c r="X11" s="169">
        <v>426311.87199999997</v>
      </c>
      <c r="Y11" s="170">
        <v>-0.15875002799999999</v>
      </c>
      <c r="Z11" s="169">
        <v>15569.346</v>
      </c>
      <c r="AA11" s="169">
        <v>16795.183000000001</v>
      </c>
      <c r="AB11" s="170">
        <v>-7.29874155E-2</v>
      </c>
      <c r="AC11" s="169">
        <v>160733.57</v>
      </c>
      <c r="AD11" s="169">
        <v>156296.492</v>
      </c>
      <c r="AE11" s="170">
        <v>2.83888521E-2</v>
      </c>
      <c r="AF11" s="169">
        <v>260409.30600000001</v>
      </c>
      <c r="AG11" s="170">
        <v>-2.4603559600000002E-2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101502.727</v>
      </c>
      <c r="AA12" s="169">
        <v>105316.15</v>
      </c>
      <c r="AB12" s="170">
        <v>-3.6209289800000002E-2</v>
      </c>
      <c r="AC12" s="169">
        <v>825735.86699999997</v>
      </c>
      <c r="AD12" s="169">
        <v>805094.97</v>
      </c>
      <c r="AE12" s="170">
        <v>2.5637841200000001E-2</v>
      </c>
      <c r="AF12" s="169">
        <v>1238290.8929999999</v>
      </c>
      <c r="AG12" s="170">
        <v>-1.0250621099999999E-2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333501.70400000003</v>
      </c>
      <c r="S13" s="169">
        <v>324376.96500000003</v>
      </c>
      <c r="T13" s="170">
        <v>2.8130046200000001E-2</v>
      </c>
      <c r="U13" s="169">
        <v>1907453.6410000001</v>
      </c>
      <c r="V13" s="169">
        <v>2069619.831</v>
      </c>
      <c r="W13" s="170">
        <v>-7.8355545100000007E-2</v>
      </c>
      <c r="X13" s="169">
        <v>2909065.4350000001</v>
      </c>
      <c r="Y13" s="170">
        <v>-9.9271249899999997E-2</v>
      </c>
      <c r="Z13" s="169">
        <v>258280.17800000001</v>
      </c>
      <c r="AA13" s="169">
        <v>306931.09600000002</v>
      </c>
      <c r="AB13" s="170">
        <v>-0.1585076215</v>
      </c>
      <c r="AC13" s="169">
        <v>2304618.122</v>
      </c>
      <c r="AD13" s="169">
        <v>2317379.4539999999</v>
      </c>
      <c r="AE13" s="170">
        <v>-5.5067943000000003E-3</v>
      </c>
      <c r="AF13" s="169">
        <v>3683956.3190000001</v>
      </c>
      <c r="AG13" s="170">
        <v>3.3231746800000003E-2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0</v>
      </c>
      <c r="W14" s="170">
        <v>0</v>
      </c>
      <c r="X14" s="169">
        <v>0</v>
      </c>
      <c r="Y14" s="170">
        <v>-1</v>
      </c>
      <c r="Z14" s="169">
        <v>0</v>
      </c>
      <c r="AA14" s="169">
        <v>0</v>
      </c>
      <c r="AB14" s="170">
        <v>0</v>
      </c>
      <c r="AC14" s="169">
        <v>0</v>
      </c>
      <c r="AD14" s="169">
        <v>-65.988</v>
      </c>
      <c r="AE14" s="170">
        <v>-1</v>
      </c>
      <c r="AF14" s="169">
        <v>0</v>
      </c>
      <c r="AG14" s="170">
        <v>-1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3975.7840000000001</v>
      </c>
      <c r="AA15" s="169">
        <v>2699.828</v>
      </c>
      <c r="AB15" s="170">
        <v>0.47260640310000002</v>
      </c>
      <c r="AC15" s="169">
        <v>17335.171999999999</v>
      </c>
      <c r="AD15" s="169">
        <v>13959.445</v>
      </c>
      <c r="AE15" s="170">
        <v>0.24182386910000001</v>
      </c>
      <c r="AF15" s="169">
        <v>20852.499</v>
      </c>
      <c r="AG15" s="170">
        <v>0.10207500880000001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97.921000000000006</v>
      </c>
      <c r="T16" s="170">
        <v>-1</v>
      </c>
      <c r="U16" s="169">
        <v>0</v>
      </c>
      <c r="V16" s="169">
        <v>1248.982</v>
      </c>
      <c r="W16" s="170">
        <v>-1</v>
      </c>
      <c r="X16" s="169">
        <v>19.088000000000001</v>
      </c>
      <c r="Y16" s="170">
        <v>-0.98628210370000002</v>
      </c>
      <c r="Z16" s="169">
        <v>210632.09700000001</v>
      </c>
      <c r="AA16" s="169">
        <v>178405.40900000001</v>
      </c>
      <c r="AB16" s="170">
        <v>0.18063739309999999</v>
      </c>
      <c r="AC16" s="169">
        <v>1002857.064</v>
      </c>
      <c r="AD16" s="169">
        <v>994992.19200000004</v>
      </c>
      <c r="AE16" s="170">
        <v>7.9044560000000007E-3</v>
      </c>
      <c r="AF16" s="169">
        <v>1333712.2039999999</v>
      </c>
      <c r="AG16" s="170">
        <v>-7.8451414999999997E-3</v>
      </c>
    </row>
    <row r="17" spans="1:33">
      <c r="A17" s="133" t="s">
        <v>4</v>
      </c>
      <c r="B17" s="169">
        <v>7.0000000000000001E-3</v>
      </c>
      <c r="C17" s="169">
        <v>0</v>
      </c>
      <c r="D17" s="170">
        <v>0</v>
      </c>
      <c r="E17" s="169">
        <v>4.1000000000000002E-2</v>
      </c>
      <c r="F17" s="169">
        <v>0</v>
      </c>
      <c r="G17" s="170">
        <v>0</v>
      </c>
      <c r="H17" s="169">
        <v>4.1000000000000002E-2</v>
      </c>
      <c r="I17" s="170">
        <v>0</v>
      </c>
      <c r="J17" s="169">
        <v>6.86</v>
      </c>
      <c r="K17" s="169">
        <v>7.8090000000000002</v>
      </c>
      <c r="L17" s="170">
        <v>-0.12152644379999999</v>
      </c>
      <c r="M17" s="169">
        <v>51.469000000000001</v>
      </c>
      <c r="N17" s="169">
        <v>55.723999999999997</v>
      </c>
      <c r="O17" s="170">
        <v>-7.63584811E-2</v>
      </c>
      <c r="P17" s="169">
        <v>72.272000000000006</v>
      </c>
      <c r="Q17" s="170">
        <v>-3.4790389599999999E-2</v>
      </c>
      <c r="R17" s="169">
        <v>55444.464</v>
      </c>
      <c r="S17" s="169">
        <v>44650.031999999999</v>
      </c>
      <c r="T17" s="170">
        <v>0.24175642250000001</v>
      </c>
      <c r="U17" s="169">
        <v>372005.15600000002</v>
      </c>
      <c r="V17" s="169">
        <v>273671.35399999999</v>
      </c>
      <c r="W17" s="170">
        <v>0.35931346330000002</v>
      </c>
      <c r="X17" s="169">
        <v>487273.46</v>
      </c>
      <c r="Y17" s="170">
        <v>0.37140775380000002</v>
      </c>
      <c r="Z17" s="169">
        <v>40818.286999999997</v>
      </c>
      <c r="AA17" s="169">
        <v>33707.68</v>
      </c>
      <c r="AB17" s="170">
        <v>0.21094916650000001</v>
      </c>
      <c r="AC17" s="169">
        <v>274264.86300000001</v>
      </c>
      <c r="AD17" s="169">
        <v>235875.25099999999</v>
      </c>
      <c r="AE17" s="170">
        <v>0.16275387869999999</v>
      </c>
      <c r="AF17" s="169">
        <v>384359.01299999998</v>
      </c>
      <c r="AG17" s="170">
        <v>0.1592974244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289.92599999999999</v>
      </c>
      <c r="S18" s="169">
        <v>92.055000000000007</v>
      </c>
      <c r="T18" s="170">
        <v>2.1494867199000001</v>
      </c>
      <c r="U18" s="169">
        <v>792.74099999999999</v>
      </c>
      <c r="V18" s="169">
        <v>1004.0119999999999</v>
      </c>
      <c r="W18" s="170">
        <v>-0.2104267678</v>
      </c>
      <c r="X18" s="169">
        <v>1351.8340000000001</v>
      </c>
      <c r="Y18" s="170">
        <v>-4.2917534200000003E-2</v>
      </c>
      <c r="Z18" s="169">
        <v>1328.914</v>
      </c>
      <c r="AA18" s="169">
        <v>374.827</v>
      </c>
      <c r="AB18" s="170">
        <v>2.5454062808</v>
      </c>
      <c r="AC18" s="169">
        <v>4723.4949999999999</v>
      </c>
      <c r="AD18" s="169">
        <v>5201.1869999999999</v>
      </c>
      <c r="AE18" s="170">
        <v>-9.1842881200000004E-2</v>
      </c>
      <c r="AF18" s="169">
        <v>6490.2659999999996</v>
      </c>
      <c r="AG18" s="170">
        <v>-0.20819939970000001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3124.3510000000001</v>
      </c>
      <c r="S19" s="169">
        <v>3674.6309999999999</v>
      </c>
      <c r="T19" s="170">
        <v>-0.14975109070000001</v>
      </c>
      <c r="U19" s="169">
        <v>26473.962</v>
      </c>
      <c r="V19" s="169">
        <v>27196.077000000001</v>
      </c>
      <c r="W19" s="170">
        <v>-2.65521752E-2</v>
      </c>
      <c r="X19" s="169">
        <v>36243.35</v>
      </c>
      <c r="Y19" s="170">
        <v>-6.3682508999999997E-3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493.64699999999999</v>
      </c>
      <c r="K20" s="169">
        <v>526.10249999999996</v>
      </c>
      <c r="L20" s="170">
        <v>-6.1690450100000002E-2</v>
      </c>
      <c r="M20" s="169">
        <v>4064.3335000000002</v>
      </c>
      <c r="N20" s="169">
        <v>3747.6039999999998</v>
      </c>
      <c r="O20" s="170">
        <v>8.4515199599999993E-2</v>
      </c>
      <c r="P20" s="169">
        <v>5730.5045</v>
      </c>
      <c r="Q20" s="170">
        <v>2.9850546400000001E-2</v>
      </c>
      <c r="R20" s="169">
        <v>15578.734</v>
      </c>
      <c r="S20" s="169">
        <v>14683.114</v>
      </c>
      <c r="T20" s="170">
        <v>6.0996597899999998E-2</v>
      </c>
      <c r="U20" s="169">
        <v>100411.166</v>
      </c>
      <c r="V20" s="169">
        <v>92537.486499999999</v>
      </c>
      <c r="W20" s="170">
        <v>8.5086377399999996E-2</v>
      </c>
      <c r="X20" s="169">
        <v>141008.68</v>
      </c>
      <c r="Y20" s="170">
        <v>2.21548983E-2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493.64699999999999</v>
      </c>
      <c r="K21" s="169">
        <v>526.10249999999996</v>
      </c>
      <c r="L21" s="170">
        <v>-6.1690450100000002E-2</v>
      </c>
      <c r="M21" s="169">
        <v>4064.3335000000002</v>
      </c>
      <c r="N21" s="169">
        <v>3747.6039999999998</v>
      </c>
      <c r="O21" s="170">
        <v>8.4515199599999993E-2</v>
      </c>
      <c r="P21" s="169">
        <v>5730.5045</v>
      </c>
      <c r="Q21" s="170">
        <v>2.9850546400000001E-2</v>
      </c>
      <c r="R21" s="169">
        <v>15578.734</v>
      </c>
      <c r="S21" s="169">
        <v>14683.114</v>
      </c>
      <c r="T21" s="170">
        <v>6.0996597899999998E-2</v>
      </c>
      <c r="U21" s="169">
        <v>100411.166</v>
      </c>
      <c r="V21" s="169">
        <v>92537.486499999999</v>
      </c>
      <c r="W21" s="170">
        <v>8.5086377399999996E-2</v>
      </c>
      <c r="X21" s="169">
        <v>141008.68</v>
      </c>
      <c r="Y21" s="170">
        <v>2.21548983E-2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18083.274000000001</v>
      </c>
      <c r="C22" s="171">
        <v>17061.02</v>
      </c>
      <c r="D22" s="172">
        <v>5.9917519599999997E-2</v>
      </c>
      <c r="E22" s="171">
        <v>124994.78</v>
      </c>
      <c r="F22" s="171">
        <v>124769.315</v>
      </c>
      <c r="G22" s="172">
        <v>1.8070549000000001E-3</v>
      </c>
      <c r="H22" s="171">
        <v>186482.64799999999</v>
      </c>
      <c r="I22" s="172">
        <v>-5.9983798999999997E-3</v>
      </c>
      <c r="J22" s="171">
        <v>22526.546999999999</v>
      </c>
      <c r="K22" s="171">
        <v>21793.305</v>
      </c>
      <c r="L22" s="172">
        <v>3.3645286900000002E-2</v>
      </c>
      <c r="M22" s="171">
        <v>136172.57699999999</v>
      </c>
      <c r="N22" s="171">
        <v>136713.12</v>
      </c>
      <c r="O22" s="172">
        <v>-3.9538487999999997E-3</v>
      </c>
      <c r="P22" s="171">
        <v>201507.61900000001</v>
      </c>
      <c r="Q22" s="172">
        <v>1.11682294E-2</v>
      </c>
      <c r="R22" s="171">
        <v>543139.527</v>
      </c>
      <c r="S22" s="171">
        <v>529620.82400000002</v>
      </c>
      <c r="T22" s="172">
        <v>2.55252482E-2</v>
      </c>
      <c r="U22" s="171">
        <v>3017276.909</v>
      </c>
      <c r="V22" s="171">
        <v>3168770.5430000001</v>
      </c>
      <c r="W22" s="172">
        <v>-4.7808332000000002E-2</v>
      </c>
      <c r="X22" s="171">
        <v>4424822.2410000004</v>
      </c>
      <c r="Y22" s="172">
        <v>-6.3328537800000001E-2</v>
      </c>
      <c r="Z22" s="171">
        <v>781557.21900000004</v>
      </c>
      <c r="AA22" s="171">
        <v>802657.90300000005</v>
      </c>
      <c r="AB22" s="172">
        <v>-2.62885146E-2</v>
      </c>
      <c r="AC22" s="171">
        <v>5803214.6069999998</v>
      </c>
      <c r="AD22" s="171">
        <v>5740675.2199999997</v>
      </c>
      <c r="AE22" s="172">
        <v>1.0894082100000001E-2</v>
      </c>
      <c r="AF22" s="171">
        <v>8815383.1779999994</v>
      </c>
      <c r="AG22" s="172">
        <v>2.2362145600000001E-2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187956.546</v>
      </c>
      <c r="S23" s="169">
        <v>175009.291</v>
      </c>
      <c r="T23" s="170">
        <v>7.3980386600000003E-2</v>
      </c>
      <c r="U23" s="169">
        <v>1117073.8389999999</v>
      </c>
      <c r="V23" s="169">
        <v>980581.78</v>
      </c>
      <c r="W23" s="170">
        <v>0.1391949777</v>
      </c>
      <c r="X23" s="169">
        <v>1562551.9890000001</v>
      </c>
      <c r="Y23" s="170">
        <v>0.25167877799999999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18083.274000000001</v>
      </c>
      <c r="C24" s="171">
        <v>17061.02</v>
      </c>
      <c r="D24" s="172">
        <v>5.9917519599999997E-2</v>
      </c>
      <c r="E24" s="171">
        <v>124994.78</v>
      </c>
      <c r="F24" s="171">
        <v>124769.315</v>
      </c>
      <c r="G24" s="172">
        <v>1.8070549000000001E-3</v>
      </c>
      <c r="H24" s="171">
        <v>186482.64799999999</v>
      </c>
      <c r="I24" s="172">
        <v>-5.9983798999999997E-3</v>
      </c>
      <c r="J24" s="171">
        <v>22526.546999999999</v>
      </c>
      <c r="K24" s="171">
        <v>21793.305</v>
      </c>
      <c r="L24" s="172">
        <v>3.3645286900000002E-2</v>
      </c>
      <c r="M24" s="171">
        <v>136172.57699999999</v>
      </c>
      <c r="N24" s="171">
        <v>136713.12</v>
      </c>
      <c r="O24" s="172">
        <v>-3.9538487999999997E-3</v>
      </c>
      <c r="P24" s="171">
        <v>201507.61900000001</v>
      </c>
      <c r="Q24" s="172">
        <v>1.11682294E-2</v>
      </c>
      <c r="R24" s="171">
        <v>731096.07299999997</v>
      </c>
      <c r="S24" s="171">
        <v>704630.11499999999</v>
      </c>
      <c r="T24" s="172">
        <v>3.7560072200000003E-2</v>
      </c>
      <c r="U24" s="171">
        <v>4134350.7480000001</v>
      </c>
      <c r="V24" s="171">
        <v>4149352.3229999999</v>
      </c>
      <c r="W24" s="172">
        <v>-3.6154016000000001E-3</v>
      </c>
      <c r="X24" s="171">
        <v>5987374.2300000004</v>
      </c>
      <c r="Y24" s="172">
        <v>2.5155753E-3</v>
      </c>
      <c r="Z24" s="171">
        <v>781557.21900000004</v>
      </c>
      <c r="AA24" s="171">
        <v>802657.90300000005</v>
      </c>
      <c r="AB24" s="172">
        <v>-2.62885146E-2</v>
      </c>
      <c r="AC24" s="171">
        <v>5803214.6069999998</v>
      </c>
      <c r="AD24" s="171">
        <v>5740675.2199999997</v>
      </c>
      <c r="AE24" s="172">
        <v>1.0894082100000001E-2</v>
      </c>
      <c r="AF24" s="171">
        <v>8815383.1779999994</v>
      </c>
      <c r="AG24" s="172">
        <v>2.2362145600000001E-2</v>
      </c>
    </row>
    <row r="25" spans="1:33">
      <c r="R25" s="162">
        <f>SUM(R10,R14)</f>
        <v>62806.652999999998</v>
      </c>
      <c r="S25" s="162">
        <f>SUM(S10,S14)</f>
        <v>64924.531000000003</v>
      </c>
      <c r="T25" s="163">
        <f>((R25/S25)-1)*100</f>
        <v>-3.2620613000654664</v>
      </c>
    </row>
    <row r="26" spans="1:33">
      <c r="A26" s="102" t="s">
        <v>103</v>
      </c>
      <c r="B26" s="162">
        <f>SUM(B24,J24,R24,Z24)</f>
        <v>1553263.1129999999</v>
      </c>
      <c r="C26" s="162">
        <f>SUM(C24,K24,S24,AA24)</f>
        <v>1546142.3429999999</v>
      </c>
      <c r="D26" s="163">
        <f>((B26/C26)-1)*100</f>
        <v>0.46055073986159822</v>
      </c>
      <c r="R26" s="179">
        <f>R23/R24</f>
        <v>0.25708870959836222</v>
      </c>
      <c r="S26" s="179">
        <f>S23/S24</f>
        <v>0.24837043900685396</v>
      </c>
      <c r="Z26" s="163"/>
    </row>
    <row r="29" spans="1:33" ht="15">
      <c r="A29" s="134" t="s">
        <v>67</v>
      </c>
      <c r="B29" s="199" t="str">
        <f>A2</f>
        <v>Agosto 2024</v>
      </c>
      <c r="C29" s="200"/>
    </row>
    <row r="30" spans="1:33" ht="15">
      <c r="A30" s="134" t="s">
        <v>69</v>
      </c>
      <c r="B30" s="210" t="s">
        <v>72</v>
      </c>
      <c r="C30" s="211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3.5674999999999999</v>
      </c>
      <c r="C41" s="176">
        <v>644.71</v>
      </c>
      <c r="D41" s="167"/>
    </row>
    <row r="42" spans="1:4">
      <c r="A42" s="133" t="s">
        <v>4</v>
      </c>
      <c r="B42" s="176">
        <v>336.82939499999998</v>
      </c>
      <c r="C42" s="176">
        <v>275.33394500000003</v>
      </c>
      <c r="D42" s="167"/>
    </row>
    <row r="43" spans="1:4">
      <c r="A43" s="133" t="s">
        <v>22</v>
      </c>
      <c r="B43" s="176">
        <v>3.9319999999999999</v>
      </c>
      <c r="C43" s="176">
        <v>7.4359999999999999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2237.2518950000003</v>
      </c>
      <c r="C47" s="177">
        <f>SUM(C33:C46)</f>
        <v>3334.9499449999998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10.78108372772213</v>
      </c>
      <c r="D52" s="165"/>
      <c r="F52" s="105" t="s">
        <v>10</v>
      </c>
      <c r="G52" s="106">
        <f>C35</f>
        <v>487.64</v>
      </c>
      <c r="H52" s="107">
        <f>G52/$G$62*100</f>
        <v>14.622108518633253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6.2308585059886612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15.614927018042547</v>
      </c>
    </row>
    <row r="54" spans="1:8">
      <c r="A54" s="105" t="s">
        <v>9</v>
      </c>
      <c r="B54" s="106">
        <f t="shared" si="1"/>
        <v>603.1</v>
      </c>
      <c r="C54" s="107">
        <f t="shared" si="0"/>
        <v>26.957179088678345</v>
      </c>
      <c r="D54" s="165"/>
      <c r="F54" s="105" t="s">
        <v>8</v>
      </c>
      <c r="G54" s="106">
        <f>C37</f>
        <v>482.64</v>
      </c>
      <c r="H54" s="107">
        <f t="shared" si="2"/>
        <v>14.472181230894007</v>
      </c>
    </row>
    <row r="55" spans="1:8">
      <c r="A55" s="105" t="s">
        <v>25</v>
      </c>
      <c r="B55" s="106">
        <f>B38</f>
        <v>822.9</v>
      </c>
      <c r="C55" s="107">
        <f t="shared" si="0"/>
        <v>36.781732170574379</v>
      </c>
      <c r="D55" s="165"/>
      <c r="F55" s="105" t="s">
        <v>25</v>
      </c>
      <c r="G55" s="106">
        <f>C38</f>
        <v>865.4</v>
      </c>
      <c r="H55" s="107">
        <f t="shared" si="2"/>
        <v>25.949414961908822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1.145444478327845</v>
      </c>
    </row>
    <row r="57" spans="1:8">
      <c r="A57" s="105" t="s">
        <v>23</v>
      </c>
      <c r="B57" s="106">
        <f>B44</f>
        <v>11.523</v>
      </c>
      <c r="C57" s="107">
        <f t="shared" si="0"/>
        <v>0.51505152485299388</v>
      </c>
      <c r="D57" s="165"/>
      <c r="F57" s="105" t="s">
        <v>12</v>
      </c>
      <c r="G57" s="107">
        <f>C33</f>
        <v>1.52</v>
      </c>
      <c r="H57" s="107">
        <f t="shared" si="2"/>
        <v>4.5577895472731E-2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1.6716937455091527</v>
      </c>
      <c r="D58" s="165"/>
      <c r="F58" s="105" t="s">
        <v>6</v>
      </c>
      <c r="G58" s="106">
        <f>C40</f>
        <v>11.32</v>
      </c>
      <c r="H58" s="107">
        <f t="shared" si="2"/>
        <v>0.33943537944165458</v>
      </c>
    </row>
    <row r="59" spans="1:8">
      <c r="A59" s="105" t="s">
        <v>54</v>
      </c>
      <c r="B59" s="106">
        <f>B45</f>
        <v>37.4</v>
      </c>
      <c r="C59" s="107">
        <f t="shared" si="3"/>
        <v>1.6716937455091527</v>
      </c>
      <c r="D59" s="165"/>
      <c r="F59" s="105" t="s">
        <v>5</v>
      </c>
      <c r="G59" s="106">
        <f>C41</f>
        <v>644.71</v>
      </c>
      <c r="H59" s="107">
        <f t="shared" si="2"/>
        <v>19.331924335673953</v>
      </c>
    </row>
    <row r="60" spans="1:8">
      <c r="A60" s="105" t="s">
        <v>5</v>
      </c>
      <c r="B60" s="106">
        <f>B41</f>
        <v>3.5674999999999999</v>
      </c>
      <c r="C60" s="107">
        <f t="shared" si="3"/>
        <v>0.15945902238245729</v>
      </c>
      <c r="D60" s="165"/>
      <c r="F60" s="105" t="s">
        <v>4</v>
      </c>
      <c r="G60" s="106">
        <f>C42</f>
        <v>275.33394500000003</v>
      </c>
      <c r="H60" s="107">
        <f t="shared" si="2"/>
        <v>8.2560143192793873</v>
      </c>
    </row>
    <row r="61" spans="1:8">
      <c r="A61" s="105" t="s">
        <v>4</v>
      </c>
      <c r="B61" s="106">
        <f>B42</f>
        <v>336.82939499999998</v>
      </c>
      <c r="C61" s="107">
        <f t="shared" si="3"/>
        <v>15.055497137035612</v>
      </c>
      <c r="D61" s="165"/>
      <c r="F61" s="105" t="s">
        <v>22</v>
      </c>
      <c r="G61" s="106">
        <f>C43</f>
        <v>7.4359999999999999</v>
      </c>
      <c r="H61" s="107">
        <f t="shared" si="2"/>
        <v>0.22297186232580773</v>
      </c>
    </row>
    <row r="62" spans="1:8">
      <c r="A62" s="105" t="s">
        <v>22</v>
      </c>
      <c r="B62" s="106">
        <f>B43</f>
        <v>3.9319999999999999</v>
      </c>
      <c r="C62" s="107">
        <f t="shared" si="3"/>
        <v>0.17575133174711202</v>
      </c>
      <c r="D62" s="165"/>
      <c r="F62" s="108" t="s">
        <v>20</v>
      </c>
      <c r="G62" s="109">
        <f>SUM(G52:G61)</f>
        <v>3334.9499449999998</v>
      </c>
      <c r="H62" s="110">
        <f>SUM(H52:H61)</f>
        <v>100</v>
      </c>
    </row>
    <row r="63" spans="1:8">
      <c r="A63" s="108" t="s">
        <v>20</v>
      </c>
      <c r="B63" s="109">
        <f>SUM(B52:B62)</f>
        <v>2237.2518949999999</v>
      </c>
      <c r="C63" s="110">
        <f>SUM(C52:C62)</f>
        <v>100.00000000000001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80">
        <f>(C68/SUM($C$68:$C$78))*100</f>
        <v>0</v>
      </c>
      <c r="F68" s="105" t="s">
        <v>10</v>
      </c>
      <c r="G68" s="107">
        <f>SUM(Z10,Z14)/Z$24*100</f>
        <v>19.086007444325066</v>
      </c>
    </row>
    <row r="69" spans="1:7">
      <c r="A69" s="105" t="s">
        <v>10</v>
      </c>
      <c r="B69" s="107">
        <f t="shared" ref="B69:B78" si="4">C69/$C$80*100</f>
        <v>8.5819274982292324</v>
      </c>
      <c r="C69" s="106">
        <f>R10</f>
        <v>62806.652999999998</v>
      </c>
      <c r="D69" s="180">
        <f t="shared" ref="D69:D78" si="5">(C69/SUM($C$68:$C$78))*100</f>
        <v>11.547647670940846</v>
      </c>
      <c r="F69" s="105" t="s">
        <v>9</v>
      </c>
      <c r="G69" s="107">
        <f>Z11/Z$24*100</f>
        <v>1.9920929167439496</v>
      </c>
    </row>
    <row r="70" spans="1:7">
      <c r="A70" s="105" t="s">
        <v>9</v>
      </c>
      <c r="B70" s="107">
        <f t="shared" si="4"/>
        <v>7.8659450837256868</v>
      </c>
      <c r="C70" s="106">
        <f>R11</f>
        <v>57566.750999999997</v>
      </c>
      <c r="D70" s="180">
        <f t="shared" si="5"/>
        <v>10.584237916782186</v>
      </c>
      <c r="F70" s="105" t="s">
        <v>8</v>
      </c>
      <c r="G70" s="107">
        <f>Z12/Z$24*100</f>
        <v>12.987241948820127</v>
      </c>
    </row>
    <row r="71" spans="1:7">
      <c r="A71" s="105" t="s">
        <v>25</v>
      </c>
      <c r="B71" s="107">
        <f t="shared" si="4"/>
        <v>45.569813189438804</v>
      </c>
      <c r="C71" s="106">
        <f>R13</f>
        <v>333501.70400000003</v>
      </c>
      <c r="D71" s="180">
        <f>(C71/SUM($C$68:$C$78))*100</f>
        <v>61.317710648430889</v>
      </c>
      <c r="F71" s="105" t="s">
        <v>25</v>
      </c>
      <c r="G71" s="107">
        <f>Z13/Z$24*100</f>
        <v>33.046867423279473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1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0.42691263552955133</v>
      </c>
      <c r="C73" s="106">
        <f>R19</f>
        <v>3124.3510000000001</v>
      </c>
      <c r="D73" s="180">
        <f t="shared" si="5"/>
        <v>0.57444399319211781</v>
      </c>
      <c r="F73" s="105" t="s">
        <v>12</v>
      </c>
      <c r="G73" s="107">
        <f>Z8/Z$24*100</f>
        <v>3.6058396384667006E-2</v>
      </c>
    </row>
    <row r="74" spans="1:7">
      <c r="A74" s="105" t="s">
        <v>55</v>
      </c>
      <c r="B74" s="107">
        <f t="shared" si="4"/>
        <v>2.12868477010228</v>
      </c>
      <c r="C74" s="106">
        <f>R21</f>
        <v>15578.734</v>
      </c>
      <c r="D74" s="180">
        <f t="shared" si="5"/>
        <v>2.8643101136324995</v>
      </c>
      <c r="F74" s="105" t="s">
        <v>6</v>
      </c>
      <c r="G74" s="107">
        <f>Z15/Z$24*100</f>
        <v>0.50870031052710429</v>
      </c>
    </row>
    <row r="75" spans="1:7">
      <c r="A75" s="105" t="s">
        <v>54</v>
      </c>
      <c r="B75" s="107">
        <f t="shared" si="4"/>
        <v>2.12868477010228</v>
      </c>
      <c r="C75" s="106">
        <f>R20</f>
        <v>15578.734</v>
      </c>
      <c r="D75" s="180">
        <f t="shared" si="5"/>
        <v>2.8643101136324995</v>
      </c>
      <c r="F75" s="105" t="s">
        <v>5</v>
      </c>
      <c r="G75" s="107">
        <f>Z16/Z$24*100</f>
        <v>26.950310467287743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0">
        <f t="shared" si="5"/>
        <v>0</v>
      </c>
      <c r="F76" s="105" t="s">
        <v>4</v>
      </c>
      <c r="G76" s="107">
        <f>Z17/Z$24*100</f>
        <v>5.2226869649066598</v>
      </c>
    </row>
    <row r="77" spans="1:7">
      <c r="A77" s="105" t="s">
        <v>4</v>
      </c>
      <c r="B77" s="107">
        <f t="shared" si="4"/>
        <v>7.5759548948768325</v>
      </c>
      <c r="C77" s="106">
        <f>R17</f>
        <v>55444.464</v>
      </c>
      <c r="D77" s="180">
        <f t="shared" si="5"/>
        <v>10.194033673091345</v>
      </c>
      <c r="F77" s="105" t="s">
        <v>22</v>
      </c>
      <c r="G77" s="107">
        <f>Z18/Z$24*100</f>
        <v>0.17003412772520241</v>
      </c>
    </row>
    <row r="78" spans="1:7">
      <c r="A78" s="105" t="s">
        <v>22</v>
      </c>
      <c r="B78" s="107">
        <f t="shared" si="4"/>
        <v>3.9615610655954051E-2</v>
      </c>
      <c r="C78" s="106">
        <f>R18</f>
        <v>289.92599999999999</v>
      </c>
      <c r="D78" s="180">
        <f t="shared" si="5"/>
        <v>5.3305870297613148E-2</v>
      </c>
      <c r="F78" s="108" t="s">
        <v>20</v>
      </c>
      <c r="G78" s="110">
        <f>SUM(G68:G77)</f>
        <v>99.999999999999972</v>
      </c>
    </row>
    <row r="79" spans="1:7">
      <c r="A79" s="105" t="s">
        <v>21</v>
      </c>
      <c r="B79" s="107">
        <f>C79/$C$80*100</f>
        <v>25.682461547339379</v>
      </c>
      <c r="C79" s="106">
        <f>R23</f>
        <v>187956.546</v>
      </c>
      <c r="D79" s="165"/>
    </row>
    <row r="80" spans="1:7">
      <c r="A80" s="108" t="s">
        <v>20</v>
      </c>
      <c r="B80" s="110">
        <f>SUM(B68:B79)</f>
        <v>100</v>
      </c>
      <c r="C80" s="109">
        <f>SUM(C68:C79)</f>
        <v>731847.86300000001</v>
      </c>
      <c r="D80" s="165"/>
    </row>
    <row r="85" spans="1:26" ht="15">
      <c r="A85" s="134"/>
      <c r="B85" s="134" t="s">
        <v>69</v>
      </c>
      <c r="C85" s="213" t="s">
        <v>13</v>
      </c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/>
      <c r="Y85"/>
      <c r="Z85"/>
    </row>
    <row r="86" spans="1:26" ht="15">
      <c r="A86" s="134"/>
      <c r="B86" s="132" t="s">
        <v>67</v>
      </c>
      <c r="C86" s="182" t="s">
        <v>106</v>
      </c>
      <c r="D86" s="182" t="s">
        <v>107</v>
      </c>
      <c r="E86" s="182" t="s">
        <v>108</v>
      </c>
      <c r="F86" s="182" t="s">
        <v>109</v>
      </c>
      <c r="G86" s="182" t="s">
        <v>110</v>
      </c>
      <c r="H86" s="182" t="s">
        <v>111</v>
      </c>
      <c r="I86" s="182" t="s">
        <v>112</v>
      </c>
      <c r="J86" s="182" t="s">
        <v>113</v>
      </c>
      <c r="K86" s="182" t="s">
        <v>114</v>
      </c>
      <c r="L86" s="182" t="s">
        <v>115</v>
      </c>
      <c r="M86" s="182" t="s">
        <v>116</v>
      </c>
      <c r="N86" s="182" t="s">
        <v>117</v>
      </c>
      <c r="O86" s="182" t="s">
        <v>118</v>
      </c>
      <c r="P86" s="182" t="s">
        <v>119</v>
      </c>
      <c r="Q86" s="182" t="s">
        <v>120</v>
      </c>
      <c r="R86" s="182" t="s">
        <v>121</v>
      </c>
      <c r="S86" s="182" t="s">
        <v>122</v>
      </c>
      <c r="T86" s="182" t="s">
        <v>123</v>
      </c>
      <c r="U86" s="182" t="s">
        <v>124</v>
      </c>
      <c r="V86" s="182" t="s">
        <v>125</v>
      </c>
      <c r="W86" s="182" t="s">
        <v>127</v>
      </c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/>
      <c r="Y87"/>
      <c r="Z87"/>
    </row>
    <row r="88" spans="1:26" ht="15">
      <c r="A88" s="207" t="s">
        <v>57</v>
      </c>
      <c r="B88" s="133" t="s">
        <v>11</v>
      </c>
      <c r="C88" s="173">
        <v>-0.72771799999999998</v>
      </c>
      <c r="D88" s="173">
        <v>-0.70697299999999996</v>
      </c>
      <c r="E88" s="173">
        <v>-0.51834000000000002</v>
      </c>
      <c r="F88" s="173">
        <v>-0.60865999999999998</v>
      </c>
      <c r="G88" s="173">
        <v>-0.83296899999999996</v>
      </c>
      <c r="H88" s="173">
        <v>3.1799559999999998</v>
      </c>
      <c r="I88" s="173">
        <v>54.925434000000003</v>
      </c>
      <c r="J88" s="173">
        <v>9.0232189999999992</v>
      </c>
      <c r="K88" s="173">
        <v>-0.82337800000000005</v>
      </c>
      <c r="L88" s="173">
        <v>-0.82724900000000001</v>
      </c>
      <c r="M88" s="173">
        <v>-0.89542500000000003</v>
      </c>
      <c r="N88" s="173">
        <v>-0.69586499999999996</v>
      </c>
      <c r="O88" s="173">
        <v>-0.70605399999999996</v>
      </c>
      <c r="P88" s="173">
        <v>-0.66276199999999996</v>
      </c>
      <c r="Q88" s="173">
        <v>-0.710283</v>
      </c>
      <c r="R88" s="173">
        <v>-0.939218</v>
      </c>
      <c r="S88" s="173">
        <v>22.073955999999999</v>
      </c>
      <c r="T88" s="173">
        <v>26.418958</v>
      </c>
      <c r="U88" s="173">
        <v>1.554179</v>
      </c>
      <c r="V88" s="173">
        <v>-0.75178999999999996</v>
      </c>
      <c r="W88" s="173">
        <v>0</v>
      </c>
      <c r="X88"/>
      <c r="Y88"/>
      <c r="Z88"/>
    </row>
    <row r="89" spans="1:26" ht="15">
      <c r="A89" s="208"/>
      <c r="B89" s="133" t="s">
        <v>78</v>
      </c>
      <c r="C89" s="173">
        <v>5.0179289999999996</v>
      </c>
      <c r="D89" s="173">
        <v>15.008727</v>
      </c>
      <c r="E89" s="173">
        <v>6.2192920000000003</v>
      </c>
      <c r="F89" s="173">
        <v>7.134449</v>
      </c>
      <c r="G89" s="173">
        <v>12.70701</v>
      </c>
      <c r="H89" s="173">
        <v>20.755147999999998</v>
      </c>
      <c r="I89" s="173">
        <v>57.618448999999998</v>
      </c>
      <c r="J89" s="173">
        <v>64.924531000000002</v>
      </c>
      <c r="K89" s="173">
        <v>32.782569000000002</v>
      </c>
      <c r="L89" s="173">
        <v>16.979832999999999</v>
      </c>
      <c r="M89" s="173">
        <v>5.9974980000000002</v>
      </c>
      <c r="N89" s="173">
        <v>6.2665600000000001</v>
      </c>
      <c r="O89" s="173">
        <v>5.2892989999999998</v>
      </c>
      <c r="P89" s="173">
        <v>4.8235140000000003</v>
      </c>
      <c r="Q89" s="173">
        <v>5.4357850000000001</v>
      </c>
      <c r="R89" s="173">
        <v>18.212437000000001</v>
      </c>
      <c r="S89" s="173">
        <v>11.891016</v>
      </c>
      <c r="T89" s="173">
        <v>17.869899</v>
      </c>
      <c r="U89" s="173">
        <v>51.149709999999999</v>
      </c>
      <c r="V89" s="173">
        <v>62.806652999999997</v>
      </c>
      <c r="W89" s="173">
        <v>18.085905</v>
      </c>
      <c r="X89"/>
      <c r="Y89"/>
      <c r="Z89"/>
    </row>
    <row r="90" spans="1:26" ht="15">
      <c r="A90" s="208"/>
      <c r="B90" s="133" t="s">
        <v>9</v>
      </c>
      <c r="C90" s="173">
        <v>49.385100000000001</v>
      </c>
      <c r="D90" s="173">
        <v>32.328426999999998</v>
      </c>
      <c r="E90" s="173">
        <v>34.532919999999997</v>
      </c>
      <c r="F90" s="173">
        <v>29.44258</v>
      </c>
      <c r="G90" s="173">
        <v>35.218071999999999</v>
      </c>
      <c r="H90" s="173">
        <v>56.449230999999997</v>
      </c>
      <c r="I90" s="173">
        <v>67.064257999999995</v>
      </c>
      <c r="J90" s="173">
        <v>53.415241999999999</v>
      </c>
      <c r="K90" s="173">
        <v>49.271726999999998</v>
      </c>
      <c r="L90" s="173">
        <v>44.274278000000002</v>
      </c>
      <c r="M90" s="173">
        <v>24.187601999999998</v>
      </c>
      <c r="N90" s="173">
        <v>22.604486999999999</v>
      </c>
      <c r="O90" s="173">
        <v>25.154277</v>
      </c>
      <c r="P90" s="173">
        <v>23.798262999999999</v>
      </c>
      <c r="Q90" s="173">
        <v>24.938551</v>
      </c>
      <c r="R90" s="173">
        <v>29.498771000000001</v>
      </c>
      <c r="S90" s="173">
        <v>29.400922999999999</v>
      </c>
      <c r="T90" s="173">
        <v>43.333288000000003</v>
      </c>
      <c r="U90" s="173">
        <v>52.282953999999997</v>
      </c>
      <c r="V90" s="173">
        <v>57.566750999999996</v>
      </c>
      <c r="W90" s="173">
        <v>10.256456</v>
      </c>
      <c r="X90"/>
      <c r="Y90"/>
      <c r="Z90"/>
    </row>
    <row r="91" spans="1:26" ht="15">
      <c r="A91" s="208"/>
      <c r="B91" s="133" t="s">
        <v>25</v>
      </c>
      <c r="C91" s="173">
        <v>236.33414099999999</v>
      </c>
      <c r="D91" s="173">
        <v>250.50749099999999</v>
      </c>
      <c r="E91" s="173">
        <v>233.28242</v>
      </c>
      <c r="F91" s="173">
        <v>207.738203</v>
      </c>
      <c r="G91" s="173">
        <v>231.47546199999999</v>
      </c>
      <c r="H91" s="173">
        <v>269.55010299999998</v>
      </c>
      <c r="I91" s="173">
        <v>316.35504600000002</v>
      </c>
      <c r="J91" s="173">
        <v>324.37696499999998</v>
      </c>
      <c r="K91" s="173">
        <v>296.32292799999999</v>
      </c>
      <c r="L91" s="173">
        <v>247.112684</v>
      </c>
      <c r="M91" s="173">
        <v>224.26124200000001</v>
      </c>
      <c r="N91" s="173">
        <v>233.91494</v>
      </c>
      <c r="O91" s="173">
        <v>244.02029300000001</v>
      </c>
      <c r="P91" s="173">
        <v>218.49136100000001</v>
      </c>
      <c r="Q91" s="173">
        <v>213.548517</v>
      </c>
      <c r="R91" s="173">
        <v>205.68247400000001</v>
      </c>
      <c r="S91" s="173">
        <v>206.763338</v>
      </c>
      <c r="T91" s="173">
        <v>212.499032</v>
      </c>
      <c r="U91" s="173">
        <v>272.94692199999997</v>
      </c>
      <c r="V91" s="173">
        <v>333.50170400000002</v>
      </c>
      <c r="W91" s="173">
        <v>111.18431699999999</v>
      </c>
      <c r="X91"/>
      <c r="Y91"/>
      <c r="Z91"/>
    </row>
    <row r="92" spans="1:26" ht="15">
      <c r="A92" s="208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 s="173">
        <v>0</v>
      </c>
      <c r="V92" s="173">
        <v>0</v>
      </c>
      <c r="W92" s="173">
        <v>0</v>
      </c>
      <c r="X92"/>
      <c r="Y92"/>
      <c r="Z92"/>
    </row>
    <row r="93" spans="1:26" ht="15">
      <c r="A93" s="208"/>
      <c r="B93" s="133" t="s">
        <v>5</v>
      </c>
      <c r="C93" s="173">
        <v>0.21573000000000001</v>
      </c>
      <c r="D93" s="173">
        <v>0.18323999999999999</v>
      </c>
      <c r="E93" s="173">
        <v>0.20035</v>
      </c>
      <c r="F93" s="173">
        <v>0.12734500000000001</v>
      </c>
      <c r="G93" s="173">
        <v>0.24965100000000001</v>
      </c>
      <c r="H93" s="173">
        <v>5.6180000000000001E-2</v>
      </c>
      <c r="I93" s="173">
        <v>0.118565</v>
      </c>
      <c r="J93" s="173">
        <v>9.7920999999999994E-2</v>
      </c>
      <c r="K93" s="173">
        <v>0</v>
      </c>
      <c r="L93" s="173">
        <v>1.0359999999999999E-2</v>
      </c>
      <c r="M93" s="173">
        <v>8.7279999999999996E-3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 s="173">
        <v>0</v>
      </c>
      <c r="U93" s="173">
        <v>0</v>
      </c>
      <c r="V93" s="173">
        <v>0</v>
      </c>
      <c r="W93" s="173">
        <v>0</v>
      </c>
      <c r="X93"/>
      <c r="Y93"/>
      <c r="Z93"/>
    </row>
    <row r="94" spans="1:26" ht="15">
      <c r="A94" s="208"/>
      <c r="B94" s="133" t="s">
        <v>4</v>
      </c>
      <c r="C94" s="173">
        <v>18.539918</v>
      </c>
      <c r="D94" s="173">
        <v>22.493357</v>
      </c>
      <c r="E94" s="173">
        <v>35.809480999999998</v>
      </c>
      <c r="F94" s="173">
        <v>38.89629</v>
      </c>
      <c r="G94" s="173">
        <v>34.459223999999999</v>
      </c>
      <c r="H94" s="173">
        <v>37.285699000000001</v>
      </c>
      <c r="I94" s="173">
        <v>41.537353000000003</v>
      </c>
      <c r="J94" s="173">
        <v>44.650032000000003</v>
      </c>
      <c r="K94" s="173">
        <v>34.850726000000002</v>
      </c>
      <c r="L94" s="173">
        <v>32.896220999999997</v>
      </c>
      <c r="M94" s="173">
        <v>24.884706000000001</v>
      </c>
      <c r="N94" s="173">
        <v>22.636651000000001</v>
      </c>
      <c r="O94" s="173">
        <v>24.18449</v>
      </c>
      <c r="P94" s="173">
        <v>30.744498</v>
      </c>
      <c r="Q94" s="173">
        <v>45.305076999999997</v>
      </c>
      <c r="R94" s="173">
        <v>44.568354999999997</v>
      </c>
      <c r="S94" s="173">
        <v>58.305483000000002</v>
      </c>
      <c r="T94" s="173">
        <v>53.291172000000003</v>
      </c>
      <c r="U94" s="173">
        <v>60.161617</v>
      </c>
      <c r="V94" s="173">
        <v>55.444464000000004</v>
      </c>
      <c r="W94" s="173">
        <v>16.724177999999998</v>
      </c>
      <c r="X94"/>
      <c r="Y94"/>
      <c r="Z94"/>
    </row>
    <row r="95" spans="1:26" ht="15">
      <c r="A95" s="208"/>
      <c r="B95" s="133" t="s">
        <v>22</v>
      </c>
      <c r="C95" s="173">
        <v>0.103349</v>
      </c>
      <c r="D95" s="173">
        <v>0.15284900000000001</v>
      </c>
      <c r="E95" s="173">
        <v>0.171352</v>
      </c>
      <c r="F95" s="173">
        <v>9.7647999999999999E-2</v>
      </c>
      <c r="G95" s="173">
        <v>0.14440500000000001</v>
      </c>
      <c r="H95" s="173">
        <v>0.140066</v>
      </c>
      <c r="I95" s="173">
        <v>0.102288</v>
      </c>
      <c r="J95" s="173">
        <v>9.2054999999999998E-2</v>
      </c>
      <c r="K95" s="173">
        <v>0.14128099999999999</v>
      </c>
      <c r="L95" s="173">
        <v>0.14801500000000001</v>
      </c>
      <c r="M95" s="173">
        <v>0.14354</v>
      </c>
      <c r="N95" s="173">
        <v>0.12625700000000001</v>
      </c>
      <c r="O95" s="173">
        <v>0.10423</v>
      </c>
      <c r="P95" s="173">
        <v>3.9530000000000003E-2</v>
      </c>
      <c r="Q95" s="173">
        <v>4.0002000000000003E-2</v>
      </c>
      <c r="R95" s="173">
        <v>1.5544000000000001E-2</v>
      </c>
      <c r="S95" s="173">
        <v>4.1384999999999998E-2</v>
      </c>
      <c r="T95" s="173">
        <v>7.8099000000000002E-2</v>
      </c>
      <c r="U95" s="173">
        <v>0.18402499999999999</v>
      </c>
      <c r="V95" s="173">
        <v>0.28992600000000002</v>
      </c>
      <c r="W95" s="173">
        <v>9.0763999999999997E-2</v>
      </c>
      <c r="X95"/>
      <c r="Y95"/>
      <c r="Z95"/>
    </row>
    <row r="96" spans="1:26" ht="15">
      <c r="A96" s="208"/>
      <c r="B96" s="133" t="s">
        <v>23</v>
      </c>
      <c r="C96" s="173">
        <v>3.0384120000000001</v>
      </c>
      <c r="D96" s="173">
        <v>2.9847320000000002</v>
      </c>
      <c r="E96" s="173">
        <v>3.5262690000000001</v>
      </c>
      <c r="F96" s="173">
        <v>3.5964710000000002</v>
      </c>
      <c r="G96" s="173">
        <v>3.46306</v>
      </c>
      <c r="H96" s="173">
        <v>3.7329490000000001</v>
      </c>
      <c r="I96" s="173">
        <v>3.1795529999999999</v>
      </c>
      <c r="J96" s="173">
        <v>3.6746310000000002</v>
      </c>
      <c r="K96" s="173">
        <v>2.995241</v>
      </c>
      <c r="L96" s="173">
        <v>1.6210690000000001</v>
      </c>
      <c r="M96" s="173">
        <v>1.996553</v>
      </c>
      <c r="N96" s="173">
        <v>3.1565249999999998</v>
      </c>
      <c r="O96" s="173">
        <v>3.9370180000000001</v>
      </c>
      <c r="P96" s="173">
        <v>3.7397490000000002</v>
      </c>
      <c r="Q96" s="173">
        <v>3.4851179999999999</v>
      </c>
      <c r="R96" s="173">
        <v>1.9095409999999999</v>
      </c>
      <c r="S96" s="173">
        <v>3.5397620000000001</v>
      </c>
      <c r="T96" s="173">
        <v>3.4609559999999999</v>
      </c>
      <c r="U96" s="173">
        <v>3.2774670000000001</v>
      </c>
      <c r="V96" s="173">
        <v>3.1243509999999999</v>
      </c>
      <c r="W96" s="173">
        <v>1.23088</v>
      </c>
      <c r="X96"/>
      <c r="Y96"/>
      <c r="Z96"/>
    </row>
    <row r="97" spans="1:26" ht="15">
      <c r="A97" s="208"/>
      <c r="B97" s="133" t="s">
        <v>54</v>
      </c>
      <c r="C97" s="173">
        <v>7.3618245</v>
      </c>
      <c r="D97" s="173">
        <v>9.8298860000000001</v>
      </c>
      <c r="E97" s="173">
        <v>9.6378819999999994</v>
      </c>
      <c r="F97" s="173">
        <v>10.65733</v>
      </c>
      <c r="G97" s="173">
        <v>12.228600500000001</v>
      </c>
      <c r="H97" s="173">
        <v>15.5976535</v>
      </c>
      <c r="I97" s="173">
        <v>12.541195999999999</v>
      </c>
      <c r="J97" s="173">
        <v>14.683114</v>
      </c>
      <c r="K97" s="173">
        <v>9.9340825000000006</v>
      </c>
      <c r="L97" s="173">
        <v>10.861402</v>
      </c>
      <c r="M97" s="173">
        <v>10.810193999999999</v>
      </c>
      <c r="N97" s="173">
        <v>8.9918355000000005</v>
      </c>
      <c r="O97" s="173">
        <v>10.485035</v>
      </c>
      <c r="P97" s="173">
        <v>5.6085469999999997</v>
      </c>
      <c r="Q97" s="173">
        <v>12.829401000000001</v>
      </c>
      <c r="R97" s="173">
        <v>11.323399</v>
      </c>
      <c r="S97" s="173">
        <v>12.2750895</v>
      </c>
      <c r="T97" s="173">
        <v>16.584269500000001</v>
      </c>
      <c r="U97" s="173">
        <v>15.726691000000001</v>
      </c>
      <c r="V97" s="173">
        <v>15.578734000000001</v>
      </c>
      <c r="W97" s="173">
        <v>5.4820000000000002</v>
      </c>
      <c r="X97"/>
      <c r="Y97"/>
      <c r="Z97"/>
    </row>
    <row r="98" spans="1:26" ht="15">
      <c r="A98" s="208"/>
      <c r="B98" s="133" t="s">
        <v>55</v>
      </c>
      <c r="C98" s="173">
        <v>7.3618245</v>
      </c>
      <c r="D98" s="173">
        <v>9.8298860000000001</v>
      </c>
      <c r="E98" s="173">
        <v>9.6378819999999994</v>
      </c>
      <c r="F98" s="173">
        <v>10.65733</v>
      </c>
      <c r="G98" s="173">
        <v>12.228600500000001</v>
      </c>
      <c r="H98" s="173">
        <v>15.5976535</v>
      </c>
      <c r="I98" s="173">
        <v>12.541195999999999</v>
      </c>
      <c r="J98" s="173">
        <v>14.683114</v>
      </c>
      <c r="K98" s="173">
        <v>9.9340825000000006</v>
      </c>
      <c r="L98" s="173">
        <v>10.861402</v>
      </c>
      <c r="M98" s="173">
        <v>10.810193999999999</v>
      </c>
      <c r="N98" s="173">
        <v>8.9918355000000005</v>
      </c>
      <c r="O98" s="173">
        <v>10.485035</v>
      </c>
      <c r="P98" s="173">
        <v>5.6085469999999997</v>
      </c>
      <c r="Q98" s="173">
        <v>12.829401000000001</v>
      </c>
      <c r="R98" s="173">
        <v>11.323399</v>
      </c>
      <c r="S98" s="173">
        <v>12.2750895</v>
      </c>
      <c r="T98" s="173">
        <v>16.584269500000001</v>
      </c>
      <c r="U98" s="173">
        <v>15.726691000000001</v>
      </c>
      <c r="V98" s="173">
        <v>15.578734000000001</v>
      </c>
      <c r="W98" s="173">
        <v>5.4820000000000002</v>
      </c>
      <c r="X98"/>
      <c r="Y98"/>
      <c r="Z98"/>
    </row>
    <row r="99" spans="1:26" ht="15">
      <c r="A99" s="208"/>
      <c r="B99" s="137" t="s">
        <v>2</v>
      </c>
      <c r="C99" s="174">
        <v>326.63051000000002</v>
      </c>
      <c r="D99" s="174">
        <v>342.61162200000001</v>
      </c>
      <c r="E99" s="174">
        <v>332.49950799999999</v>
      </c>
      <c r="F99" s="174">
        <v>307.73898600000001</v>
      </c>
      <c r="G99" s="174">
        <v>341.341116</v>
      </c>
      <c r="H99" s="174">
        <v>422.34463899999997</v>
      </c>
      <c r="I99" s="174">
        <v>565.983338</v>
      </c>
      <c r="J99" s="174">
        <v>529.62082399999997</v>
      </c>
      <c r="K99" s="174">
        <v>435.40925900000002</v>
      </c>
      <c r="L99" s="174">
        <v>363.93801500000001</v>
      </c>
      <c r="M99" s="174">
        <v>302.20483200000001</v>
      </c>
      <c r="N99" s="174">
        <v>305.99322599999999</v>
      </c>
      <c r="O99" s="174">
        <v>322.95362299999999</v>
      </c>
      <c r="P99" s="174">
        <v>292.19124699999998</v>
      </c>
      <c r="Q99" s="174">
        <v>317.70156900000001</v>
      </c>
      <c r="R99" s="174">
        <v>321.59470199999998</v>
      </c>
      <c r="S99" s="174">
        <v>356.56604199999998</v>
      </c>
      <c r="T99" s="174">
        <v>390.11994299999998</v>
      </c>
      <c r="U99" s="174">
        <v>473.01025600000003</v>
      </c>
      <c r="V99" s="174">
        <v>543.13952700000004</v>
      </c>
      <c r="W99" s="174">
        <v>168.53649999999999</v>
      </c>
      <c r="X99"/>
      <c r="Y99"/>
      <c r="Z99"/>
    </row>
    <row r="100" spans="1:26" ht="15">
      <c r="A100" s="208"/>
      <c r="B100" s="133" t="s">
        <v>21</v>
      </c>
      <c r="C100" s="173">
        <v>123.950131</v>
      </c>
      <c r="D100" s="173">
        <v>89.734262000000001</v>
      </c>
      <c r="E100" s="173">
        <v>82.194308000000007</v>
      </c>
      <c r="F100" s="173">
        <v>98.033413999999993</v>
      </c>
      <c r="G100" s="173">
        <v>118.762416</v>
      </c>
      <c r="H100" s="173">
        <v>124.350134</v>
      </c>
      <c r="I100" s="173">
        <v>168.54782399999999</v>
      </c>
      <c r="J100" s="173">
        <v>175.00929099999999</v>
      </c>
      <c r="K100" s="173">
        <v>130.854702</v>
      </c>
      <c r="L100" s="173">
        <v>131.44748999999999</v>
      </c>
      <c r="M100" s="173">
        <v>70.735690000000005</v>
      </c>
      <c r="N100" s="173">
        <v>112.440268</v>
      </c>
      <c r="O100" s="173">
        <v>122.760274</v>
      </c>
      <c r="P100" s="173">
        <v>114.74408200000001</v>
      </c>
      <c r="Q100" s="173">
        <v>110.667727</v>
      </c>
      <c r="R100" s="173">
        <v>109.36235000000001</v>
      </c>
      <c r="S100" s="173">
        <v>117.764884</v>
      </c>
      <c r="T100" s="173">
        <v>145.36358899999999</v>
      </c>
      <c r="U100" s="173">
        <v>208.454387</v>
      </c>
      <c r="V100" s="173">
        <v>187.956546</v>
      </c>
      <c r="W100" s="173">
        <v>60.115673999999999</v>
      </c>
      <c r="X100"/>
      <c r="Y100"/>
      <c r="Z100"/>
    </row>
    <row r="101" spans="1:26" ht="15">
      <c r="A101" s="209"/>
      <c r="B101" s="137" t="s">
        <v>79</v>
      </c>
      <c r="C101" s="174">
        <v>450.58064100000001</v>
      </c>
      <c r="D101" s="174">
        <v>432.34588400000001</v>
      </c>
      <c r="E101" s="174">
        <v>414.69381600000003</v>
      </c>
      <c r="F101" s="174">
        <v>405.7724</v>
      </c>
      <c r="G101" s="174">
        <v>460.10353199999997</v>
      </c>
      <c r="H101" s="174">
        <v>546.69477300000005</v>
      </c>
      <c r="I101" s="174">
        <v>734.53116199999999</v>
      </c>
      <c r="J101" s="174">
        <v>704.63011500000005</v>
      </c>
      <c r="K101" s="174">
        <v>566.26396099999999</v>
      </c>
      <c r="L101" s="174">
        <v>495.38550500000002</v>
      </c>
      <c r="M101" s="174">
        <v>372.94052199999999</v>
      </c>
      <c r="N101" s="174">
        <v>418.433494</v>
      </c>
      <c r="O101" s="174">
        <v>445.71389699999997</v>
      </c>
      <c r="P101" s="174">
        <v>406.93532900000002</v>
      </c>
      <c r="Q101" s="174">
        <v>428.36929600000002</v>
      </c>
      <c r="R101" s="174">
        <v>430.95705199999998</v>
      </c>
      <c r="S101" s="174">
        <v>474.33092599999998</v>
      </c>
      <c r="T101" s="174">
        <v>535.48353199999997</v>
      </c>
      <c r="U101" s="174">
        <v>681.46464300000002</v>
      </c>
      <c r="V101" s="174">
        <v>731.09607300000005</v>
      </c>
      <c r="W101" s="174">
        <v>228.652174</v>
      </c>
      <c r="X101"/>
      <c r="Y101"/>
      <c r="Z101"/>
    </row>
    <row r="102" spans="1:26" ht="15">
      <c r="A102" s="212" t="s">
        <v>58</v>
      </c>
      <c r="B102" s="133" t="s">
        <v>12</v>
      </c>
      <c r="C102" s="173">
        <v>0.27497500000000002</v>
      </c>
      <c r="D102" s="173">
        <v>0.25442500000000001</v>
      </c>
      <c r="E102" s="173">
        <v>0.29050999999999999</v>
      </c>
      <c r="F102" s="173">
        <v>0.27580700000000002</v>
      </c>
      <c r="G102" s="173">
        <v>0.29760599999999998</v>
      </c>
      <c r="H102" s="173">
        <v>0.28353699999999998</v>
      </c>
      <c r="I102" s="173">
        <v>0.30186600000000002</v>
      </c>
      <c r="J102" s="173">
        <v>0.289545</v>
      </c>
      <c r="K102" s="173">
        <v>0.28924100000000003</v>
      </c>
      <c r="L102" s="173">
        <v>0.30332900000000002</v>
      </c>
      <c r="M102" s="173">
        <v>0.28045300000000001</v>
      </c>
      <c r="N102" s="173">
        <v>0.30560300000000001</v>
      </c>
      <c r="O102" s="173">
        <v>0.29624200000000001</v>
      </c>
      <c r="P102" s="173">
        <v>0.28508299999999998</v>
      </c>
      <c r="Q102" s="173">
        <v>0.272924</v>
      </c>
      <c r="R102" s="173">
        <v>0.258407</v>
      </c>
      <c r="S102" s="173">
        <v>0.28213199999999999</v>
      </c>
      <c r="T102" s="173">
        <v>0.27541500000000002</v>
      </c>
      <c r="U102" s="173">
        <v>0.290603</v>
      </c>
      <c r="V102" s="173">
        <v>0.28181699999999998</v>
      </c>
      <c r="W102" s="173">
        <v>0</v>
      </c>
      <c r="X102"/>
      <c r="Y102"/>
      <c r="Z102"/>
    </row>
    <row r="103" spans="1:26" ht="15">
      <c r="A103" s="208"/>
      <c r="B103" s="133" t="s">
        <v>78</v>
      </c>
      <c r="C103" s="173">
        <v>149.66655</v>
      </c>
      <c r="D103" s="173">
        <v>151.17901900000001</v>
      </c>
      <c r="E103" s="173">
        <v>141.36258799999999</v>
      </c>
      <c r="F103" s="173">
        <v>149.85577699999999</v>
      </c>
      <c r="G103" s="173">
        <v>152.672697</v>
      </c>
      <c r="H103" s="173">
        <v>159.427877</v>
      </c>
      <c r="I103" s="173">
        <v>147.371253</v>
      </c>
      <c r="J103" s="173">
        <v>158.13818499999999</v>
      </c>
      <c r="K103" s="173">
        <v>154.76962499999999</v>
      </c>
      <c r="L103" s="173">
        <v>179.17001500000001</v>
      </c>
      <c r="M103" s="173">
        <v>168.212242</v>
      </c>
      <c r="N103" s="173">
        <v>171.03571600000001</v>
      </c>
      <c r="O103" s="173">
        <v>166.77709300000001</v>
      </c>
      <c r="P103" s="173">
        <v>147.58979299999999</v>
      </c>
      <c r="Q103" s="173">
        <v>156.05254400000001</v>
      </c>
      <c r="R103" s="173">
        <v>143.99597600000001</v>
      </c>
      <c r="S103" s="173">
        <v>142.89773500000001</v>
      </c>
      <c r="T103" s="173">
        <v>147.24789200000001</v>
      </c>
      <c r="U103" s="173">
        <v>156.974729</v>
      </c>
      <c r="V103" s="173">
        <v>149.168069</v>
      </c>
      <c r="W103" s="173">
        <v>56.642746000000002</v>
      </c>
      <c r="X103"/>
      <c r="Y103"/>
      <c r="Z103"/>
    </row>
    <row r="104" spans="1:26" ht="15">
      <c r="A104" s="208"/>
      <c r="B104" s="133" t="s">
        <v>9</v>
      </c>
      <c r="C104" s="173">
        <v>14.760491</v>
      </c>
      <c r="D104" s="173">
        <v>26.990496</v>
      </c>
      <c r="E104" s="173">
        <v>16.813075000000001</v>
      </c>
      <c r="F104" s="173">
        <v>21.092299000000001</v>
      </c>
      <c r="G104" s="173">
        <v>23.467611000000002</v>
      </c>
      <c r="H104" s="173">
        <v>20.997603000000002</v>
      </c>
      <c r="I104" s="173">
        <v>15.379733999999999</v>
      </c>
      <c r="J104" s="173">
        <v>16.795183000000002</v>
      </c>
      <c r="K104" s="173">
        <v>18.188441000000001</v>
      </c>
      <c r="L104" s="173">
        <v>30.707764999999998</v>
      </c>
      <c r="M104" s="173">
        <v>24.331886999999998</v>
      </c>
      <c r="N104" s="173">
        <v>26.447642999999999</v>
      </c>
      <c r="O104" s="173">
        <v>28.032011000000001</v>
      </c>
      <c r="P104" s="173">
        <v>23.301389</v>
      </c>
      <c r="Q104" s="173">
        <v>22.780221000000001</v>
      </c>
      <c r="R104" s="173">
        <v>15.018001</v>
      </c>
      <c r="S104" s="173">
        <v>13.174446</v>
      </c>
      <c r="T104" s="173">
        <v>26.579124</v>
      </c>
      <c r="U104" s="173">
        <v>16.279032000000001</v>
      </c>
      <c r="V104" s="173">
        <v>15.569345999999999</v>
      </c>
      <c r="W104" s="173">
        <v>5.1221959999999997</v>
      </c>
      <c r="X104"/>
      <c r="Y104"/>
      <c r="Z104"/>
    </row>
    <row r="105" spans="1:26" ht="15">
      <c r="A105" s="208"/>
      <c r="B105" s="133" t="s">
        <v>8</v>
      </c>
      <c r="C105" s="173">
        <v>118.030389</v>
      </c>
      <c r="D105" s="173">
        <v>118.052049</v>
      </c>
      <c r="E105" s="173">
        <v>103.679242</v>
      </c>
      <c r="F105" s="173">
        <v>89.164951000000002</v>
      </c>
      <c r="G105" s="173">
        <v>84.880949000000001</v>
      </c>
      <c r="H105" s="173">
        <v>84.905440999999996</v>
      </c>
      <c r="I105" s="173">
        <v>101.065799</v>
      </c>
      <c r="J105" s="173">
        <v>105.31614999999999</v>
      </c>
      <c r="K105" s="173">
        <v>105.510948</v>
      </c>
      <c r="L105" s="173">
        <v>119.677701</v>
      </c>
      <c r="M105" s="173">
        <v>90.916317000000006</v>
      </c>
      <c r="N105" s="173">
        <v>96.450059999999993</v>
      </c>
      <c r="O105" s="173">
        <v>118.36447</v>
      </c>
      <c r="P105" s="173">
        <v>100.186932</v>
      </c>
      <c r="Q105" s="173">
        <v>116.04889799999999</v>
      </c>
      <c r="R105" s="173">
        <v>98.285223000000002</v>
      </c>
      <c r="S105" s="173">
        <v>106.53814</v>
      </c>
      <c r="T105" s="173">
        <v>79.128829999999994</v>
      </c>
      <c r="U105" s="173">
        <v>105.68064699999999</v>
      </c>
      <c r="V105" s="173">
        <v>101.50272699999999</v>
      </c>
      <c r="W105" s="173">
        <v>30.728446999999999</v>
      </c>
      <c r="X105"/>
      <c r="Y105"/>
      <c r="Z105"/>
    </row>
    <row r="106" spans="1:26" ht="15">
      <c r="A106" s="208"/>
      <c r="B106" s="133" t="s">
        <v>25</v>
      </c>
      <c r="C106" s="173">
        <v>279.418815</v>
      </c>
      <c r="D106" s="173">
        <v>289.33312999999998</v>
      </c>
      <c r="E106" s="173">
        <v>284.83144399999998</v>
      </c>
      <c r="F106" s="173">
        <v>279.54366599999997</v>
      </c>
      <c r="G106" s="173">
        <v>275.34098399999999</v>
      </c>
      <c r="H106" s="173">
        <v>351.45923099999999</v>
      </c>
      <c r="I106" s="173">
        <v>250.52108799999999</v>
      </c>
      <c r="J106" s="173">
        <v>306.93109600000003</v>
      </c>
      <c r="K106" s="173">
        <v>329.65078499999998</v>
      </c>
      <c r="L106" s="173">
        <v>385.37423100000001</v>
      </c>
      <c r="M106" s="173">
        <v>320.60776499999997</v>
      </c>
      <c r="N106" s="173">
        <v>343.70541600000001</v>
      </c>
      <c r="O106" s="173">
        <v>348.60822999999999</v>
      </c>
      <c r="P106" s="173">
        <v>282.95672999999999</v>
      </c>
      <c r="Q106" s="173">
        <v>305.966994</v>
      </c>
      <c r="R106" s="173">
        <v>315.19474500000001</v>
      </c>
      <c r="S106" s="173">
        <v>259.74817300000001</v>
      </c>
      <c r="T106" s="173">
        <v>269.75380799999999</v>
      </c>
      <c r="U106" s="173">
        <v>264.109264</v>
      </c>
      <c r="V106" s="173">
        <v>258.28017799999998</v>
      </c>
      <c r="W106" s="173">
        <v>96.730637999999999</v>
      </c>
      <c r="X106"/>
      <c r="Y106"/>
      <c r="Z106"/>
    </row>
    <row r="107" spans="1:26" ht="15">
      <c r="A107" s="208"/>
      <c r="B107" s="133" t="s">
        <v>24</v>
      </c>
      <c r="C107" s="173">
        <v>-1.3847999999999999E-2</v>
      </c>
      <c r="D107" s="173">
        <v>-9.9690000000000004E-3</v>
      </c>
      <c r="E107" s="173">
        <v>-1.3753E-2</v>
      </c>
      <c r="F107" s="173">
        <v>-1.2926999999999999E-2</v>
      </c>
      <c r="G107" s="173">
        <v>-1.3481E-2</v>
      </c>
      <c r="H107" s="173">
        <v>-2.0100000000000001E-3</v>
      </c>
      <c r="I107" s="173">
        <v>0</v>
      </c>
      <c r="J107" s="173">
        <v>0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 s="173">
        <v>0</v>
      </c>
      <c r="V107" s="173">
        <v>0</v>
      </c>
      <c r="W107" s="173">
        <v>0</v>
      </c>
      <c r="X107"/>
      <c r="Y107"/>
      <c r="Z107"/>
    </row>
    <row r="108" spans="1:26" ht="15">
      <c r="A108" s="208"/>
      <c r="B108" s="133" t="s">
        <v>6</v>
      </c>
      <c r="C108" s="173">
        <v>1.6495040000000001</v>
      </c>
      <c r="D108" s="173">
        <v>0.82934099999999999</v>
      </c>
      <c r="E108" s="173">
        <v>1.5724450000000001</v>
      </c>
      <c r="F108" s="173">
        <v>1.573337</v>
      </c>
      <c r="G108" s="173">
        <v>2.0671949999999999</v>
      </c>
      <c r="H108" s="173">
        <v>0.80873799999999996</v>
      </c>
      <c r="I108" s="173">
        <v>2.7590569999999999</v>
      </c>
      <c r="J108" s="173">
        <v>2.6998280000000001</v>
      </c>
      <c r="K108" s="173">
        <v>1.3149919999999999</v>
      </c>
      <c r="L108" s="173">
        <v>0.44324000000000002</v>
      </c>
      <c r="M108" s="173">
        <v>1.0899650000000001</v>
      </c>
      <c r="N108" s="173">
        <v>0.66913</v>
      </c>
      <c r="O108" s="173">
        <v>0.66808100000000004</v>
      </c>
      <c r="P108" s="173">
        <v>1.414679</v>
      </c>
      <c r="Q108" s="173">
        <v>1.5891550000000001</v>
      </c>
      <c r="R108" s="173">
        <v>1.2945469999999999</v>
      </c>
      <c r="S108" s="173">
        <v>2.2523740000000001</v>
      </c>
      <c r="T108" s="173">
        <v>2.6292490000000002</v>
      </c>
      <c r="U108" s="173">
        <v>3.5113029999999998</v>
      </c>
      <c r="V108" s="173">
        <v>3.975784</v>
      </c>
      <c r="W108" s="173">
        <v>1.4420630000000001</v>
      </c>
      <c r="X108"/>
      <c r="Y108"/>
      <c r="Z108"/>
    </row>
    <row r="109" spans="1:26" ht="15">
      <c r="A109" s="208"/>
      <c r="B109" s="133" t="s">
        <v>5</v>
      </c>
      <c r="C109" s="173">
        <v>132.72816599999999</v>
      </c>
      <c r="D109" s="173">
        <v>42.67051</v>
      </c>
      <c r="E109" s="173">
        <v>131.49951200000001</v>
      </c>
      <c r="F109" s="173">
        <v>103.784149</v>
      </c>
      <c r="G109" s="173">
        <v>131.928437</v>
      </c>
      <c r="H109" s="173">
        <v>64.374502000000007</v>
      </c>
      <c r="I109" s="173">
        <v>209.601507</v>
      </c>
      <c r="J109" s="173">
        <v>178.40540899999999</v>
      </c>
      <c r="K109" s="173">
        <v>103.255752</v>
      </c>
      <c r="L109" s="173">
        <v>57.760353000000002</v>
      </c>
      <c r="M109" s="173">
        <v>99.230602000000005</v>
      </c>
      <c r="N109" s="173">
        <v>70.608433000000005</v>
      </c>
      <c r="O109" s="173">
        <v>53.195481000000001</v>
      </c>
      <c r="P109" s="173">
        <v>108.751811</v>
      </c>
      <c r="Q109" s="173">
        <v>89.282236999999995</v>
      </c>
      <c r="R109" s="173">
        <v>94.671989999999994</v>
      </c>
      <c r="S109" s="173">
        <v>147.019094</v>
      </c>
      <c r="T109" s="173">
        <v>129.86778200000001</v>
      </c>
      <c r="U109" s="173">
        <v>169.43657200000001</v>
      </c>
      <c r="V109" s="173">
        <v>210.63209699999999</v>
      </c>
      <c r="W109" s="173">
        <v>70.950569999999999</v>
      </c>
      <c r="X109"/>
      <c r="Y109"/>
      <c r="Z109"/>
    </row>
    <row r="110" spans="1:26" ht="15">
      <c r="A110" s="208"/>
      <c r="B110" s="133" t="s">
        <v>4</v>
      </c>
      <c r="C110" s="173">
        <v>22.121485</v>
      </c>
      <c r="D110" s="173">
        <v>20.382895000000001</v>
      </c>
      <c r="E110" s="173">
        <v>32.808866999999999</v>
      </c>
      <c r="F110" s="173">
        <v>30.082971000000001</v>
      </c>
      <c r="G110" s="173">
        <v>30.799336</v>
      </c>
      <c r="H110" s="173">
        <v>30.793143000000001</v>
      </c>
      <c r="I110" s="173">
        <v>35.178874</v>
      </c>
      <c r="J110" s="173">
        <v>33.707680000000003</v>
      </c>
      <c r="K110" s="173">
        <v>31.407260000000001</v>
      </c>
      <c r="L110" s="173">
        <v>29.906251000000001</v>
      </c>
      <c r="M110" s="173">
        <v>25.097702999999999</v>
      </c>
      <c r="N110" s="173">
        <v>23.682936000000002</v>
      </c>
      <c r="O110" s="173">
        <v>24.702621000000001</v>
      </c>
      <c r="P110" s="173">
        <v>26.306543000000001</v>
      </c>
      <c r="Q110" s="173">
        <v>31.905954000000001</v>
      </c>
      <c r="R110" s="173">
        <v>35.953691999999997</v>
      </c>
      <c r="S110" s="173">
        <v>35.545333999999997</v>
      </c>
      <c r="T110" s="173">
        <v>36.232920999999997</v>
      </c>
      <c r="U110" s="173">
        <v>42.799511000000003</v>
      </c>
      <c r="V110" s="173">
        <v>40.818286999999998</v>
      </c>
      <c r="W110" s="173">
        <v>12.481096000000001</v>
      </c>
      <c r="X110"/>
      <c r="Y110"/>
      <c r="Z110"/>
    </row>
    <row r="111" spans="1:26" ht="15">
      <c r="A111" s="208"/>
      <c r="B111" s="133" t="s">
        <v>22</v>
      </c>
      <c r="C111" s="173">
        <v>0.78413299999999997</v>
      </c>
      <c r="D111" s="173">
        <v>0.71108700000000002</v>
      </c>
      <c r="E111" s="173">
        <v>0.73842799999999997</v>
      </c>
      <c r="F111" s="173">
        <v>0.63095199999999996</v>
      </c>
      <c r="G111" s="173">
        <v>0.65055600000000002</v>
      </c>
      <c r="H111" s="173">
        <v>0.66513100000000003</v>
      </c>
      <c r="I111" s="173">
        <v>0.64607300000000001</v>
      </c>
      <c r="J111" s="173">
        <v>0.37482700000000002</v>
      </c>
      <c r="K111" s="173">
        <v>0.37211699999999998</v>
      </c>
      <c r="L111" s="173">
        <v>0.524733</v>
      </c>
      <c r="M111" s="173">
        <v>0.42454199999999997</v>
      </c>
      <c r="N111" s="173">
        <v>0.44537900000000002</v>
      </c>
      <c r="O111" s="173">
        <v>0.50013399999999997</v>
      </c>
      <c r="P111" s="173">
        <v>0.49944300000000003</v>
      </c>
      <c r="Q111" s="173">
        <v>0.57839200000000002</v>
      </c>
      <c r="R111" s="173">
        <v>0.26424700000000001</v>
      </c>
      <c r="S111" s="173">
        <v>0.430983</v>
      </c>
      <c r="T111" s="173">
        <v>0.49796200000000002</v>
      </c>
      <c r="U111" s="173">
        <v>0.62341999999999997</v>
      </c>
      <c r="V111" s="173">
        <v>1.3289139999999999</v>
      </c>
      <c r="W111" s="173">
        <v>0</v>
      </c>
      <c r="X111"/>
      <c r="Y111"/>
      <c r="Z111"/>
    </row>
    <row r="112" spans="1:26" ht="15">
      <c r="A112" s="208"/>
      <c r="B112" s="133" t="s">
        <v>23</v>
      </c>
      <c r="C112" s="173">
        <v>0</v>
      </c>
      <c r="D112" s="173">
        <v>0</v>
      </c>
      <c r="E112" s="173">
        <v>0</v>
      </c>
      <c r="F112" s="173">
        <v>0</v>
      </c>
      <c r="G112" s="173">
        <v>0</v>
      </c>
      <c r="H112" s="173">
        <v>0</v>
      </c>
      <c r="I112" s="173">
        <v>0</v>
      </c>
      <c r="J112" s="173">
        <v>0</v>
      </c>
      <c r="K112" s="173">
        <v>0</v>
      </c>
      <c r="L112" s="173">
        <v>0</v>
      </c>
      <c r="M112" s="173">
        <v>0</v>
      </c>
      <c r="N112" s="173">
        <v>0</v>
      </c>
      <c r="O112" s="173">
        <v>0</v>
      </c>
      <c r="P112" s="173">
        <v>0</v>
      </c>
      <c r="Q112" s="173">
        <v>0</v>
      </c>
      <c r="R112" s="173">
        <v>0</v>
      </c>
      <c r="S112" s="173">
        <v>0</v>
      </c>
      <c r="T112" s="173">
        <v>0</v>
      </c>
      <c r="U112" s="173">
        <v>0</v>
      </c>
      <c r="V112" s="173">
        <v>0</v>
      </c>
      <c r="W112" s="173">
        <v>0</v>
      </c>
      <c r="X112"/>
      <c r="Y112"/>
      <c r="Z112"/>
    </row>
    <row r="113" spans="1:26" ht="15">
      <c r="A113" s="208"/>
      <c r="B113" s="137" t="s">
        <v>2</v>
      </c>
      <c r="C113" s="174">
        <v>719.42066</v>
      </c>
      <c r="D113" s="174">
        <v>650.39298299999996</v>
      </c>
      <c r="E113" s="174">
        <v>713.582358</v>
      </c>
      <c r="F113" s="174">
        <v>675.99098200000003</v>
      </c>
      <c r="G113" s="174">
        <v>702.09189000000003</v>
      </c>
      <c r="H113" s="174">
        <v>713.71319300000005</v>
      </c>
      <c r="I113" s="174">
        <v>762.82525099999998</v>
      </c>
      <c r="J113" s="174">
        <v>802.65790300000003</v>
      </c>
      <c r="K113" s="174">
        <v>744.75916099999995</v>
      </c>
      <c r="L113" s="174">
        <v>803.86761799999999</v>
      </c>
      <c r="M113" s="174">
        <v>730.19147599999997</v>
      </c>
      <c r="N113" s="174">
        <v>733.35031600000002</v>
      </c>
      <c r="O113" s="174">
        <v>741.144363</v>
      </c>
      <c r="P113" s="174">
        <v>691.29240300000004</v>
      </c>
      <c r="Q113" s="174">
        <v>724.47731899999997</v>
      </c>
      <c r="R113" s="174">
        <v>704.93682799999999</v>
      </c>
      <c r="S113" s="174">
        <v>707.88841100000002</v>
      </c>
      <c r="T113" s="174">
        <v>692.21298300000001</v>
      </c>
      <c r="U113" s="174">
        <v>759.70508099999995</v>
      </c>
      <c r="V113" s="174">
        <v>781.55721900000003</v>
      </c>
      <c r="W113" s="174">
        <v>274.097756</v>
      </c>
      <c r="X113"/>
      <c r="Y113"/>
      <c r="Z113"/>
    </row>
    <row r="114" spans="1:26" ht="15">
      <c r="A114" s="209"/>
      <c r="B114" s="137" t="s">
        <v>79</v>
      </c>
      <c r="C114" s="174">
        <v>719.42066</v>
      </c>
      <c r="D114" s="174">
        <v>650.39298299999996</v>
      </c>
      <c r="E114" s="174">
        <v>713.582358</v>
      </c>
      <c r="F114" s="174">
        <v>675.99098200000003</v>
      </c>
      <c r="G114" s="174">
        <v>702.09189000000003</v>
      </c>
      <c r="H114" s="174">
        <v>713.71319300000005</v>
      </c>
      <c r="I114" s="174">
        <v>762.82525099999998</v>
      </c>
      <c r="J114" s="174">
        <v>802.65790300000003</v>
      </c>
      <c r="K114" s="174">
        <v>744.75916099999995</v>
      </c>
      <c r="L114" s="174">
        <v>803.86761799999999</v>
      </c>
      <c r="M114" s="174">
        <v>730.19147599999997</v>
      </c>
      <c r="N114" s="174">
        <v>733.35031600000002</v>
      </c>
      <c r="O114" s="174">
        <v>741.144363</v>
      </c>
      <c r="P114" s="174">
        <v>691.29240300000004</v>
      </c>
      <c r="Q114" s="174">
        <v>724.47731899999997</v>
      </c>
      <c r="R114" s="174">
        <v>704.93682799999999</v>
      </c>
      <c r="S114" s="174">
        <v>707.88841100000002</v>
      </c>
      <c r="T114" s="174">
        <v>692.21298300000001</v>
      </c>
      <c r="U114" s="174">
        <v>759.70508099999995</v>
      </c>
      <c r="V114" s="174">
        <v>781.55721900000003</v>
      </c>
      <c r="W114" s="174">
        <v>274.097756</v>
      </c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5" t="s">
        <v>73</v>
      </c>
      <c r="C117" s="111" t="str">
        <f>TEXT(EDATE(D117,-1),"mmmm aaaa")</f>
        <v>agosto 2023</v>
      </c>
      <c r="D117" s="111" t="str">
        <f t="shared" ref="D117:M117" si="6">TEXT(EDATE(E117,-1),"mmmm aaaa")</f>
        <v>septiembre 2023</v>
      </c>
      <c r="E117" s="111" t="str">
        <f t="shared" si="6"/>
        <v>octubre 2023</v>
      </c>
      <c r="F117" s="111" t="str">
        <f t="shared" si="6"/>
        <v>noviembre 2023</v>
      </c>
      <c r="G117" s="111" t="str">
        <f t="shared" si="6"/>
        <v>diciembre 2023</v>
      </c>
      <c r="H117" s="111" t="str">
        <f t="shared" si="6"/>
        <v>enero 2024</v>
      </c>
      <c r="I117" s="111" t="str">
        <f t="shared" si="6"/>
        <v>febrero 2024</v>
      </c>
      <c r="J117" s="111" t="str">
        <f t="shared" si="6"/>
        <v>marzo 2024</v>
      </c>
      <c r="K117" s="111" t="str">
        <f t="shared" si="6"/>
        <v>abril 2024</v>
      </c>
      <c r="L117" s="111" t="str">
        <f t="shared" si="6"/>
        <v>mayo 2024</v>
      </c>
      <c r="M117" s="111" t="str">
        <f t="shared" si="6"/>
        <v>junio 2024</v>
      </c>
      <c r="N117" s="111" t="str">
        <f>TEXT(EDATE(O117,-1),"mmmm aaaa")</f>
        <v>julio 2024</v>
      </c>
      <c r="O117" s="112" t="str">
        <f>A2</f>
        <v>Agosto 2024</v>
      </c>
    </row>
    <row r="118" spans="1:26">
      <c r="B118" s="206"/>
      <c r="C118" s="121" t="str">
        <f>TEXT(EDATE($A$2,-12),"mmm")&amp;".-"&amp;TEXT(EDATE($A$2,-12),"aa")</f>
        <v>ago.-23</v>
      </c>
      <c r="D118" s="121" t="str">
        <f>TEXT(EDATE($A$2,-11),"mmm")&amp;".-"&amp;TEXT(EDATE($A$2,-11),"aa")</f>
        <v>sep.-23</v>
      </c>
      <c r="E118" s="121" t="str">
        <f>TEXT(EDATE($A$2,-10),"mmm")&amp;".-"&amp;TEXT(EDATE($A$2,-10),"aa")</f>
        <v>oct.-23</v>
      </c>
      <c r="F118" s="121" t="str">
        <f>TEXT(EDATE($A$2,-9),"mmm")&amp;".-"&amp;TEXT(EDATE($A$2,-9),"aa")</f>
        <v>nov.-23</v>
      </c>
      <c r="G118" s="121" t="str">
        <f>TEXT(EDATE($A$2,-8),"mmm")&amp;".-"&amp;TEXT(EDATE($A$2,-8),"aa")</f>
        <v>dic.-23</v>
      </c>
      <c r="H118" s="121" t="str">
        <f>TEXT(EDATE($A$2,-7),"mmm")&amp;".-"&amp;TEXT(EDATE($A$2,-7),"aa")</f>
        <v>ene.-24</v>
      </c>
      <c r="I118" s="121" t="str">
        <f>TEXT(EDATE($A$2,-6),"mmm")&amp;".-"&amp;TEXT(EDATE($A$2,-6),"aa")</f>
        <v>feb.-24</v>
      </c>
      <c r="J118" s="121" t="str">
        <f>TEXT(EDATE($A$2,-5),"mmm")&amp;".-"&amp;TEXT(EDATE($A$2,-5),"aa")</f>
        <v>mar.-24</v>
      </c>
      <c r="K118" s="121" t="str">
        <f>TEXT(EDATE($A$2,-4),"mmm")&amp;".-"&amp;TEXT(EDATE($A$2,-4),"aa")</f>
        <v>abr.-24</v>
      </c>
      <c r="L118" s="121" t="str">
        <f>TEXT(EDATE($A$2,-3),"mmm")&amp;".-"&amp;TEXT(EDATE($A$2,-3),"aa")</f>
        <v>may.-24</v>
      </c>
      <c r="M118" s="121" t="str">
        <f>TEXT(EDATE($A$2,-2),"mmm")&amp;".-"&amp;TEXT(EDATE($A$2,-2),"aa")</f>
        <v>jun.-24</v>
      </c>
      <c r="N118" s="121" t="str">
        <f>TEXT(EDATE($A$2,-1),"mmm")&amp;".-"&amp;TEXT(EDATE($A$2,-1),"aa")</f>
        <v>jul.-24</v>
      </c>
      <c r="O118" s="143" t="str">
        <f>TEXT($A$2,"mmm")&amp;".-"&amp;TEXT($A$2,"aa")</f>
        <v>ago.-24</v>
      </c>
    </row>
    <row r="119" spans="1:26">
      <c r="A119" s="202" t="s">
        <v>76</v>
      </c>
      <c r="B119" s="122" t="s">
        <v>11</v>
      </c>
      <c r="C119" s="123">
        <f>HLOOKUP(C$117,$86:$101,3,FALSE)</f>
        <v>9.0232189999999992</v>
      </c>
      <c r="D119" s="123">
        <f t="shared" ref="D119:N119" si="7">HLOOKUP(D$117,$86:$101,3,FALSE)</f>
        <v>-0.82337800000000005</v>
      </c>
      <c r="E119" s="123">
        <f t="shared" si="7"/>
        <v>-0.82724900000000001</v>
      </c>
      <c r="F119" s="123">
        <f t="shared" si="7"/>
        <v>-0.89542500000000003</v>
      </c>
      <c r="G119" s="123">
        <f t="shared" si="7"/>
        <v>-0.69586499999999996</v>
      </c>
      <c r="H119" s="123">
        <f t="shared" si="7"/>
        <v>-0.70605399999999996</v>
      </c>
      <c r="I119" s="123">
        <f t="shared" si="7"/>
        <v>-0.66276199999999996</v>
      </c>
      <c r="J119" s="123">
        <f t="shared" si="7"/>
        <v>-0.710283</v>
      </c>
      <c r="K119" s="123">
        <f t="shared" si="7"/>
        <v>-0.939218</v>
      </c>
      <c r="L119" s="123">
        <f t="shared" si="7"/>
        <v>22.073955999999999</v>
      </c>
      <c r="M119" s="123">
        <f t="shared" si="7"/>
        <v>26.418958</v>
      </c>
      <c r="N119" s="123">
        <f t="shared" si="7"/>
        <v>1.554179</v>
      </c>
      <c r="O119" s="124">
        <f>HLOOKUP(O$117,$86:$101,3,FALSE)</f>
        <v>-0.75178999999999996</v>
      </c>
    </row>
    <row r="120" spans="1:26">
      <c r="A120" s="203"/>
      <c r="B120" s="105" t="s">
        <v>10</v>
      </c>
      <c r="C120" s="107">
        <f>HLOOKUP(C$117,$86:$101,4,FALSE)</f>
        <v>64.924531000000002</v>
      </c>
      <c r="D120" s="107">
        <f t="shared" ref="D120:O120" si="8">HLOOKUP(D$117,$86:$101,4,FALSE)</f>
        <v>32.782569000000002</v>
      </c>
      <c r="E120" s="107">
        <f t="shared" si="8"/>
        <v>16.979832999999999</v>
      </c>
      <c r="F120" s="107">
        <f t="shared" si="8"/>
        <v>5.9974980000000002</v>
      </c>
      <c r="G120" s="107">
        <f t="shared" si="8"/>
        <v>6.2665600000000001</v>
      </c>
      <c r="H120" s="107">
        <f t="shared" si="8"/>
        <v>5.2892989999999998</v>
      </c>
      <c r="I120" s="107">
        <f t="shared" si="8"/>
        <v>4.8235140000000003</v>
      </c>
      <c r="J120" s="107">
        <f t="shared" si="8"/>
        <v>5.4357850000000001</v>
      </c>
      <c r="K120" s="107">
        <f t="shared" si="8"/>
        <v>18.212437000000001</v>
      </c>
      <c r="L120" s="107">
        <f t="shared" si="8"/>
        <v>11.891016</v>
      </c>
      <c r="M120" s="107">
        <f t="shared" si="8"/>
        <v>17.869899</v>
      </c>
      <c r="N120" s="107">
        <f t="shared" si="8"/>
        <v>51.149709999999999</v>
      </c>
      <c r="O120" s="124">
        <f t="shared" si="8"/>
        <v>62.806652999999997</v>
      </c>
    </row>
    <row r="121" spans="1:26">
      <c r="A121" s="203"/>
      <c r="B121" s="105" t="s">
        <v>9</v>
      </c>
      <c r="C121" s="107">
        <f>HLOOKUP(C$117,$86:$101,5,FALSE)</f>
        <v>53.415241999999999</v>
      </c>
      <c r="D121" s="107">
        <f t="shared" ref="D121:O121" si="9">HLOOKUP(D$117,$86:$101,5,FALSE)</f>
        <v>49.271726999999998</v>
      </c>
      <c r="E121" s="107">
        <f t="shared" si="9"/>
        <v>44.274278000000002</v>
      </c>
      <c r="F121" s="107">
        <f t="shared" si="9"/>
        <v>24.187601999999998</v>
      </c>
      <c r="G121" s="107">
        <f t="shared" si="9"/>
        <v>22.604486999999999</v>
      </c>
      <c r="H121" s="107">
        <f t="shared" si="9"/>
        <v>25.154277</v>
      </c>
      <c r="I121" s="107">
        <f t="shared" si="9"/>
        <v>23.798262999999999</v>
      </c>
      <c r="J121" s="107">
        <f t="shared" si="9"/>
        <v>24.938551</v>
      </c>
      <c r="K121" s="107">
        <f t="shared" si="9"/>
        <v>29.498771000000001</v>
      </c>
      <c r="L121" s="107">
        <f t="shared" si="9"/>
        <v>29.400922999999999</v>
      </c>
      <c r="M121" s="107">
        <f t="shared" si="9"/>
        <v>43.333288000000003</v>
      </c>
      <c r="N121" s="107">
        <f t="shared" si="9"/>
        <v>52.282953999999997</v>
      </c>
      <c r="O121" s="124">
        <f t="shared" si="9"/>
        <v>57.566750999999996</v>
      </c>
    </row>
    <row r="122" spans="1:26" ht="14.25">
      <c r="A122" s="203"/>
      <c r="B122" s="105" t="s">
        <v>74</v>
      </c>
      <c r="C122" s="107">
        <f>HLOOKUP(C$117,$86:$101,6,FALSE)</f>
        <v>324.37696499999998</v>
      </c>
      <c r="D122" s="107">
        <f t="shared" ref="D122:O122" si="10">HLOOKUP(D$117,$86:$101,6,FALSE)</f>
        <v>296.32292799999999</v>
      </c>
      <c r="E122" s="107">
        <f t="shared" si="10"/>
        <v>247.112684</v>
      </c>
      <c r="F122" s="107">
        <f t="shared" si="10"/>
        <v>224.26124200000001</v>
      </c>
      <c r="G122" s="107">
        <f t="shared" si="10"/>
        <v>233.91494</v>
      </c>
      <c r="H122" s="107">
        <f t="shared" si="10"/>
        <v>244.02029300000001</v>
      </c>
      <c r="I122" s="107">
        <f t="shared" si="10"/>
        <v>218.49136100000001</v>
      </c>
      <c r="J122" s="107">
        <f t="shared" si="10"/>
        <v>213.548517</v>
      </c>
      <c r="K122" s="107">
        <f t="shared" si="10"/>
        <v>205.68247400000001</v>
      </c>
      <c r="L122" s="107">
        <f t="shared" si="10"/>
        <v>206.763338</v>
      </c>
      <c r="M122" s="107">
        <f t="shared" si="10"/>
        <v>212.499032</v>
      </c>
      <c r="N122" s="107">
        <f t="shared" si="10"/>
        <v>272.94692199999997</v>
      </c>
      <c r="O122" s="124">
        <f t="shared" si="10"/>
        <v>333.50170400000002</v>
      </c>
    </row>
    <row r="123" spans="1:26">
      <c r="A123" s="203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3"/>
      <c r="B124" s="105" t="s">
        <v>5</v>
      </c>
      <c r="C124" s="107">
        <f>HLOOKUP(C$117,$86:$102,8,FALSE)</f>
        <v>9.7920999999999994E-2</v>
      </c>
      <c r="D124" s="107">
        <f t="shared" ref="D124:O124" si="12">HLOOKUP(D$117,$86:$102,8,FALSE)</f>
        <v>0</v>
      </c>
      <c r="E124" s="107">
        <f t="shared" si="12"/>
        <v>1.0359999999999999E-2</v>
      </c>
      <c r="F124" s="107">
        <f t="shared" si="12"/>
        <v>8.7279999999999996E-3</v>
      </c>
      <c r="G124" s="107">
        <f t="shared" si="12"/>
        <v>0</v>
      </c>
      <c r="H124" s="107">
        <f t="shared" si="12"/>
        <v>0</v>
      </c>
      <c r="I124" s="107">
        <f t="shared" si="12"/>
        <v>0</v>
      </c>
      <c r="J124" s="107">
        <f t="shared" si="12"/>
        <v>0</v>
      </c>
      <c r="K124" s="107">
        <f t="shared" si="12"/>
        <v>0</v>
      </c>
      <c r="L124" s="107">
        <f t="shared" si="12"/>
        <v>0</v>
      </c>
      <c r="M124" s="107">
        <f t="shared" si="12"/>
        <v>0</v>
      </c>
      <c r="N124" s="107">
        <f t="shared" si="12"/>
        <v>0</v>
      </c>
      <c r="O124" s="124">
        <f t="shared" si="12"/>
        <v>0</v>
      </c>
    </row>
    <row r="125" spans="1:26">
      <c r="A125" s="203"/>
      <c r="B125" s="105" t="s">
        <v>4</v>
      </c>
      <c r="C125" s="107">
        <f>HLOOKUP(C$117,$86:$102,9,FALSE)</f>
        <v>44.650032000000003</v>
      </c>
      <c r="D125" s="107">
        <f t="shared" ref="D125:O125" si="13">HLOOKUP(D$117,$86:$102,9,FALSE)</f>
        <v>34.850726000000002</v>
      </c>
      <c r="E125" s="107">
        <f t="shared" si="13"/>
        <v>32.896220999999997</v>
      </c>
      <c r="F125" s="107">
        <f t="shared" si="13"/>
        <v>24.884706000000001</v>
      </c>
      <c r="G125" s="107">
        <f t="shared" si="13"/>
        <v>22.636651000000001</v>
      </c>
      <c r="H125" s="107">
        <f t="shared" si="13"/>
        <v>24.18449</v>
      </c>
      <c r="I125" s="107">
        <f t="shared" si="13"/>
        <v>30.744498</v>
      </c>
      <c r="J125" s="107">
        <f t="shared" si="13"/>
        <v>45.305076999999997</v>
      </c>
      <c r="K125" s="107">
        <f t="shared" si="13"/>
        <v>44.568354999999997</v>
      </c>
      <c r="L125" s="107">
        <f t="shared" si="13"/>
        <v>58.305483000000002</v>
      </c>
      <c r="M125" s="107">
        <f t="shared" si="13"/>
        <v>53.291172000000003</v>
      </c>
      <c r="N125" s="107">
        <f t="shared" si="13"/>
        <v>60.161617</v>
      </c>
      <c r="O125" s="124">
        <f t="shared" si="13"/>
        <v>55.444464000000004</v>
      </c>
    </row>
    <row r="126" spans="1:26">
      <c r="A126" s="203"/>
      <c r="B126" s="113" t="s">
        <v>22</v>
      </c>
      <c r="C126" s="107">
        <f>HLOOKUP(C$117,$86:$102,10,FALSE)</f>
        <v>9.2054999999999998E-2</v>
      </c>
      <c r="D126" s="107">
        <f t="shared" ref="D126:O126" si="14">HLOOKUP(D$117,$86:$102,10,FALSE)</f>
        <v>0.14128099999999999</v>
      </c>
      <c r="E126" s="107">
        <f t="shared" si="14"/>
        <v>0.14801500000000001</v>
      </c>
      <c r="F126" s="107">
        <f t="shared" si="14"/>
        <v>0.14354</v>
      </c>
      <c r="G126" s="107">
        <f t="shared" si="14"/>
        <v>0.12625700000000001</v>
      </c>
      <c r="H126" s="107">
        <f t="shared" si="14"/>
        <v>0.10423</v>
      </c>
      <c r="I126" s="107">
        <f t="shared" si="14"/>
        <v>3.9530000000000003E-2</v>
      </c>
      <c r="J126" s="107">
        <f t="shared" si="14"/>
        <v>4.0002000000000003E-2</v>
      </c>
      <c r="K126" s="107">
        <f t="shared" si="14"/>
        <v>1.5544000000000001E-2</v>
      </c>
      <c r="L126" s="107">
        <f t="shared" si="14"/>
        <v>4.1384999999999998E-2</v>
      </c>
      <c r="M126" s="107">
        <f t="shared" si="14"/>
        <v>7.8099000000000002E-2</v>
      </c>
      <c r="N126" s="107">
        <f t="shared" si="14"/>
        <v>0.18402499999999999</v>
      </c>
      <c r="O126" s="124">
        <f t="shared" si="14"/>
        <v>0.28992600000000002</v>
      </c>
    </row>
    <row r="127" spans="1:26">
      <c r="A127" s="203"/>
      <c r="B127" s="113" t="s">
        <v>23</v>
      </c>
      <c r="C127" s="107">
        <f>HLOOKUP(C$117,$86:$102,11,FALSE)</f>
        <v>3.6746310000000002</v>
      </c>
      <c r="D127" s="107">
        <f t="shared" ref="D127:O127" si="15">HLOOKUP(D$117,$86:$102,11,FALSE)</f>
        <v>2.995241</v>
      </c>
      <c r="E127" s="107">
        <f t="shared" si="15"/>
        <v>1.6210690000000001</v>
      </c>
      <c r="F127" s="107">
        <f t="shared" si="15"/>
        <v>1.996553</v>
      </c>
      <c r="G127" s="107">
        <f t="shared" si="15"/>
        <v>3.1565249999999998</v>
      </c>
      <c r="H127" s="107">
        <f t="shared" si="15"/>
        <v>3.9370180000000001</v>
      </c>
      <c r="I127" s="107">
        <f t="shared" si="15"/>
        <v>3.7397490000000002</v>
      </c>
      <c r="J127" s="107">
        <f t="shared" si="15"/>
        <v>3.4851179999999999</v>
      </c>
      <c r="K127" s="107">
        <f t="shared" si="15"/>
        <v>1.9095409999999999</v>
      </c>
      <c r="L127" s="107">
        <f t="shared" si="15"/>
        <v>3.5397620000000001</v>
      </c>
      <c r="M127" s="107">
        <f t="shared" si="15"/>
        <v>3.4609559999999999</v>
      </c>
      <c r="N127" s="107">
        <f t="shared" si="15"/>
        <v>3.2774670000000001</v>
      </c>
      <c r="O127" s="124">
        <f t="shared" si="15"/>
        <v>3.1243509999999999</v>
      </c>
    </row>
    <row r="128" spans="1:26">
      <c r="A128" s="203"/>
      <c r="B128" s="105" t="s">
        <v>55</v>
      </c>
      <c r="C128" s="107">
        <f t="shared" ref="C128:O128" si="16">HLOOKUP(C$117,$86:$102,13,FALSE)</f>
        <v>14.683114</v>
      </c>
      <c r="D128" s="107">
        <f t="shared" si="16"/>
        <v>9.9340825000000006</v>
      </c>
      <c r="E128" s="107">
        <f t="shared" si="16"/>
        <v>10.861402</v>
      </c>
      <c r="F128" s="107">
        <f t="shared" si="16"/>
        <v>10.810193999999999</v>
      </c>
      <c r="G128" s="107">
        <f t="shared" si="16"/>
        <v>8.9918355000000005</v>
      </c>
      <c r="H128" s="107">
        <f t="shared" si="16"/>
        <v>10.485035</v>
      </c>
      <c r="I128" s="107">
        <f t="shared" si="16"/>
        <v>5.6085469999999997</v>
      </c>
      <c r="J128" s="107">
        <f t="shared" si="16"/>
        <v>12.829401000000001</v>
      </c>
      <c r="K128" s="107">
        <f t="shared" si="16"/>
        <v>11.323399</v>
      </c>
      <c r="L128" s="107">
        <f t="shared" si="16"/>
        <v>12.2750895</v>
      </c>
      <c r="M128" s="107">
        <f t="shared" si="16"/>
        <v>16.584269500000001</v>
      </c>
      <c r="N128" s="107">
        <f t="shared" si="16"/>
        <v>15.726691000000001</v>
      </c>
      <c r="O128" s="124">
        <f t="shared" si="16"/>
        <v>15.578734000000001</v>
      </c>
    </row>
    <row r="129" spans="1:15">
      <c r="A129" s="203"/>
      <c r="B129" s="105" t="s">
        <v>54</v>
      </c>
      <c r="C129" s="107">
        <f>HLOOKUP(C$117,$86:$102,12,FALSE)</f>
        <v>14.683114</v>
      </c>
      <c r="D129" s="107">
        <f t="shared" ref="D129:O129" si="17">HLOOKUP(D$117,$86:$102,12,FALSE)</f>
        <v>9.9340825000000006</v>
      </c>
      <c r="E129" s="107">
        <f t="shared" si="17"/>
        <v>10.861402</v>
      </c>
      <c r="F129" s="107">
        <f t="shared" si="17"/>
        <v>10.810193999999999</v>
      </c>
      <c r="G129" s="107">
        <f t="shared" si="17"/>
        <v>8.9918355000000005</v>
      </c>
      <c r="H129" s="107">
        <f t="shared" si="17"/>
        <v>10.485035</v>
      </c>
      <c r="I129" s="107">
        <f t="shared" si="17"/>
        <v>5.6085469999999997</v>
      </c>
      <c r="J129" s="107">
        <f t="shared" si="17"/>
        <v>12.829401000000001</v>
      </c>
      <c r="K129" s="107">
        <f t="shared" si="17"/>
        <v>11.323399</v>
      </c>
      <c r="L129" s="107">
        <f t="shared" si="17"/>
        <v>12.2750895</v>
      </c>
      <c r="M129" s="107">
        <f t="shared" si="17"/>
        <v>16.584269500000001</v>
      </c>
      <c r="N129" s="107">
        <f t="shared" si="17"/>
        <v>15.726691000000001</v>
      </c>
      <c r="O129" s="124">
        <f t="shared" si="17"/>
        <v>15.578734000000001</v>
      </c>
    </row>
    <row r="130" spans="1:15">
      <c r="A130" s="203"/>
      <c r="B130" s="114" t="s">
        <v>2</v>
      </c>
      <c r="C130" s="115">
        <f>HLOOKUP(C$117,$86:$102,14,FALSE)</f>
        <v>529.62082399999997</v>
      </c>
      <c r="D130" s="115">
        <f t="shared" ref="D130:O130" si="18">HLOOKUP(D$117,$86:$102,14,FALSE)</f>
        <v>435.40925900000002</v>
      </c>
      <c r="E130" s="115">
        <f t="shared" si="18"/>
        <v>363.93801500000001</v>
      </c>
      <c r="F130" s="115">
        <f t="shared" si="18"/>
        <v>302.20483200000001</v>
      </c>
      <c r="G130" s="115">
        <f t="shared" si="18"/>
        <v>305.99322599999999</v>
      </c>
      <c r="H130" s="115">
        <f t="shared" si="18"/>
        <v>322.95362299999999</v>
      </c>
      <c r="I130" s="115">
        <f t="shared" si="18"/>
        <v>292.19124699999998</v>
      </c>
      <c r="J130" s="115">
        <f t="shared" si="18"/>
        <v>317.70156900000001</v>
      </c>
      <c r="K130" s="115">
        <f t="shared" si="18"/>
        <v>321.59470199999998</v>
      </c>
      <c r="L130" s="115">
        <f t="shared" si="18"/>
        <v>356.56604199999998</v>
      </c>
      <c r="M130" s="115">
        <f t="shared" si="18"/>
        <v>390.11994299999998</v>
      </c>
      <c r="N130" s="115">
        <f t="shared" si="18"/>
        <v>473.01025600000003</v>
      </c>
      <c r="O130" s="125">
        <f t="shared" si="18"/>
        <v>543.13952700000004</v>
      </c>
    </row>
    <row r="131" spans="1:15">
      <c r="A131" s="203"/>
      <c r="B131" s="105" t="s">
        <v>21</v>
      </c>
      <c r="C131" s="116">
        <f>HLOOKUP(C$117,$86:$102,15,FALSE)</f>
        <v>175.00929099999999</v>
      </c>
      <c r="D131" s="116">
        <f t="shared" ref="D131:O131" si="19">HLOOKUP(D$117,$86:$102,15,FALSE)</f>
        <v>130.854702</v>
      </c>
      <c r="E131" s="116">
        <f t="shared" si="19"/>
        <v>131.44748999999999</v>
      </c>
      <c r="F131" s="116">
        <f t="shared" si="19"/>
        <v>70.735690000000005</v>
      </c>
      <c r="G131" s="116">
        <f t="shared" si="19"/>
        <v>112.440268</v>
      </c>
      <c r="H131" s="116">
        <f t="shared" si="19"/>
        <v>122.760274</v>
      </c>
      <c r="I131" s="116">
        <f t="shared" si="19"/>
        <v>114.74408200000001</v>
      </c>
      <c r="J131" s="116">
        <f t="shared" si="19"/>
        <v>110.667727</v>
      </c>
      <c r="K131" s="116">
        <f t="shared" si="19"/>
        <v>109.36235000000001</v>
      </c>
      <c r="L131" s="116">
        <f t="shared" si="19"/>
        <v>117.764884</v>
      </c>
      <c r="M131" s="116">
        <f t="shared" si="19"/>
        <v>145.36358899999999</v>
      </c>
      <c r="N131" s="116">
        <f t="shared" si="19"/>
        <v>208.454387</v>
      </c>
      <c r="O131" s="116">
        <f t="shared" si="19"/>
        <v>187.956546</v>
      </c>
    </row>
    <row r="132" spans="1:15">
      <c r="A132" s="203"/>
      <c r="B132" s="117" t="s">
        <v>1</v>
      </c>
      <c r="C132" s="118">
        <f>HLOOKUP(C$117,$86:$102,16,FALSE)</f>
        <v>704.63011500000005</v>
      </c>
      <c r="D132" s="118">
        <f t="shared" ref="D132:O132" si="20">HLOOKUP(D$117,$86:$102,16,FALSE)</f>
        <v>566.26396099999999</v>
      </c>
      <c r="E132" s="118">
        <f t="shared" si="20"/>
        <v>495.38550500000002</v>
      </c>
      <c r="F132" s="118">
        <f t="shared" si="20"/>
        <v>372.94052199999999</v>
      </c>
      <c r="G132" s="118">
        <f t="shared" si="20"/>
        <v>418.433494</v>
      </c>
      <c r="H132" s="118">
        <f t="shared" si="20"/>
        <v>445.71389699999997</v>
      </c>
      <c r="I132" s="118">
        <f t="shared" si="20"/>
        <v>406.93532900000002</v>
      </c>
      <c r="J132" s="118">
        <f t="shared" si="20"/>
        <v>428.36929600000002</v>
      </c>
      <c r="K132" s="118">
        <f t="shared" si="20"/>
        <v>430.95705199999998</v>
      </c>
      <c r="L132" s="118">
        <f t="shared" si="20"/>
        <v>474.33092599999998</v>
      </c>
      <c r="M132" s="118">
        <f t="shared" si="20"/>
        <v>535.48353199999997</v>
      </c>
      <c r="N132" s="118">
        <f t="shared" si="20"/>
        <v>681.46464300000002</v>
      </c>
      <c r="O132" s="118">
        <f t="shared" si="20"/>
        <v>731.09607300000005</v>
      </c>
    </row>
    <row r="133" spans="1:15" ht="14.25">
      <c r="A133" s="204"/>
      <c r="B133" s="126" t="s">
        <v>75</v>
      </c>
      <c r="C133" s="127">
        <f>C120+C121+C123</f>
        <v>118.33977300000001</v>
      </c>
      <c r="D133" s="127">
        <f>D120+D121+D123</f>
        <v>82.054295999999994</v>
      </c>
      <c r="E133" s="127">
        <f t="shared" ref="E133:O133" si="21">E120+E121+E123</f>
        <v>61.254111000000002</v>
      </c>
      <c r="F133" s="127">
        <f t="shared" si="21"/>
        <v>30.185099999999998</v>
      </c>
      <c r="G133" s="127">
        <f t="shared" si="21"/>
        <v>28.871046999999997</v>
      </c>
      <c r="H133" s="127">
        <f t="shared" si="21"/>
        <v>30.443576</v>
      </c>
      <c r="I133" s="127">
        <f t="shared" si="21"/>
        <v>28.621776999999998</v>
      </c>
      <c r="J133" s="127">
        <f t="shared" si="21"/>
        <v>30.374336</v>
      </c>
      <c r="K133" s="127">
        <f t="shared" si="21"/>
        <v>47.711207999999999</v>
      </c>
      <c r="L133" s="127">
        <f t="shared" si="21"/>
        <v>41.291938999999999</v>
      </c>
      <c r="M133" s="127">
        <f t="shared" si="21"/>
        <v>61.203187</v>
      </c>
      <c r="N133" s="127">
        <f t="shared" si="21"/>
        <v>103.43266399999999</v>
      </c>
      <c r="O133" s="127">
        <f t="shared" si="21"/>
        <v>120.37340399999999</v>
      </c>
    </row>
    <row r="134" spans="1:15">
      <c r="A134" s="202" t="s">
        <v>77</v>
      </c>
      <c r="B134" s="128" t="s">
        <v>73</v>
      </c>
      <c r="C134" s="111" t="str">
        <f>TEXT(EDATE($A$2,-12),"mmm")&amp;".-"&amp;TEXT(EDATE($A$2,-12),"aa")</f>
        <v>ago.-23</v>
      </c>
      <c r="D134" s="111" t="str">
        <f>TEXT(EDATE($A$2,-11),"mmm")&amp;".-"&amp;TEXT(EDATE($A$2,-11),"aa")</f>
        <v>sep.-23</v>
      </c>
      <c r="E134" s="111" t="str">
        <f>TEXT(EDATE($A$2,-10),"mmm")&amp;".-"&amp;TEXT(EDATE($A$2,-10),"aa")</f>
        <v>oct.-23</v>
      </c>
      <c r="F134" s="111" t="str">
        <f>TEXT(EDATE($A$2,-9),"mmm")&amp;".-"&amp;TEXT(EDATE($A$2,-9),"aa")</f>
        <v>nov.-23</v>
      </c>
      <c r="G134" s="111" t="str">
        <f>TEXT(EDATE($A$2,-8),"mmm")&amp;".-"&amp;TEXT(EDATE($A$2,-8),"aa")</f>
        <v>dic.-23</v>
      </c>
      <c r="H134" s="111" t="str">
        <f>TEXT(EDATE($A$2,-7),"mmm")&amp;".-"&amp;TEXT(EDATE($A$2,-7),"aa")</f>
        <v>ene.-24</v>
      </c>
      <c r="I134" s="111" t="str">
        <f>TEXT(EDATE($A$2,-6),"mmm")&amp;".-"&amp;TEXT(EDATE($A$2,-6),"aa")</f>
        <v>feb.-24</v>
      </c>
      <c r="J134" s="111" t="str">
        <f>TEXT(EDATE($A$2,-5),"mmm")&amp;".-"&amp;TEXT(EDATE($A$2,-5),"aa")</f>
        <v>mar.-24</v>
      </c>
      <c r="K134" s="111" t="str">
        <f>TEXT(EDATE($A$2,-4),"mmm")&amp;".-"&amp;TEXT(EDATE($A$2,-4),"aa")</f>
        <v>abr.-24</v>
      </c>
      <c r="L134" s="111" t="str">
        <f>TEXT(EDATE($A$2,-3),"mmm")&amp;".-"&amp;TEXT(EDATE($A$2,-3),"aa")</f>
        <v>may.-24</v>
      </c>
      <c r="M134" s="111" t="str">
        <f>TEXT(EDATE($A$2,-2),"mmm")&amp;".-"&amp;TEXT(EDATE($A$2,-2),"aa")</f>
        <v>jun.-24</v>
      </c>
      <c r="N134" s="111" t="str">
        <f>TEXT(EDATE($A$2,-1),"mmm")&amp;".-"&amp;TEXT(EDATE($A$2,-1),"aa")</f>
        <v>jul.-24</v>
      </c>
      <c r="O134" s="112" t="str">
        <f>TEXT($A$2,"mmm")&amp;".-"&amp;TEXT($A$2,"aa")</f>
        <v>ago.-24</v>
      </c>
    </row>
    <row r="135" spans="1:15" ht="15" customHeight="1">
      <c r="A135" s="203"/>
      <c r="B135" s="105" t="s">
        <v>12</v>
      </c>
      <c r="C135" s="107">
        <f>HLOOKUP(C$117,$86:$115,17,FALSE)</f>
        <v>0.289545</v>
      </c>
      <c r="D135" s="107">
        <f t="shared" ref="D135:N135" si="22">HLOOKUP(D$117,$86:$115,17,FALSE)</f>
        <v>0.28924100000000003</v>
      </c>
      <c r="E135" s="107">
        <f t="shared" si="22"/>
        <v>0.30332900000000002</v>
      </c>
      <c r="F135" s="107">
        <f t="shared" si="22"/>
        <v>0.28045300000000001</v>
      </c>
      <c r="G135" s="107">
        <f t="shared" si="22"/>
        <v>0.30560300000000001</v>
      </c>
      <c r="H135" s="107">
        <f t="shared" si="22"/>
        <v>0.29624200000000001</v>
      </c>
      <c r="I135" s="107">
        <f t="shared" si="22"/>
        <v>0.28508299999999998</v>
      </c>
      <c r="J135" s="107">
        <f t="shared" si="22"/>
        <v>0.272924</v>
      </c>
      <c r="K135" s="107">
        <f t="shared" si="22"/>
        <v>0.258407</v>
      </c>
      <c r="L135" s="107">
        <f t="shared" si="22"/>
        <v>0.28213199999999999</v>
      </c>
      <c r="M135" s="107">
        <f t="shared" si="22"/>
        <v>0.27541500000000002</v>
      </c>
      <c r="N135" s="107">
        <f t="shared" si="22"/>
        <v>0.290603</v>
      </c>
      <c r="O135" s="144">
        <f>HLOOKUP(O$117,$86:$115,17,FALSE)</f>
        <v>0.28181699999999998</v>
      </c>
    </row>
    <row r="136" spans="1:15">
      <c r="A136" s="203"/>
      <c r="B136" s="105" t="s">
        <v>10</v>
      </c>
      <c r="C136" s="107">
        <f>HLOOKUP(C$117,$86:$115,18,FALSE)+HLOOKUP(C$117,$86:$115,22,FALSE)</f>
        <v>158.13818499999999</v>
      </c>
      <c r="D136" s="107">
        <f>HLOOKUP(D$117,$86:$115,18,FALSE)+HLOOKUP(D$117,$86:$115,22,FALSE)</f>
        <v>154.76962499999999</v>
      </c>
      <c r="E136" s="107">
        <f t="shared" ref="E136:N136" si="23">HLOOKUP(E$117,$86:$115,18,FALSE)+HLOOKUP(E$117,$86:$115,22,FALSE)</f>
        <v>179.17001500000001</v>
      </c>
      <c r="F136" s="107">
        <f t="shared" si="23"/>
        <v>168.212242</v>
      </c>
      <c r="G136" s="107">
        <f t="shared" si="23"/>
        <v>171.03571600000001</v>
      </c>
      <c r="H136" s="107">
        <f t="shared" si="23"/>
        <v>166.77709300000001</v>
      </c>
      <c r="I136" s="107">
        <f t="shared" si="23"/>
        <v>147.58979299999999</v>
      </c>
      <c r="J136" s="107">
        <f t="shared" si="23"/>
        <v>156.05254400000001</v>
      </c>
      <c r="K136" s="107">
        <f t="shared" si="23"/>
        <v>143.99597600000001</v>
      </c>
      <c r="L136" s="107">
        <f t="shared" si="23"/>
        <v>142.89773500000001</v>
      </c>
      <c r="M136" s="107">
        <f t="shared" si="23"/>
        <v>147.24789200000001</v>
      </c>
      <c r="N136" s="107">
        <f t="shared" si="23"/>
        <v>156.974729</v>
      </c>
      <c r="O136" s="124">
        <f>HLOOKUP(O$117,$86:$115,18,FALSE)+HLOOKUP(O$117,$86:$115,22,FALSE)</f>
        <v>149.168069</v>
      </c>
    </row>
    <row r="137" spans="1:15">
      <c r="A137" s="203"/>
      <c r="B137" s="105" t="s">
        <v>9</v>
      </c>
      <c r="C137" s="107">
        <f>HLOOKUP(C$117,$86:$115,19,FALSE)</f>
        <v>16.795183000000002</v>
      </c>
      <c r="D137" s="107">
        <f t="shared" ref="D137:O137" si="24">HLOOKUP(D$117,$86:$115,19,FALSE)</f>
        <v>18.188441000000001</v>
      </c>
      <c r="E137" s="107">
        <f t="shared" si="24"/>
        <v>30.707764999999998</v>
      </c>
      <c r="F137" s="107">
        <f t="shared" si="24"/>
        <v>24.331886999999998</v>
      </c>
      <c r="G137" s="107">
        <f t="shared" si="24"/>
        <v>26.447642999999999</v>
      </c>
      <c r="H137" s="107">
        <f t="shared" si="24"/>
        <v>28.032011000000001</v>
      </c>
      <c r="I137" s="107">
        <f t="shared" si="24"/>
        <v>23.301389</v>
      </c>
      <c r="J137" s="107">
        <f t="shared" si="24"/>
        <v>22.780221000000001</v>
      </c>
      <c r="K137" s="107">
        <f t="shared" si="24"/>
        <v>15.018001</v>
      </c>
      <c r="L137" s="107">
        <f t="shared" si="24"/>
        <v>13.174446</v>
      </c>
      <c r="M137" s="107">
        <f t="shared" si="24"/>
        <v>26.579124</v>
      </c>
      <c r="N137" s="107">
        <f t="shared" si="24"/>
        <v>16.279032000000001</v>
      </c>
      <c r="O137" s="124">
        <f t="shared" si="24"/>
        <v>15.569345999999999</v>
      </c>
    </row>
    <row r="138" spans="1:15">
      <c r="A138" s="203"/>
      <c r="B138" s="105" t="s">
        <v>8</v>
      </c>
      <c r="C138" s="107">
        <f>HLOOKUP(C$117,$86:$115,20,FALSE)</f>
        <v>105.31614999999999</v>
      </c>
      <c r="D138" s="107">
        <f t="shared" ref="D138:O138" si="25">HLOOKUP(D$117,$86:$115,20,FALSE)</f>
        <v>105.510948</v>
      </c>
      <c r="E138" s="107">
        <f t="shared" si="25"/>
        <v>119.677701</v>
      </c>
      <c r="F138" s="107">
        <f t="shared" si="25"/>
        <v>90.916317000000006</v>
      </c>
      <c r="G138" s="107">
        <f t="shared" si="25"/>
        <v>96.450059999999993</v>
      </c>
      <c r="H138" s="107">
        <f t="shared" si="25"/>
        <v>118.36447</v>
      </c>
      <c r="I138" s="107">
        <f t="shared" si="25"/>
        <v>100.186932</v>
      </c>
      <c r="J138" s="107">
        <f t="shared" si="25"/>
        <v>116.04889799999999</v>
      </c>
      <c r="K138" s="107">
        <f t="shared" si="25"/>
        <v>98.285223000000002</v>
      </c>
      <c r="L138" s="107">
        <f t="shared" si="25"/>
        <v>106.53814</v>
      </c>
      <c r="M138" s="107">
        <f t="shared" si="25"/>
        <v>79.128829999999994</v>
      </c>
      <c r="N138" s="107">
        <f t="shared" si="25"/>
        <v>105.68064699999999</v>
      </c>
      <c r="O138" s="124">
        <f t="shared" si="25"/>
        <v>101.50272699999999</v>
      </c>
    </row>
    <row r="139" spans="1:15" ht="14.25">
      <c r="A139" s="203"/>
      <c r="B139" s="105" t="s">
        <v>74</v>
      </c>
      <c r="C139" s="107">
        <f>HLOOKUP(C$117,$86:$115,21,FALSE)</f>
        <v>306.93109600000003</v>
      </c>
      <c r="D139" s="107">
        <f t="shared" ref="D139:O139" si="26">HLOOKUP(D$117,$86:$115,21,FALSE)</f>
        <v>329.65078499999998</v>
      </c>
      <c r="E139" s="107">
        <f t="shared" si="26"/>
        <v>385.37423100000001</v>
      </c>
      <c r="F139" s="107">
        <f t="shared" si="26"/>
        <v>320.60776499999997</v>
      </c>
      <c r="G139" s="107">
        <f t="shared" si="26"/>
        <v>343.70541600000001</v>
      </c>
      <c r="H139" s="107">
        <f t="shared" si="26"/>
        <v>348.60822999999999</v>
      </c>
      <c r="I139" s="107">
        <f t="shared" si="26"/>
        <v>282.95672999999999</v>
      </c>
      <c r="J139" s="107">
        <f t="shared" si="26"/>
        <v>305.966994</v>
      </c>
      <c r="K139" s="107">
        <f t="shared" si="26"/>
        <v>315.19474500000001</v>
      </c>
      <c r="L139" s="107">
        <f t="shared" si="26"/>
        <v>259.74817300000001</v>
      </c>
      <c r="M139" s="107">
        <f t="shared" si="26"/>
        <v>269.75380799999999</v>
      </c>
      <c r="N139" s="107">
        <f t="shared" si="26"/>
        <v>264.109264</v>
      </c>
      <c r="O139" s="124">
        <f t="shared" si="26"/>
        <v>258.28017799999998</v>
      </c>
    </row>
    <row r="140" spans="1:15">
      <c r="A140" s="203"/>
      <c r="B140" s="105" t="s">
        <v>6</v>
      </c>
      <c r="C140" s="107">
        <f>HLOOKUP(C$117,$86:$115,23,FALSE)</f>
        <v>2.6998280000000001</v>
      </c>
      <c r="D140" s="107">
        <f t="shared" ref="D140:O140" si="27">HLOOKUP(D$117,$86:$115,23,FALSE)</f>
        <v>1.3149919999999999</v>
      </c>
      <c r="E140" s="107">
        <f t="shared" si="27"/>
        <v>0.44324000000000002</v>
      </c>
      <c r="F140" s="107">
        <f t="shared" si="27"/>
        <v>1.0899650000000001</v>
      </c>
      <c r="G140" s="107">
        <f t="shared" si="27"/>
        <v>0.66913</v>
      </c>
      <c r="H140" s="107">
        <f t="shared" si="27"/>
        <v>0.66808100000000004</v>
      </c>
      <c r="I140" s="107">
        <f t="shared" si="27"/>
        <v>1.414679</v>
      </c>
      <c r="J140" s="107">
        <f t="shared" si="27"/>
        <v>1.5891550000000001</v>
      </c>
      <c r="K140" s="107">
        <f t="shared" si="27"/>
        <v>1.2945469999999999</v>
      </c>
      <c r="L140" s="107">
        <f t="shared" si="27"/>
        <v>2.2523740000000001</v>
      </c>
      <c r="M140" s="107">
        <f t="shared" si="27"/>
        <v>2.6292490000000002</v>
      </c>
      <c r="N140" s="107">
        <f t="shared" si="27"/>
        <v>3.5113029999999998</v>
      </c>
      <c r="O140" s="124">
        <f t="shared" si="27"/>
        <v>3.975784</v>
      </c>
    </row>
    <row r="141" spans="1:15">
      <c r="A141" s="203"/>
      <c r="B141" s="105" t="s">
        <v>5</v>
      </c>
      <c r="C141" s="107">
        <f>HLOOKUP(C$117,$86:$115,24,FALSE)</f>
        <v>178.40540899999999</v>
      </c>
      <c r="D141" s="107">
        <f t="shared" ref="D141:O141" si="28">HLOOKUP(D$117,$86:$115,24,FALSE)</f>
        <v>103.255752</v>
      </c>
      <c r="E141" s="107">
        <f t="shared" si="28"/>
        <v>57.760353000000002</v>
      </c>
      <c r="F141" s="107">
        <f t="shared" si="28"/>
        <v>99.230602000000005</v>
      </c>
      <c r="G141" s="107">
        <f t="shared" si="28"/>
        <v>70.608433000000005</v>
      </c>
      <c r="H141" s="107">
        <f t="shared" si="28"/>
        <v>53.195481000000001</v>
      </c>
      <c r="I141" s="107">
        <f t="shared" si="28"/>
        <v>108.751811</v>
      </c>
      <c r="J141" s="107">
        <f t="shared" si="28"/>
        <v>89.282236999999995</v>
      </c>
      <c r="K141" s="107">
        <f t="shared" si="28"/>
        <v>94.671989999999994</v>
      </c>
      <c r="L141" s="107">
        <f t="shared" si="28"/>
        <v>147.019094</v>
      </c>
      <c r="M141" s="107">
        <f t="shared" si="28"/>
        <v>129.86778200000001</v>
      </c>
      <c r="N141" s="107">
        <f t="shared" si="28"/>
        <v>169.43657200000001</v>
      </c>
      <c r="O141" s="124">
        <f t="shared" si="28"/>
        <v>210.63209699999999</v>
      </c>
    </row>
    <row r="142" spans="1:15">
      <c r="A142" s="203"/>
      <c r="B142" s="105" t="s">
        <v>4</v>
      </c>
      <c r="C142" s="107">
        <f>HLOOKUP(C$117,$86:$115,25,FALSE)</f>
        <v>33.707680000000003</v>
      </c>
      <c r="D142" s="107">
        <f t="shared" ref="D142:O142" si="29">HLOOKUP(D$117,$86:$115,25,FALSE)</f>
        <v>31.407260000000001</v>
      </c>
      <c r="E142" s="107">
        <f t="shared" si="29"/>
        <v>29.906251000000001</v>
      </c>
      <c r="F142" s="107">
        <f t="shared" si="29"/>
        <v>25.097702999999999</v>
      </c>
      <c r="G142" s="107">
        <f t="shared" si="29"/>
        <v>23.682936000000002</v>
      </c>
      <c r="H142" s="107">
        <f t="shared" si="29"/>
        <v>24.702621000000001</v>
      </c>
      <c r="I142" s="107">
        <f t="shared" si="29"/>
        <v>26.306543000000001</v>
      </c>
      <c r="J142" s="107">
        <f t="shared" si="29"/>
        <v>31.905954000000001</v>
      </c>
      <c r="K142" s="107">
        <f t="shared" si="29"/>
        <v>35.953691999999997</v>
      </c>
      <c r="L142" s="107">
        <f t="shared" si="29"/>
        <v>35.545333999999997</v>
      </c>
      <c r="M142" s="107">
        <f t="shared" si="29"/>
        <v>36.232920999999997</v>
      </c>
      <c r="N142" s="107">
        <f t="shared" si="29"/>
        <v>42.799511000000003</v>
      </c>
      <c r="O142" s="124">
        <f t="shared" si="29"/>
        <v>40.818286999999998</v>
      </c>
    </row>
    <row r="143" spans="1:15">
      <c r="A143" s="203"/>
      <c r="B143" s="105" t="s">
        <v>22</v>
      </c>
      <c r="C143" s="107">
        <f>HLOOKUP(C$117,$86:$115,26,FALSE)</f>
        <v>0.37482700000000002</v>
      </c>
      <c r="D143" s="107">
        <f t="shared" ref="D143:O143" si="30">HLOOKUP(D$117,$86:$115,26,FALSE)</f>
        <v>0.37211699999999998</v>
      </c>
      <c r="E143" s="107">
        <f t="shared" si="30"/>
        <v>0.524733</v>
      </c>
      <c r="F143" s="107">
        <f t="shared" si="30"/>
        <v>0.42454199999999997</v>
      </c>
      <c r="G143" s="107">
        <f t="shared" si="30"/>
        <v>0.44537900000000002</v>
      </c>
      <c r="H143" s="107">
        <f t="shared" si="30"/>
        <v>0.50013399999999997</v>
      </c>
      <c r="I143" s="107">
        <f t="shared" si="30"/>
        <v>0.49944300000000003</v>
      </c>
      <c r="J143" s="107">
        <f t="shared" si="30"/>
        <v>0.57839200000000002</v>
      </c>
      <c r="K143" s="107">
        <f t="shared" si="30"/>
        <v>0.26424700000000001</v>
      </c>
      <c r="L143" s="107">
        <f t="shared" si="30"/>
        <v>0.430983</v>
      </c>
      <c r="M143" s="107">
        <f t="shared" si="30"/>
        <v>0.49796200000000002</v>
      </c>
      <c r="N143" s="107">
        <f t="shared" si="30"/>
        <v>0.62341999999999997</v>
      </c>
      <c r="O143" s="124">
        <f t="shared" si="30"/>
        <v>1.3289139999999999</v>
      </c>
    </row>
    <row r="144" spans="1:15">
      <c r="A144" s="203"/>
      <c r="B144" s="117" t="s">
        <v>1</v>
      </c>
      <c r="C144" s="118">
        <f>HLOOKUP(C$117,$86:$115,28,FALSE)</f>
        <v>802.65790300000003</v>
      </c>
      <c r="D144" s="118">
        <f t="shared" ref="D144:O144" si="31">HLOOKUP(D$117,$86:$115,28,FALSE)</f>
        <v>744.75916099999995</v>
      </c>
      <c r="E144" s="118">
        <f t="shared" si="31"/>
        <v>803.86761799999999</v>
      </c>
      <c r="F144" s="118">
        <f t="shared" si="31"/>
        <v>730.19147599999997</v>
      </c>
      <c r="G144" s="118">
        <f t="shared" si="31"/>
        <v>733.35031600000002</v>
      </c>
      <c r="H144" s="118">
        <f t="shared" si="31"/>
        <v>741.144363</v>
      </c>
      <c r="I144" s="118">
        <f t="shared" si="31"/>
        <v>691.29240300000004</v>
      </c>
      <c r="J144" s="118">
        <f t="shared" si="31"/>
        <v>724.47731899999997</v>
      </c>
      <c r="K144" s="118">
        <f t="shared" si="31"/>
        <v>704.93682799999999</v>
      </c>
      <c r="L144" s="118">
        <f t="shared" si="31"/>
        <v>707.88841100000002</v>
      </c>
      <c r="M144" s="118">
        <f t="shared" si="31"/>
        <v>692.21298300000001</v>
      </c>
      <c r="N144" s="118">
        <f t="shared" si="31"/>
        <v>759.70508099999995</v>
      </c>
      <c r="O144" s="118">
        <f t="shared" si="31"/>
        <v>781.55721900000003</v>
      </c>
    </row>
    <row r="145" spans="1:26">
      <c r="A145" s="203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4"/>
      <c r="B146" s="126" t="s">
        <v>75</v>
      </c>
      <c r="C146" s="130">
        <f>SUM(C136:C138)</f>
        <v>280.24951799999997</v>
      </c>
      <c r="D146" s="130">
        <f t="shared" ref="D146:N146" si="32">SUM(D136:D138)</f>
        <v>278.46901400000002</v>
      </c>
      <c r="E146" s="130">
        <f t="shared" si="32"/>
        <v>329.55548099999999</v>
      </c>
      <c r="F146" s="130">
        <f t="shared" si="32"/>
        <v>283.46044599999999</v>
      </c>
      <c r="G146" s="130">
        <f t="shared" si="32"/>
        <v>293.93341900000001</v>
      </c>
      <c r="H146" s="130">
        <f t="shared" si="32"/>
        <v>313.17357400000003</v>
      </c>
      <c r="I146" s="130">
        <f t="shared" si="32"/>
        <v>271.07811399999997</v>
      </c>
      <c r="J146" s="130">
        <f t="shared" si="32"/>
        <v>294.881663</v>
      </c>
      <c r="K146" s="130">
        <f t="shared" si="32"/>
        <v>257.29920000000004</v>
      </c>
      <c r="L146" s="130">
        <f t="shared" si="32"/>
        <v>262.610321</v>
      </c>
      <c r="M146" s="130">
        <f t="shared" si="32"/>
        <v>252.95584600000001</v>
      </c>
      <c r="N146" s="130">
        <f t="shared" si="32"/>
        <v>278.93440799999996</v>
      </c>
      <c r="O146" s="131">
        <f>SUM(O136:O138)</f>
        <v>266.24014199999999</v>
      </c>
    </row>
    <row r="149" spans="1:26" ht="15">
      <c r="A149" s="157"/>
      <c r="B149" s="157" t="s">
        <v>68</v>
      </c>
      <c r="C149" s="201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3" t="s">
        <v>90</v>
      </c>
      <c r="D150" s="183" t="s">
        <v>91</v>
      </c>
      <c r="E150" s="183" t="s">
        <v>92</v>
      </c>
      <c r="F150" s="183" t="s">
        <v>93</v>
      </c>
      <c r="G150" s="183" t="s">
        <v>94</v>
      </c>
      <c r="H150" s="183" t="s">
        <v>95</v>
      </c>
      <c r="I150" s="183" t="s">
        <v>96</v>
      </c>
      <c r="J150" s="183" t="s">
        <v>97</v>
      </c>
      <c r="K150" s="183" t="s">
        <v>98</v>
      </c>
      <c r="L150" s="183" t="s">
        <v>99</v>
      </c>
      <c r="M150" s="183" t="s">
        <v>100</v>
      </c>
      <c r="N150" s="183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125</v>
      </c>
      <c r="B152" s="159" t="s">
        <v>126</v>
      </c>
      <c r="C152" s="175">
        <v>3.7560000000000003E-2</v>
      </c>
      <c r="D152" s="175">
        <v>-2.7599999999999999E-3</v>
      </c>
      <c r="E152" s="175">
        <v>1.2120000000000001E-2</v>
      </c>
      <c r="F152" s="175">
        <v>2.8199999999999999E-2</v>
      </c>
      <c r="G152" s="175">
        <v>-3.62E-3</v>
      </c>
      <c r="H152" s="175">
        <v>-1.1299999999999999E-3</v>
      </c>
      <c r="I152" s="175">
        <v>-1.626E-2</v>
      </c>
      <c r="J152" s="175">
        <v>1.3769999999999999E-2</v>
      </c>
      <c r="K152" s="175">
        <v>2.5200000000000001E-3</v>
      </c>
      <c r="L152" s="175">
        <v>-1.57E-3</v>
      </c>
      <c r="M152" s="175">
        <v>-8.9700000000000005E-3</v>
      </c>
      <c r="N152" s="175">
        <v>1.306E-2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1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3" t="s">
        <v>90</v>
      </c>
      <c r="D156" s="183" t="s">
        <v>91</v>
      </c>
      <c r="E156" s="183" t="s">
        <v>92</v>
      </c>
      <c r="F156" s="183" t="s">
        <v>93</v>
      </c>
      <c r="G156" s="183" t="s">
        <v>94</v>
      </c>
      <c r="H156" s="183" t="s">
        <v>95</v>
      </c>
      <c r="I156" s="183" t="s">
        <v>96</v>
      </c>
      <c r="J156" s="183" t="s">
        <v>97</v>
      </c>
      <c r="K156" s="183" t="s">
        <v>98</v>
      </c>
      <c r="L156" s="183" t="s">
        <v>99</v>
      </c>
      <c r="M156" s="183" t="s">
        <v>100</v>
      </c>
      <c r="N156" s="183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125</v>
      </c>
      <c r="B158" s="159" t="s">
        <v>126</v>
      </c>
      <c r="C158" s="175">
        <v>-2.6290000000000001E-2</v>
      </c>
      <c r="D158" s="175">
        <v>-1.8799999999999999E-3</v>
      </c>
      <c r="E158" s="175">
        <v>-1.4840000000000001E-2</v>
      </c>
      <c r="F158" s="175">
        <v>-9.5700000000000004E-3</v>
      </c>
      <c r="G158" s="175">
        <v>1.089E-2</v>
      </c>
      <c r="H158" s="175">
        <v>-1E-4</v>
      </c>
      <c r="I158" s="175">
        <v>-3.5999999999999999E-3</v>
      </c>
      <c r="J158" s="175">
        <v>1.4590000000000001E-2</v>
      </c>
      <c r="K158" s="175">
        <v>2.2360000000000001E-2</v>
      </c>
      <c r="L158" s="175">
        <v>-4.6999999999999999E-4</v>
      </c>
      <c r="M158" s="175">
        <v>-6.9999999999999999E-4</v>
      </c>
      <c r="N158" s="175">
        <v>2.3529999999999999E-2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W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2024-09-11T13:05:00Z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