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GO\INF_ELABORADA\"/>
    </mc:Choice>
  </mc:AlternateContent>
  <xr:revisionPtr revIDLastSave="0" documentId="13_ncr:1_{3752BDA2-942B-4DF4-8BFA-DF5EFE821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Dat_01!$A$85:$W$113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2" l="1"/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l="1"/>
  <c r="O144" i="18"/>
  <c r="B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37" i="18"/>
  <c r="K141" i="18"/>
  <c r="K136" i="18"/>
  <c r="K140" i="18"/>
  <c r="K143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3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C117" i="18"/>
  <c r="C144" i="18" s="1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<sst xmlns="http://schemas.openxmlformats.org/spreadsheetml/2006/main" count="428" uniqueCount="134">
  <si>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</si>
  <si>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</si>
  <si>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</si>
  <si>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</si>
  <si>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</si>
  <si>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</si>
  <si>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</si>
  <si>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</si>
  <si>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</si>
  <si>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</si>
  <si>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</si>
  <si>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</si>
  <si>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</si>
  <si>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</si>
  <si>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</si>
  <si>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</si>
  <si>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</si>
  <si>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</si>
  <si>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</si>
  <si>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</si>
  <si>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</si>
  <si>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</si>
  <si>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</si>
  <si>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</si>
  <si>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</si>
  <si>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</si>
  <si>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</si>
  <si>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</si>
  <si>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</si>
  <si>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</si>
  <si>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</si>
  <si>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</si>
  <si>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</si>
  <si>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</si>
  <si>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</si>
  <si>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</si>
  <si>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</si>
  <si>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</si>
  <si>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</si>
  <si>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</si>
  <si>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</si>
  <si>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</si>
  <si>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</si>
  <si>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</si>
  <si>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</si>
  <si>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</si>
  <si>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</si>
  <si>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</si>
  <si>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</si>
  <si>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</si>
  <si>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</si>
  <si>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</si>
  <si>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</si>
  <si>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</si>
  <si>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</si>
  <si>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</si>
  <si>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</si>
  <si>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</si>
  <si>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</si>
  <si>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</si>
  <si>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</si>
  <si>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</si>
  <si>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</si>
  <si>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</si>
  <si>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</si>
  <si>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</si>
  <si>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</si>
  <si>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</si>
  <si>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</si>
  <si>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</si>
  <si>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</si>
  <si>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</si>
  <si>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</si>
  <si>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</si>
  <si>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</si>
  <si>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</si>
  <si>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</si>
  <si>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</si>
  <si>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</si>
  <si>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</si>
  <si>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</si>
  <si>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</si>
  <si>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</si>
  <si>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</si>
  <si>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</si>
  <si>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</si>
  <si>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</si>
  <si>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</si>
  <si>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</si>
  <si>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</si>
  <si>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</si>
  <si>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</si>
  <si>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</si>
  <si>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</si>
  <si>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</si>
  <si>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</si>
  <si>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</si>
  <si>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</si>
  <si>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</si>
  <si>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</si>
  <si>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</si>
  <si>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</si>
  <si>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</si>
  <si>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</si>
  <si>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</si>
  <si>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</si>
  <si>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</si>
  <si>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</si>
  <si>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</si>
  <si>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</si>
  <si>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</si>
  <si>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</si>
  <si>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</si>
  <si>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</si>
  <si>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</si>
  <si>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</si>
  <si>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</si>
  <si>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</si>
  <si>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</si>
  <si>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</si>
  <si>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</si>
  <si>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</si>
  <si>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</si>
  <si>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</si>
  <si>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</si>
  <si>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</si>
  <si>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31/08/2022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</si>
  <si>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ut="09/12/2022 10:45:08" si="2.00000001cddfc379438bb482ba9d729895f7e9b6f8c0022bd6fe51ab6101d2fa1e33f364f57b1f268c6f48f2e9238960a0c7a9755e514d26b7f5d20cd7f889f05b26bfa0a0a9f05e5ee6c6d0c04b2874b63d6f4e904b5b6d83902ff4611e6783b0955e29a296a209a3296366c79f692f890b9221f20e597397ab1abbd98d5d8ad6338af825eb9d9aaabdeebbd6db15effda581bd324b5f5b31d8b96be31571bbf277.p.3082.0.1.Europe/Madrid.upriv*_1*_pidn2*_63*_session*-lat*_1.000000011baa52e28b443c6e419c8f90df2766a4bc6025e0ffe06cd6e28a4ba4589cfa8ceceb58c4d52c35ca2b4cff81de646ac47516b6ca.00000001e7d8c7dbefead997a415047432770520bc6025e0ef137e803966a528b957efe3b7c81b6277a26e22172003f40f0637d1ece8adce.0.1.1.BDEbi.D066E1C611E6257C10D00080EF253B44.0-3082.1.1_-0.1.0_-3082.1.1_5.5.0.*0.00000001c8403ef2d39ab510e56d1a69f1530fdac911585a82b8a9cee5f884ab689305dfaf3e3823.0.23.11*.2*.0400*.31152J.e.00000001bb764b04cecc22ff3c96e4b26400d554c911585ab0ab645c8f7f3884a4795c2be6455cf6.0.10*.131*.122*.122.0.0" msgID="F321AB5A11ED3287CD200080EF959C39"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</si>
  <si>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ut="09/12/2022 10:50:12" si="2.00000001cddfc379438bb482ba9d729895f7e9b6f8c0022bd6fe51ab6101d2fa1e33f364f57b1f268c6f48f2e9238960a0c7a9755e514d26b7f5d20cd7f889f05b26bfa0a0a9f05e5ee6c6d0c04b2874b63d6f4e904b5b6d83902ff4611e6783b0955e29a296a209a3296366c79f692f890b9221f20e597397ab1abbd98d5d8ad6338af825eb9d9aaabdeebbd6db15effda581bd324b5f5b31d8b96be31571bbf277.p.3082.0.1.Europe/Madrid.upriv*_1*_pidn2*_63*_session*-lat*_1.000000011baa52e28b443c6e419c8f90df2766a4bc6025e0ffe06cd6e28a4ba4589cfa8ceceb58c4d52c35ca2b4cff81de646ac47516b6ca.00000001e7d8c7dbefead997a415047432770520bc6025e0ef137e803966a528b957efe3b7c81b6277a26e22172003f40f0637d1ece8adce.0.1.1.BDEbi.D066E1C611E6257C10D00080EF253B44.0-3082.1.1_-0.1.0_-3082.1.1_5.5.0.*0.00000001c8403ef2d39ab510e56d1a69f1530fdac911585a82b8a9cee5f884ab689305dfaf3e3823.0.23.11*.2*.0400*.31152J.e.00000001bb764b04cecc22ff3c96e4b26400d554c911585ab0ab645c8f7f3884a4795c2be6455cf6.0.10*.131*.122*.122.0.0" msgID="014ACB5811ED3288CD200080EF45FC38"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nrr="1105" nrc="2080"&gt;&lt;pg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</si>
  <si>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Septiembre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</si>
  <si>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ut="09/12/2022 11:08:29" si="2.00000001cddfc379438bb482ba9d729895f7e9b6f8c0022bd6fe51ab6101d2fa1e33f364f57b1f268c6f48f2e9238960a0c7a9755e514d26b7f5d20cd7f889f05b26bfa0a0a9f05e5ee6c6d0c04b2874b63d6f4e904b5b6d83902ff4611e6783b0955e29a296a209a3296366c79f692f890b9221f20e597397ab1abbd98d5d8ad6338af825eb9d9aaabdeebbd6db15effda581bd324b5f5b31d8b96be31571bbf277.p.3082.0.1.Europe/Madrid.upriv*_1*_pidn2*_63*_session*-lat*_1.000000011baa52e28b443c6e419c8f90df2766a4bc6025e0ffe06cd6e28a4ba4589cfa8ceceb58c4d52c35ca2b4cff81de646ac47516b6ca.00000001e7d8c7dbefead997a415047432770520bc6025e0ef137e803966a528b957efe3b7c81b6277a26e22172003f40f0637d1ece8adce.0.1.1.BDEbi.D066E1C611E6257C10D00080EF253B44.0-3082.1.1_-0.1.0_-3082.1.1_5.5.0.*0.00000001c8403ef2d39ab510e56d1a69f1530fdac911585a82b8a9cee5f884ab689305dfaf3e3823.0.23.11*.2*.0400*.31152J.e.00000001bb764b04cecc22ff3c96e4b26400d554c911585ab0ab645c8f7f3884a4795c2be6455cf6.0.10*.131*.122*.122.0.0" msgID="B91A6FA311ED328ACD200080EF25BD3A"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cols="23" /&gt;&lt;esdo ews="" ece="" ptn="" /&gt;&lt;/excel&gt;&lt;pgs&gt;&lt;pg rows="26" cols="21" nrr="1579" nrc="1229"&gt;&lt;pg /&gt;&lt;bls&gt;&lt;bl sr="1" sc="1" rfetch="26" cfetch="21" posid="1" darows="0" dacols="1"&gt;&lt;excel&gt;&lt;epo ews="Dat_01" ece="A85" enr="MSTR.Serie_Balance_B.C._Mensual_Baleares_y_Canarias" ptn="" qtn="" rows="29" cols="23" /&gt;&lt;esdo ews="" ece="" ptn="" /&gt;&lt;/excel&gt;&lt;gridRng&gt;&lt;sect id="TITLE_AREA" rngprop="1:1:3:2" /&gt;&lt;sect id="ROWHEADERS_AREA" rngprop="4:1:26:2" /&gt;&lt;sect id="COLUMNHEADERS_AREA" rngprop="1:3:3:21" /&gt;&lt;sect id="DATA_AREA" rngprop="4:3:26:21"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</si>
  <si>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ut="09/12/2022 11:09:28" si="2.000000013e163d0859ede7bf0c9e03c4ba721d52a0a565d16775fdb6eaf3d65d4ec9e51d6a8c1048fbf28a862a2c472c0b39df7509be00879480cd343a7536707ddd4dced1abe24beb570dff9a3aa1324d2a99b0a6d75dc269a496491c617ef19b09768ed0462301703e929500676d53e3a548613cb1906e8d2a6d7914fd7cbeb97396ee4b0fffb58ca2416dabaf18702a906efe6ec8d6a93712b248a68b21dfaad6.p.3082.0.1.Europe/Madrid.upriv*_1*_pidn2*_105*_session*-lat*_1.000000019283521f2b75e8eb9fd56bba4cec5186bc6025e0efada55102b465fe4b28ad829a1263358815e40ca139bd26f6c4182efba209d6.000000019b922ef5f1d19814c314c3c777651c59bc6025e094a96fdb32c83cdf6b303a67aa6f50678563dbbdf7eccac290c442d32b49bb19.0.1.1.BDEbi.D066E1C611E6257C10D00080EF253B44.0-3082.1.1_-0.1.0_-3082.1.1_5.5.0.*0.000000017b95d280a18e1a040e15b59d33d7daf3c911585a4ec32d362786ffc0606fafc48d75625d.0.23.11*.2*.0400*.31152J.e.00000001bf800a380909ae886f0d8c7f883b6290c911585a36d84074f018db3efe2dc645ffa43ebf.0.10*.131*.122*.122.0.0" msgID="55D4CD6B11ED328BCD200080EFE53E3B"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nrr="92" nrc="540"&gt;&lt;pg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</si>
  <si>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421285259c7047cda107b0a426372618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</si>
  <si>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ut="09/12/2022 11:09:56" si="2.000000013e163d0859ede7bf0c9e03c4ba721d52a0a565d16775fdb6eaf3d65d4ec9e51d6a8c1048fbf28a862a2c472c0b39df7509be00879480cd343a7536707ddd4dced1abe24beb570dff9a3aa1324d2a99b0a6d75dc269a496491c617ef19b09768ed0462301703e929500676d53e3a548613cb1906e8d2a6d7914fd7cbeb97396ee4b0fffb58ca2416dabaf18702a906efe6ec8d6a93712b248a68b21dfaad6.p.3082.0.1.Europe/Madrid.upriv*_1*_pidn2*_105*_session*-lat*_1.000000019283521f2b75e8eb9fd56bba4cec5186bc6025e0efada55102b465fe4b28ad829a1263358815e40ca139bd26f6c4182efba209d6.000000019b922ef5f1d19814c314c3c777651c59bc6025e094a96fdb32c83cdf6b303a67aa6f50678563dbbdf7eccac290c442d32b49bb19.0.1.1.BDEbi.D066E1C611E6257C10D00080EF253B44.0-3082.1.1_-0.1.0_-3082.1.1_5.5.0.*0.000000017b95d280a18e1a040e15b59d33d7daf3c911585a4ec32d362786ffc0606fafc48d75625d.0.23.11*.2*.0400*.31152J.e.00000001bf800a380909ae886f0d8c7f883b6290c911585a36d84074f018db3efe2dc645ffa43ebf.0.10*.131*.122*.122.0.0" msgID="6889098011ED328BCD200080EFB5DC39"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nrr="46" nrc="564"&gt;&lt;pg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</si>
</sst>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8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4" fontId="45" fillId="0" borderId="0" xfId="0" applyNumberFormat="1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22439024390243892"/>
                  <c:y val="-2.9411764705882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1788617886178863"/>
                  <c:y val="2.4308321753898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7560975609756097"/>
                  <c:y val="7.777771344758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29268292682926828"/>
                  <c:y val="0.2107843137254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1138211382113822"/>
                  <c:y val="-2.99498224486645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9.9691312976121882E-2"/>
                  <c:y val="-0.13777250270186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1707317073170732"/>
                  <c:y val="-0.14782461015902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5021086998271558"/>
                  <c:y val="-0.11274046626524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0.72377004179764526</c:v>
                </c:pt>
                <c:pt idx="1">
                  <c:v>8.3102219365718497</c:v>
                </c:pt>
                <c:pt idx="2">
                  <c:v>9.287821022742369</c:v>
                </c:pt>
                <c:pt idx="3">
                  <c:v>62.733597170517363</c:v>
                </c:pt>
                <c:pt idx="4">
                  <c:v>0.61048611896370275</c:v>
                </c:pt>
                <c:pt idx="5">
                  <c:v>7.056370098586757E-3</c:v>
                </c:pt>
                <c:pt idx="6">
                  <c:v>1.8793953907896079</c:v>
                </c:pt>
                <c:pt idx="7">
                  <c:v>1.8793953907896079</c:v>
                </c:pt>
                <c:pt idx="8">
                  <c:v>4.4289602325255249E-3</c:v>
                </c:pt>
                <c:pt idx="9">
                  <c:v>3.8818423349594906</c:v>
                </c:pt>
                <c:pt idx="10">
                  <c:v>7.8012656758696805E-3</c:v>
                </c:pt>
                <c:pt idx="11">
                  <c:v>10.674183996861357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11.581138927373781</c:v>
                </c:pt>
                <c:pt idx="1">
                  <c:v>6.6932453004805357</c:v>
                </c:pt>
                <c:pt idx="2">
                  <c:v>28.957648785651447</c:v>
                </c:pt>
                <c:pt idx="3">
                  <c:v>39.511273728589906</c:v>
                </c:pt>
                <c:pt idx="4">
                  <c:v>0</c:v>
                </c:pt>
                <c:pt idx="5">
                  <c:v>0.55327306741346638</c:v>
                </c:pt>
                <c:pt idx="6">
                  <c:v>1.7957487391533145</c:v>
                </c:pt>
                <c:pt idx="7">
                  <c:v>1.7957487391533145</c:v>
                </c:pt>
                <c:pt idx="8">
                  <c:v>0.17321292985282302</c:v>
                </c:pt>
                <c:pt idx="9">
                  <c:v>8.8364385306095805</c:v>
                </c:pt>
                <c:pt idx="10">
                  <c:v>0.10227125172183314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-0.72875599999999996</c:v>
                </c:pt>
                <c:pt idx="1">
                  <c:v>-0.54997399999999996</c:v>
                </c:pt>
                <c:pt idx="2">
                  <c:v>-0.58327700000000005</c:v>
                </c:pt>
                <c:pt idx="3">
                  <c:v>-0.582067</c:v>
                </c:pt>
                <c:pt idx="4">
                  <c:v>-0.61424800000000002</c:v>
                </c:pt>
                <c:pt idx="5">
                  <c:v>-0.627467</c:v>
                </c:pt>
                <c:pt idx="6">
                  <c:v>-0.58012699999999995</c:v>
                </c:pt>
                <c:pt idx="7">
                  <c:v>-0.66887300000000005</c:v>
                </c:pt>
                <c:pt idx="8">
                  <c:v>-0.60498099999999999</c:v>
                </c:pt>
                <c:pt idx="9">
                  <c:v>-1.0302370000000001</c:v>
                </c:pt>
                <c:pt idx="10">
                  <c:v>29.141857000000002</c:v>
                </c:pt>
                <c:pt idx="11">
                  <c:v>50.189168000000002</c:v>
                </c:pt>
                <c:pt idx="12">
                  <c:v>5.2653150000000002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103.041223</c:v>
                </c:pt>
                <c:pt idx="1">
                  <c:v>93.585977999999997</c:v>
                </c:pt>
                <c:pt idx="2">
                  <c:v>60.567518999999997</c:v>
                </c:pt>
                <c:pt idx="3">
                  <c:v>37.046178999999995</c:v>
                </c:pt>
                <c:pt idx="4">
                  <c:v>38.331002999999995</c:v>
                </c:pt>
                <c:pt idx="5">
                  <c:v>46.216700000000003</c:v>
                </c:pt>
                <c:pt idx="6">
                  <c:v>39.301479</c:v>
                </c:pt>
                <c:pt idx="7">
                  <c:v>43.217820000000003</c:v>
                </c:pt>
                <c:pt idx="8">
                  <c:v>55.506872999999999</c:v>
                </c:pt>
                <c:pt idx="9">
                  <c:v>70.042845</c:v>
                </c:pt>
                <c:pt idx="10">
                  <c:v>85.898263999999998</c:v>
                </c:pt>
                <c:pt idx="11">
                  <c:v>121.496702</c:v>
                </c:pt>
                <c:pt idx="12">
                  <c:v>132.46422999999999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437.91378300000002</c:v>
                </c:pt>
                <c:pt idx="1">
                  <c:v>367.24080800000002</c:v>
                </c:pt>
                <c:pt idx="2">
                  <c:v>312.10340600000001</c:v>
                </c:pt>
                <c:pt idx="3">
                  <c:v>305.43751500000002</c:v>
                </c:pt>
                <c:pt idx="4">
                  <c:v>332.59120100000001</c:v>
                </c:pt>
                <c:pt idx="5">
                  <c:v>350.08292499999999</c:v>
                </c:pt>
                <c:pt idx="6">
                  <c:v>298.62258500000002</c:v>
                </c:pt>
                <c:pt idx="7">
                  <c:v>331.00133499999998</c:v>
                </c:pt>
                <c:pt idx="8">
                  <c:v>307.42903200000001</c:v>
                </c:pt>
                <c:pt idx="9">
                  <c:v>317.55595499999998</c:v>
                </c:pt>
                <c:pt idx="10">
                  <c:v>367.58788099999998</c:v>
                </c:pt>
                <c:pt idx="11">
                  <c:v>396.959791</c:v>
                </c:pt>
                <c:pt idx="12">
                  <c:v>456.377207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0.20128099999999999</c:v>
                </c:pt>
                <c:pt idx="1">
                  <c:v>0.27444800000000003</c:v>
                </c:pt>
                <c:pt idx="2">
                  <c:v>0.26974799999999999</c:v>
                </c:pt>
                <c:pt idx="3">
                  <c:v>6.1364000000000002E-2</c:v>
                </c:pt>
                <c:pt idx="4">
                  <c:v>0.10125000000000001</c:v>
                </c:pt>
                <c:pt idx="5">
                  <c:v>0.215638</c:v>
                </c:pt>
                <c:pt idx="6">
                  <c:v>0.22824</c:v>
                </c:pt>
                <c:pt idx="7">
                  <c:v>0.33845999999999998</c:v>
                </c:pt>
                <c:pt idx="8">
                  <c:v>0.239788</c:v>
                </c:pt>
                <c:pt idx="9">
                  <c:v>0.16079099999999999</c:v>
                </c:pt>
                <c:pt idx="10">
                  <c:v>2.8254000000000001E-2</c:v>
                </c:pt>
                <c:pt idx="11">
                  <c:v>3.0289E-2</c:v>
                </c:pt>
                <c:pt idx="12">
                  <c:v>3.2219999999999999E-2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21.414781000000001</c:v>
                </c:pt>
                <c:pt idx="1">
                  <c:v>17.622215000000001</c:v>
                </c:pt>
                <c:pt idx="2">
                  <c:v>16.792960999999998</c:v>
                </c:pt>
                <c:pt idx="3">
                  <c:v>8.8102359999999997</c:v>
                </c:pt>
                <c:pt idx="4">
                  <c:v>11.149039999999999</c:v>
                </c:pt>
                <c:pt idx="5">
                  <c:v>14.434640999999999</c:v>
                </c:pt>
                <c:pt idx="6">
                  <c:v>17.843508</c:v>
                </c:pt>
                <c:pt idx="7">
                  <c:v>13.692501999999999</c:v>
                </c:pt>
                <c:pt idx="8">
                  <c:v>22.081204</c:v>
                </c:pt>
                <c:pt idx="9">
                  <c:v>27.327051999999998</c:v>
                </c:pt>
                <c:pt idx="10">
                  <c:v>28.349565999999999</c:v>
                </c:pt>
                <c:pt idx="11">
                  <c:v>32.264840999999997</c:v>
                </c:pt>
                <c:pt idx="12">
                  <c:v>28.239802000000001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8.4413000000000002E-2</c:v>
                </c:pt>
                <c:pt idx="1">
                  <c:v>8.1381999999999996E-2</c:v>
                </c:pt>
                <c:pt idx="2">
                  <c:v>0.243059</c:v>
                </c:pt>
                <c:pt idx="3">
                  <c:v>0.24007600000000001</c:v>
                </c:pt>
                <c:pt idx="4">
                  <c:v>0.230462</c:v>
                </c:pt>
                <c:pt idx="5">
                  <c:v>0.285244</c:v>
                </c:pt>
                <c:pt idx="6">
                  <c:v>0.28095199999999998</c:v>
                </c:pt>
                <c:pt idx="7">
                  <c:v>0.29118100000000002</c:v>
                </c:pt>
                <c:pt idx="8">
                  <c:v>0.16531499999999999</c:v>
                </c:pt>
                <c:pt idx="9">
                  <c:v>0.166327</c:v>
                </c:pt>
                <c:pt idx="10">
                  <c:v>0.111179</c:v>
                </c:pt>
                <c:pt idx="11">
                  <c:v>9.5128000000000004E-2</c:v>
                </c:pt>
                <c:pt idx="12">
                  <c:v>5.6752999999999998E-2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3.9309270000000001</c:v>
                </c:pt>
                <c:pt idx="1">
                  <c:v>3.8190279999999999</c:v>
                </c:pt>
                <c:pt idx="2">
                  <c:v>4.0205719999999996</c:v>
                </c:pt>
                <c:pt idx="3">
                  <c:v>1.4121680000000001</c:v>
                </c:pt>
                <c:pt idx="4">
                  <c:v>3.5189080000000001</c:v>
                </c:pt>
                <c:pt idx="5">
                  <c:v>3.4010050000000001</c:v>
                </c:pt>
                <c:pt idx="6">
                  <c:v>3.0684070000000001</c:v>
                </c:pt>
                <c:pt idx="7">
                  <c:v>3.993204</c:v>
                </c:pt>
                <c:pt idx="8">
                  <c:v>1.8386769999999999</c:v>
                </c:pt>
                <c:pt idx="9">
                  <c:v>1.9461250000000001</c:v>
                </c:pt>
                <c:pt idx="10">
                  <c:v>1.5363420000000001</c:v>
                </c:pt>
                <c:pt idx="11">
                  <c:v>1.1719729999999999</c:v>
                </c:pt>
                <c:pt idx="12">
                  <c:v>5.1333999999999998E-2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13.3199895</c:v>
                </c:pt>
                <c:pt idx="1">
                  <c:v>11.972504499999999</c:v>
                </c:pt>
                <c:pt idx="2">
                  <c:v>6.4146000000000001</c:v>
                </c:pt>
                <c:pt idx="3">
                  <c:v>13.8683715</c:v>
                </c:pt>
                <c:pt idx="4">
                  <c:v>8.8660929999999993</c:v>
                </c:pt>
                <c:pt idx="5">
                  <c:v>9.8711500000000001</c:v>
                </c:pt>
                <c:pt idx="6">
                  <c:v>5.4414375000000001</c:v>
                </c:pt>
                <c:pt idx="7">
                  <c:v>9.6633200000000006</c:v>
                </c:pt>
                <c:pt idx="8">
                  <c:v>7.8050050000000004</c:v>
                </c:pt>
                <c:pt idx="9">
                  <c:v>11.846121999999999</c:v>
                </c:pt>
                <c:pt idx="10">
                  <c:v>13.186323</c:v>
                </c:pt>
                <c:pt idx="11">
                  <c:v>16.1606655</c:v>
                </c:pt>
                <c:pt idx="12">
                  <c:v>13.6723105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13.3199895</c:v>
                </c:pt>
                <c:pt idx="1">
                  <c:v>11.972504499999999</c:v>
                </c:pt>
                <c:pt idx="2">
                  <c:v>6.4146000000000001</c:v>
                </c:pt>
                <c:pt idx="3">
                  <c:v>13.8683715</c:v>
                </c:pt>
                <c:pt idx="4">
                  <c:v>8.8660929999999993</c:v>
                </c:pt>
                <c:pt idx="5">
                  <c:v>9.8711500000000001</c:v>
                </c:pt>
                <c:pt idx="6">
                  <c:v>5.4414375000000001</c:v>
                </c:pt>
                <c:pt idx="7">
                  <c:v>9.6633200000000006</c:v>
                </c:pt>
                <c:pt idx="8">
                  <c:v>7.8050050000000004</c:v>
                </c:pt>
                <c:pt idx="9">
                  <c:v>11.846121999999999</c:v>
                </c:pt>
                <c:pt idx="10">
                  <c:v>13.186323</c:v>
                </c:pt>
                <c:pt idx="11">
                  <c:v>16.1606655</c:v>
                </c:pt>
                <c:pt idx="12">
                  <c:v>13.6723105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40.107311000000003</c:v>
                </c:pt>
                <c:pt idx="1">
                  <c:v>37.549396999999999</c:v>
                </c:pt>
                <c:pt idx="2">
                  <c:v>38.285525</c:v>
                </c:pt>
                <c:pt idx="3">
                  <c:v>28.435708999999999</c:v>
                </c:pt>
                <c:pt idx="4">
                  <c:v>32.270831999999999</c:v>
                </c:pt>
                <c:pt idx="5">
                  <c:v>31.159338999999999</c:v>
                </c:pt>
                <c:pt idx="6">
                  <c:v>27.502502</c:v>
                </c:pt>
                <c:pt idx="7">
                  <c:v>30.689281000000001</c:v>
                </c:pt>
                <c:pt idx="8">
                  <c:v>33.641058999999998</c:v>
                </c:pt>
                <c:pt idx="9">
                  <c:v>32.047055999999998</c:v>
                </c:pt>
                <c:pt idx="10">
                  <c:v>35.225064000000003</c:v>
                </c:pt>
                <c:pt idx="11">
                  <c:v>67.033137999999994</c:v>
                </c:pt>
                <c:pt idx="12">
                  <c:v>77.653036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15.338117297906045</c:v>
                </c:pt>
                <c:pt idx="1">
                  <c:v>16.379551683382356</c:v>
                </c:pt>
                <c:pt idx="2">
                  <c:v>15.180848438728106</c:v>
                </c:pt>
                <c:pt idx="3">
                  <c:v>27.220094146517699</c:v>
                </c:pt>
                <c:pt idx="4">
                  <c:v>1.2015340841194548</c:v>
                </c:pt>
                <c:pt idx="5">
                  <c:v>4.780973319009349E-2</c:v>
                </c:pt>
                <c:pt idx="6">
                  <c:v>0.35605669717885413</c:v>
                </c:pt>
                <c:pt idx="7">
                  <c:v>17.693218464095683</c:v>
                </c:pt>
                <c:pt idx="8">
                  <c:v>6.4665163141773769</c:v>
                </c:pt>
                <c:pt idx="9">
                  <c:v>0.1162531407043326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519E-2"/>
                  <c:y val="-0.151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19.138304725125849</c:v>
                </c:pt>
                <c:pt idx="1">
                  <c:v>2.3785307994676979</c:v>
                </c:pt>
                <c:pt idx="2">
                  <c:v>13.569664354761834</c:v>
                </c:pt>
                <c:pt idx="3">
                  <c:v>35.745803283644804</c:v>
                </c:pt>
                <c:pt idx="4">
                  <c:v>-1.6176221984223404E-3</c:v>
                </c:pt>
                <c:pt idx="5">
                  <c:v>3.8787291811085672E-2</c:v>
                </c:pt>
                <c:pt idx="6">
                  <c:v>0.46607168210625821</c:v>
                </c:pt>
                <c:pt idx="7">
                  <c:v>24.336077945811287</c:v>
                </c:pt>
                <c:pt idx="8">
                  <c:v>4.2336025533739106</c:v>
                </c:pt>
                <c:pt idx="9">
                  <c:v>9.4774986095689906E-2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0.28065899999999999</c:v>
                </c:pt>
                <c:pt idx="1">
                  <c:v>0.27753299999999997</c:v>
                </c:pt>
                <c:pt idx="2">
                  <c:v>0.28213100000000002</c:v>
                </c:pt>
                <c:pt idx="3">
                  <c:v>0.23125799999999999</c:v>
                </c:pt>
                <c:pt idx="4">
                  <c:v>0.15536</c:v>
                </c:pt>
                <c:pt idx="5">
                  <c:v>0.294213</c:v>
                </c:pt>
                <c:pt idx="6">
                  <c:v>0.25058200000000003</c:v>
                </c:pt>
                <c:pt idx="7">
                  <c:v>0.29644599999999999</c:v>
                </c:pt>
                <c:pt idx="8">
                  <c:v>0.27407199999999998</c:v>
                </c:pt>
                <c:pt idx="9">
                  <c:v>0.29880499999999999</c:v>
                </c:pt>
                <c:pt idx="10">
                  <c:v>0.28138299999999999</c:v>
                </c:pt>
                <c:pt idx="11">
                  <c:v>0.29436099999999998</c:v>
                </c:pt>
                <c:pt idx="12">
                  <c:v>0.29274699999999998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266.148821</c:v>
                </c:pt>
                <c:pt idx="1">
                  <c:v>313.81515200000001</c:v>
                </c:pt>
                <c:pt idx="2">
                  <c:v>299.91658699999999</c:v>
                </c:pt>
                <c:pt idx="3">
                  <c:v>280.34116800000004</c:v>
                </c:pt>
                <c:pt idx="4">
                  <c:v>286.85584700000004</c:v>
                </c:pt>
                <c:pt idx="5">
                  <c:v>282.52258499999999</c:v>
                </c:pt>
                <c:pt idx="6">
                  <c:v>254.215059</c:v>
                </c:pt>
                <c:pt idx="7">
                  <c:v>285.48886599999997</c:v>
                </c:pt>
                <c:pt idx="8">
                  <c:v>258.29193100000003</c:v>
                </c:pt>
                <c:pt idx="9">
                  <c:v>244.42552999999998</c:v>
                </c:pt>
                <c:pt idx="10">
                  <c:v>215.54716999999999</c:v>
                </c:pt>
                <c:pt idx="11">
                  <c:v>238.324592</c:v>
                </c:pt>
                <c:pt idx="12">
                  <c:v>264.81528100000003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284.30052499999999</c:v>
                </c:pt>
                <c:pt idx="1">
                  <c:v>278.88830000000002</c:v>
                </c:pt>
                <c:pt idx="2">
                  <c:v>288.42916700000001</c:v>
                </c:pt>
                <c:pt idx="3">
                  <c:v>314.272829</c:v>
                </c:pt>
                <c:pt idx="4">
                  <c:v>321.01253800000001</c:v>
                </c:pt>
                <c:pt idx="5">
                  <c:v>350.31383599999998</c:v>
                </c:pt>
                <c:pt idx="6">
                  <c:v>285.33313399999997</c:v>
                </c:pt>
                <c:pt idx="7">
                  <c:v>288.5179</c:v>
                </c:pt>
                <c:pt idx="8">
                  <c:v>265.37271800000002</c:v>
                </c:pt>
                <c:pt idx="9">
                  <c:v>303.45663500000001</c:v>
                </c:pt>
                <c:pt idx="10">
                  <c:v>283.58392400000002</c:v>
                </c:pt>
                <c:pt idx="11">
                  <c:v>295.51749599999999</c:v>
                </c:pt>
                <c:pt idx="12">
                  <c:v>269.79137200000002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2.663478</c:v>
                </c:pt>
                <c:pt idx="1">
                  <c:v>1.4201079999999999</c:v>
                </c:pt>
                <c:pt idx="2">
                  <c:v>1.852679</c:v>
                </c:pt>
                <c:pt idx="3">
                  <c:v>1.1397900000000001</c:v>
                </c:pt>
                <c:pt idx="4">
                  <c:v>1.2278610000000001</c:v>
                </c:pt>
                <c:pt idx="5">
                  <c:v>1.110916</c:v>
                </c:pt>
                <c:pt idx="6">
                  <c:v>1.4820450000000001</c:v>
                </c:pt>
                <c:pt idx="7">
                  <c:v>2.1263230000000002</c:v>
                </c:pt>
                <c:pt idx="8">
                  <c:v>1.7525280000000001</c:v>
                </c:pt>
                <c:pt idx="9">
                  <c:v>1.9171739999999999</c:v>
                </c:pt>
                <c:pt idx="10">
                  <c:v>2.44956</c:v>
                </c:pt>
                <c:pt idx="11">
                  <c:v>3.5629430000000002</c:v>
                </c:pt>
                <c:pt idx="12">
                  <c:v>3.5176750000000001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145.95032699999999</c:v>
                </c:pt>
                <c:pt idx="1">
                  <c:v>107.853368</c:v>
                </c:pt>
                <c:pt idx="2">
                  <c:v>121.987015</c:v>
                </c:pt>
                <c:pt idx="3">
                  <c:v>91.770038</c:v>
                </c:pt>
                <c:pt idx="4">
                  <c:v>92.867580000000004</c:v>
                </c:pt>
                <c:pt idx="5">
                  <c:v>60.136758999999998</c:v>
                </c:pt>
                <c:pt idx="6">
                  <c:v>88.981584999999995</c:v>
                </c:pt>
                <c:pt idx="7">
                  <c:v>109.43612899999999</c:v>
                </c:pt>
                <c:pt idx="8">
                  <c:v>120.763114</c:v>
                </c:pt>
                <c:pt idx="9">
                  <c:v>116.774248</c:v>
                </c:pt>
                <c:pt idx="10">
                  <c:v>159.31650500000001</c:v>
                </c:pt>
                <c:pt idx="11">
                  <c:v>180.24268000000001</c:v>
                </c:pt>
                <c:pt idx="12">
                  <c:v>183.67649499999999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26.120768999999999</c:v>
                </c:pt>
                <c:pt idx="1">
                  <c:v>21.565273000000001</c:v>
                </c:pt>
                <c:pt idx="2">
                  <c:v>20.979474</c:v>
                </c:pt>
                <c:pt idx="3">
                  <c:v>14.946410999999999</c:v>
                </c:pt>
                <c:pt idx="4">
                  <c:v>16.937016</c:v>
                </c:pt>
                <c:pt idx="5">
                  <c:v>18.038699999999999</c:v>
                </c:pt>
                <c:pt idx="6">
                  <c:v>18.798999999999999</c:v>
                </c:pt>
                <c:pt idx="7">
                  <c:v>24.968492999999999</c:v>
                </c:pt>
                <c:pt idx="8">
                  <c:v>25.164787</c:v>
                </c:pt>
                <c:pt idx="9">
                  <c:v>32.867409000000002</c:v>
                </c:pt>
                <c:pt idx="10">
                  <c:v>30.518813000000002</c:v>
                </c:pt>
                <c:pt idx="11">
                  <c:v>34.107903</c:v>
                </c:pt>
                <c:pt idx="12">
                  <c:v>31.953105999999998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ago.-21</c:v>
                </c:pt>
                <c:pt idx="1">
                  <c:v>sep.-21</c:v>
                </c:pt>
                <c:pt idx="2">
                  <c:v>oct.-21</c:v>
                </c:pt>
                <c:pt idx="3">
                  <c:v>nov.-21</c:v>
                </c:pt>
                <c:pt idx="4">
                  <c:v>dic.-21</c:v>
                </c:pt>
                <c:pt idx="5">
                  <c:v>ene.-22</c:v>
                </c:pt>
                <c:pt idx="6">
                  <c:v>feb.-22</c:v>
                </c:pt>
                <c:pt idx="7">
                  <c:v>mar.-22</c:v>
                </c:pt>
                <c:pt idx="8">
                  <c:v>abr.-22</c:v>
                </c:pt>
                <c:pt idx="9">
                  <c:v>may.-22</c:v>
                </c:pt>
                <c:pt idx="10">
                  <c:v>jun.-22</c:v>
                </c:pt>
                <c:pt idx="11">
                  <c:v>jul.-22</c:v>
                </c:pt>
                <c:pt idx="12">
                  <c:v>ago.-22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0.56980699999999995</c:v>
                </c:pt>
                <c:pt idx="1">
                  <c:v>0.40013300000000002</c:v>
                </c:pt>
                <c:pt idx="2">
                  <c:v>0.75599700000000003</c:v>
                </c:pt>
                <c:pt idx="3">
                  <c:v>0.75323799999999996</c:v>
                </c:pt>
                <c:pt idx="4">
                  <c:v>0.822349</c:v>
                </c:pt>
                <c:pt idx="5">
                  <c:v>0.86053100000000005</c:v>
                </c:pt>
                <c:pt idx="6">
                  <c:v>0.72069799999999995</c:v>
                </c:pt>
                <c:pt idx="7">
                  <c:v>0.90984399999999999</c:v>
                </c:pt>
                <c:pt idx="8">
                  <c:v>0.61352399999999996</c:v>
                </c:pt>
                <c:pt idx="9">
                  <c:v>0.72146399999999999</c:v>
                </c:pt>
                <c:pt idx="10">
                  <c:v>0.696106</c:v>
                </c:pt>
                <c:pt idx="11">
                  <c:v>0.688222</c:v>
                </c:pt>
                <c:pt idx="12">
                  <c:v>0.71531400000000001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C22" sqref="C22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Agosto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32" zoomScale="80" zoomScaleNormal="80" workbookViewId="0">
      <selection activeCell="B73" sqref="B73"/>
    </sheetView>
  </sheetViews>
  <sheetFormatPr baseColWidth="10" defaultColWidth="11.42578125" defaultRowHeight="12"/>
  <cols>
    <col min="1" max="1" width="10.85546875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2" t="s">
        <v>67</v>
      </c>
      <c r="B1" s="142" t="s">
        <v>71</v>
      </c>
    </row>
    <row r="2" spans="1:33">
      <c r="A2" s="143" t="s">
        <v>125</v>
      </c>
      <c r="B2" s="143" t="s">
        <v>126</v>
      </c>
    </row>
    <row r="4" spans="1:33" ht="15">
      <c r="A4" s="144" t="s">
        <v>67</v>
      </c>
      <c r="B4" s="206" t="s">
        <v>125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4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4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4" t="s">
        <v>70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</row>
    <row r="8" spans="1:33">
      <c r="A8" s="143" t="s">
        <v>12</v>
      </c>
      <c r="B8" s="157">
        <v>0</v>
      </c>
      <c r="C8" s="157">
        <v>0</v>
      </c>
      <c r="D8" s="150">
        <v>0</v>
      </c>
      <c r="E8" s="157">
        <v>0</v>
      </c>
      <c r="F8" s="157">
        <v>0</v>
      </c>
      <c r="G8" s="150">
        <v>0</v>
      </c>
      <c r="H8" s="157">
        <v>0</v>
      </c>
      <c r="I8" s="150">
        <v>0</v>
      </c>
      <c r="J8" s="157">
        <v>0</v>
      </c>
      <c r="K8" s="157">
        <v>0</v>
      </c>
      <c r="L8" s="150">
        <v>0</v>
      </c>
      <c r="M8" s="157">
        <v>0</v>
      </c>
      <c r="N8" s="157">
        <v>0</v>
      </c>
      <c r="O8" s="150">
        <v>0</v>
      </c>
      <c r="P8" s="157">
        <v>0</v>
      </c>
      <c r="Q8" s="150">
        <v>0</v>
      </c>
      <c r="R8" s="157">
        <v>0</v>
      </c>
      <c r="S8" s="157">
        <v>0</v>
      </c>
      <c r="T8" s="150">
        <v>0</v>
      </c>
      <c r="U8" s="157">
        <v>0</v>
      </c>
      <c r="V8" s="157">
        <v>0</v>
      </c>
      <c r="W8" s="150">
        <v>0</v>
      </c>
      <c r="X8" s="157">
        <v>0</v>
      </c>
      <c r="Y8" s="150">
        <v>0</v>
      </c>
      <c r="Z8" s="157">
        <v>292.74700000000001</v>
      </c>
      <c r="AA8" s="157">
        <v>280.65899999999999</v>
      </c>
      <c r="AB8" s="150">
        <v>4.3070060100000002E-2</v>
      </c>
      <c r="AC8" s="157">
        <v>2282.6089999999999</v>
      </c>
      <c r="AD8" s="157">
        <v>2096.62</v>
      </c>
      <c r="AE8" s="150">
        <v>8.8708969700000001E-2</v>
      </c>
      <c r="AF8" s="157">
        <v>3228.8910000000001</v>
      </c>
      <c r="AG8" s="150">
        <v>-1.3441661800000001E-2</v>
      </c>
    </row>
    <row r="9" spans="1:33">
      <c r="A9" s="143" t="s">
        <v>11</v>
      </c>
      <c r="B9" s="157">
        <v>0</v>
      </c>
      <c r="C9" s="157">
        <v>0</v>
      </c>
      <c r="D9" s="150">
        <v>0</v>
      </c>
      <c r="E9" s="157">
        <v>0</v>
      </c>
      <c r="F9" s="157">
        <v>0</v>
      </c>
      <c r="G9" s="150">
        <v>0</v>
      </c>
      <c r="H9" s="157">
        <v>0</v>
      </c>
      <c r="I9" s="150">
        <v>0</v>
      </c>
      <c r="J9" s="157">
        <v>0</v>
      </c>
      <c r="K9" s="157">
        <v>0</v>
      </c>
      <c r="L9" s="150">
        <v>0</v>
      </c>
      <c r="M9" s="157">
        <v>0</v>
      </c>
      <c r="N9" s="157">
        <v>0</v>
      </c>
      <c r="O9" s="150">
        <v>0</v>
      </c>
      <c r="P9" s="157">
        <v>0</v>
      </c>
      <c r="Q9" s="150">
        <v>0</v>
      </c>
      <c r="R9" s="157">
        <v>5265.3149999999996</v>
      </c>
      <c r="S9" s="157">
        <v>-728.75599999999997</v>
      </c>
      <c r="T9" s="150">
        <v>-8.2250725894999999</v>
      </c>
      <c r="U9" s="157">
        <v>81084.654999999999</v>
      </c>
      <c r="V9" s="157">
        <v>46932.2</v>
      </c>
      <c r="W9" s="150">
        <v>0.7276977214</v>
      </c>
      <c r="X9" s="157">
        <v>78755.089000000007</v>
      </c>
      <c r="Y9" s="150">
        <v>-0.72057200700000001</v>
      </c>
      <c r="Z9" s="157">
        <v>0</v>
      </c>
      <c r="AA9" s="157">
        <v>0</v>
      </c>
      <c r="AB9" s="150">
        <v>0</v>
      </c>
      <c r="AC9" s="157">
        <v>0</v>
      </c>
      <c r="AD9" s="157">
        <v>0</v>
      </c>
      <c r="AE9" s="150">
        <v>0</v>
      </c>
      <c r="AF9" s="157">
        <v>0</v>
      </c>
      <c r="AG9" s="150">
        <v>0</v>
      </c>
    </row>
    <row r="10" spans="1:33">
      <c r="A10" s="143" t="s">
        <v>78</v>
      </c>
      <c r="B10" s="157">
        <v>16822.324000000001</v>
      </c>
      <c r="C10" s="157">
        <v>17798.758000000002</v>
      </c>
      <c r="D10" s="150">
        <v>-5.4859670499999999E-2</v>
      </c>
      <c r="E10" s="157">
        <v>132435.82500000001</v>
      </c>
      <c r="F10" s="157">
        <v>130557.749</v>
      </c>
      <c r="G10" s="150">
        <v>1.43850213E-2</v>
      </c>
      <c r="H10" s="157">
        <v>198557.027</v>
      </c>
      <c r="I10" s="150">
        <v>1.2080789200000001E-2</v>
      </c>
      <c r="J10" s="157">
        <v>19520.316999999999</v>
      </c>
      <c r="K10" s="157">
        <v>19368.099999999999</v>
      </c>
      <c r="L10" s="150">
        <v>7.8591601999999997E-3</v>
      </c>
      <c r="M10" s="157">
        <v>125662.829</v>
      </c>
      <c r="N10" s="157">
        <v>129704.787</v>
      </c>
      <c r="O10" s="150">
        <v>-3.11627511E-2</v>
      </c>
      <c r="P10" s="157">
        <v>188887.86</v>
      </c>
      <c r="Q10" s="150">
        <v>-2.6357495500000001E-2</v>
      </c>
      <c r="R10" s="157">
        <v>60455.578000000001</v>
      </c>
      <c r="S10" s="157">
        <v>61091.033000000003</v>
      </c>
      <c r="T10" s="150">
        <v>-1.04017721E-2</v>
      </c>
      <c r="U10" s="157">
        <v>340041.201</v>
      </c>
      <c r="V10" s="157">
        <v>257008.61900000001</v>
      </c>
      <c r="W10" s="150">
        <v>0.32307314180000002</v>
      </c>
      <c r="X10" s="157">
        <v>481912.86700000003</v>
      </c>
      <c r="Y10" s="150">
        <v>0.41498329109999998</v>
      </c>
      <c r="Z10" s="157">
        <v>144446.31299999999</v>
      </c>
      <c r="AA10" s="157">
        <v>156767.682</v>
      </c>
      <c r="AB10" s="150">
        <v>-7.8596358899999996E-2</v>
      </c>
      <c r="AC10" s="157">
        <v>1132139.683</v>
      </c>
      <c r="AD10" s="157">
        <v>1081813.9839999999</v>
      </c>
      <c r="AE10" s="150">
        <v>4.6519734200000003E-2</v>
      </c>
      <c r="AF10" s="157">
        <v>1767233.246</v>
      </c>
      <c r="AG10" s="150">
        <v>6.0040832099999997E-2</v>
      </c>
    </row>
    <row r="11" spans="1:33">
      <c r="A11" s="143" t="s">
        <v>9</v>
      </c>
      <c r="B11" s="157">
        <v>5.181</v>
      </c>
      <c r="C11" s="157">
        <v>31.231999999999999</v>
      </c>
      <c r="D11" s="150">
        <v>-0.83411244880000002</v>
      </c>
      <c r="E11" s="157">
        <v>124.842</v>
      </c>
      <c r="F11" s="157">
        <v>73.387</v>
      </c>
      <c r="G11" s="150">
        <v>0.70114597950000002</v>
      </c>
      <c r="H11" s="157">
        <v>258.34800000000001</v>
      </c>
      <c r="I11" s="150">
        <v>0.1921644632</v>
      </c>
      <c r="J11" s="157">
        <v>3.0510000000000002</v>
      </c>
      <c r="K11" s="157">
        <v>1.7430000000000001</v>
      </c>
      <c r="L11" s="150">
        <v>0.75043029260000005</v>
      </c>
      <c r="M11" s="157">
        <v>94.841999999999999</v>
      </c>
      <c r="N11" s="157">
        <v>89.262</v>
      </c>
      <c r="O11" s="150">
        <v>6.2512603299999997E-2</v>
      </c>
      <c r="P11" s="157">
        <v>96.671999999999997</v>
      </c>
      <c r="Q11" s="150">
        <v>-6.3482683499999998E-2</v>
      </c>
      <c r="R11" s="157">
        <v>67567.460000000006</v>
      </c>
      <c r="S11" s="157">
        <v>38115.421999999999</v>
      </c>
      <c r="T11" s="150">
        <v>0.77270659630000005</v>
      </c>
      <c r="U11" s="157">
        <v>246978.93700000001</v>
      </c>
      <c r="V11" s="157">
        <v>139682.60399999999</v>
      </c>
      <c r="W11" s="150">
        <v>0.76814384849999995</v>
      </c>
      <c r="X11" s="157">
        <v>331556.62099999998</v>
      </c>
      <c r="Y11" s="150">
        <v>0.78386342320000002</v>
      </c>
      <c r="Z11" s="157">
        <v>17951.955999999998</v>
      </c>
      <c r="AA11" s="157">
        <v>9736.9490000000005</v>
      </c>
      <c r="AB11" s="150">
        <v>0.84369415920000002</v>
      </c>
      <c r="AC11" s="157">
        <v>150310.51999999999</v>
      </c>
      <c r="AD11" s="157">
        <v>106891.76300000001</v>
      </c>
      <c r="AE11" s="150">
        <v>0.40619366530000001</v>
      </c>
      <c r="AF11" s="157">
        <v>242444.45499999999</v>
      </c>
      <c r="AG11" s="150">
        <v>0.24198429869999999</v>
      </c>
    </row>
    <row r="12" spans="1:33">
      <c r="A12" s="143" t="s">
        <v>8</v>
      </c>
      <c r="B12" s="157">
        <v>0</v>
      </c>
      <c r="C12" s="157">
        <v>0</v>
      </c>
      <c r="D12" s="150">
        <v>0</v>
      </c>
      <c r="E12" s="157">
        <v>0</v>
      </c>
      <c r="F12" s="157">
        <v>0</v>
      </c>
      <c r="G12" s="150">
        <v>0</v>
      </c>
      <c r="H12" s="157">
        <v>0</v>
      </c>
      <c r="I12" s="150">
        <v>0</v>
      </c>
      <c r="J12" s="157">
        <v>0</v>
      </c>
      <c r="K12" s="157">
        <v>0</v>
      </c>
      <c r="L12" s="150">
        <v>0</v>
      </c>
      <c r="M12" s="157">
        <v>0</v>
      </c>
      <c r="N12" s="157">
        <v>0</v>
      </c>
      <c r="O12" s="150">
        <v>0</v>
      </c>
      <c r="P12" s="157">
        <v>0</v>
      </c>
      <c r="Q12" s="150">
        <v>0</v>
      </c>
      <c r="R12" s="157">
        <v>0</v>
      </c>
      <c r="S12" s="157">
        <v>0</v>
      </c>
      <c r="T12" s="150">
        <v>0</v>
      </c>
      <c r="U12" s="157">
        <v>0</v>
      </c>
      <c r="V12" s="157">
        <v>0</v>
      </c>
      <c r="W12" s="150">
        <v>0</v>
      </c>
      <c r="X12" s="157">
        <v>0</v>
      </c>
      <c r="Y12" s="150">
        <v>0</v>
      </c>
      <c r="Z12" s="157">
        <v>102417.012</v>
      </c>
      <c r="AA12" s="157">
        <v>99644.19</v>
      </c>
      <c r="AB12" s="150">
        <v>2.7827232100000002E-2</v>
      </c>
      <c r="AC12" s="157">
        <v>761180.81099999999</v>
      </c>
      <c r="AD12" s="157">
        <v>654336.24699999997</v>
      </c>
      <c r="AE12" s="150">
        <v>0.1632869408</v>
      </c>
      <c r="AF12" s="157">
        <v>1214882.067</v>
      </c>
      <c r="AG12" s="150">
        <v>9.2230337600000004E-2</v>
      </c>
    </row>
    <row r="13" spans="1:33">
      <c r="A13" s="143" t="s">
        <v>25</v>
      </c>
      <c r="B13" s="157">
        <v>0</v>
      </c>
      <c r="C13" s="157">
        <v>0</v>
      </c>
      <c r="D13" s="150">
        <v>0</v>
      </c>
      <c r="E13" s="157">
        <v>0</v>
      </c>
      <c r="F13" s="157">
        <v>0</v>
      </c>
      <c r="G13" s="150">
        <v>0</v>
      </c>
      <c r="H13" s="157">
        <v>0</v>
      </c>
      <c r="I13" s="150">
        <v>0</v>
      </c>
      <c r="J13" s="157">
        <v>0</v>
      </c>
      <c r="K13" s="157">
        <v>0</v>
      </c>
      <c r="L13" s="150">
        <v>0</v>
      </c>
      <c r="M13" s="157">
        <v>0</v>
      </c>
      <c r="N13" s="157">
        <v>0</v>
      </c>
      <c r="O13" s="150">
        <v>0</v>
      </c>
      <c r="P13" s="157">
        <v>0</v>
      </c>
      <c r="Q13" s="150">
        <v>0</v>
      </c>
      <c r="R13" s="157">
        <v>456377.20699999999</v>
      </c>
      <c r="S13" s="157">
        <v>437913.783</v>
      </c>
      <c r="T13" s="150">
        <v>4.2162235399999998E-2</v>
      </c>
      <c r="U13" s="157">
        <v>2825616.7110000001</v>
      </c>
      <c r="V13" s="157">
        <v>2164848.1060000001</v>
      </c>
      <c r="W13" s="150">
        <v>0.3052263127</v>
      </c>
      <c r="X13" s="157">
        <v>4142989.6409999998</v>
      </c>
      <c r="Y13" s="150">
        <v>0.48725511469999999</v>
      </c>
      <c r="Z13" s="157">
        <v>269791.37199999997</v>
      </c>
      <c r="AA13" s="157">
        <v>284300.52500000002</v>
      </c>
      <c r="AB13" s="150">
        <v>-5.1034562800000002E-2</v>
      </c>
      <c r="AC13" s="157">
        <v>2341887.0150000001</v>
      </c>
      <c r="AD13" s="157">
        <v>2227636.7650000001</v>
      </c>
      <c r="AE13" s="150">
        <v>5.1287647899999997E-2</v>
      </c>
      <c r="AF13" s="157">
        <v>3544489.8489999999</v>
      </c>
      <c r="AG13" s="150">
        <v>4.7383074599999998E-2</v>
      </c>
    </row>
    <row r="14" spans="1:33">
      <c r="A14" s="143" t="s">
        <v>24</v>
      </c>
      <c r="B14" s="157">
        <v>0</v>
      </c>
      <c r="C14" s="157">
        <v>0</v>
      </c>
      <c r="D14" s="150">
        <v>0</v>
      </c>
      <c r="E14" s="157">
        <v>0</v>
      </c>
      <c r="F14" s="157">
        <v>0</v>
      </c>
      <c r="G14" s="150">
        <v>0</v>
      </c>
      <c r="H14" s="157">
        <v>0</v>
      </c>
      <c r="I14" s="150">
        <v>0</v>
      </c>
      <c r="J14" s="157">
        <v>0</v>
      </c>
      <c r="K14" s="157">
        <v>0</v>
      </c>
      <c r="L14" s="150">
        <v>0</v>
      </c>
      <c r="M14" s="157">
        <v>0</v>
      </c>
      <c r="N14" s="157">
        <v>0</v>
      </c>
      <c r="O14" s="150">
        <v>0</v>
      </c>
      <c r="P14" s="157">
        <v>0</v>
      </c>
      <c r="Q14" s="150">
        <v>0</v>
      </c>
      <c r="R14" s="157">
        <v>4441.192</v>
      </c>
      <c r="S14" s="157">
        <v>3834.768</v>
      </c>
      <c r="T14" s="150">
        <v>0.15813838020000001</v>
      </c>
      <c r="U14" s="157">
        <v>7124.7749999999996</v>
      </c>
      <c r="V14" s="157">
        <v>8944.7330000000002</v>
      </c>
      <c r="W14" s="150">
        <v>-0.2034670012</v>
      </c>
      <c r="X14" s="157">
        <v>10206.103999999999</v>
      </c>
      <c r="Y14" s="150">
        <v>-5.6810825000000002E-3</v>
      </c>
      <c r="Z14" s="157">
        <v>0</v>
      </c>
      <c r="AA14" s="157">
        <v>0</v>
      </c>
      <c r="AB14" s="150">
        <v>0</v>
      </c>
      <c r="AC14" s="157">
        <v>0</v>
      </c>
      <c r="AD14" s="157">
        <v>0</v>
      </c>
      <c r="AE14" s="150">
        <v>0</v>
      </c>
      <c r="AF14" s="157">
        <v>0</v>
      </c>
      <c r="AG14" s="150">
        <v>0</v>
      </c>
    </row>
    <row r="15" spans="1:33">
      <c r="A15" s="143" t="s">
        <v>6</v>
      </c>
      <c r="B15" s="157">
        <v>0</v>
      </c>
      <c r="C15" s="157">
        <v>0</v>
      </c>
      <c r="D15" s="150">
        <v>0</v>
      </c>
      <c r="E15" s="157">
        <v>0</v>
      </c>
      <c r="F15" s="157">
        <v>0</v>
      </c>
      <c r="G15" s="150">
        <v>0</v>
      </c>
      <c r="H15" s="157">
        <v>0</v>
      </c>
      <c r="I15" s="150">
        <v>0</v>
      </c>
      <c r="J15" s="157">
        <v>0</v>
      </c>
      <c r="K15" s="157">
        <v>0</v>
      </c>
      <c r="L15" s="150">
        <v>0</v>
      </c>
      <c r="M15" s="157">
        <v>0</v>
      </c>
      <c r="N15" s="157">
        <v>0</v>
      </c>
      <c r="O15" s="150">
        <v>0</v>
      </c>
      <c r="P15" s="157">
        <v>0</v>
      </c>
      <c r="Q15" s="150">
        <v>0</v>
      </c>
      <c r="R15" s="157">
        <v>0</v>
      </c>
      <c r="S15" s="157">
        <v>0</v>
      </c>
      <c r="T15" s="150">
        <v>0</v>
      </c>
      <c r="U15" s="157">
        <v>0</v>
      </c>
      <c r="V15" s="157">
        <v>0</v>
      </c>
      <c r="W15" s="150">
        <v>0</v>
      </c>
      <c r="X15" s="157">
        <v>0</v>
      </c>
      <c r="Y15" s="150">
        <v>0</v>
      </c>
      <c r="Z15" s="157">
        <v>3517.6750000000002</v>
      </c>
      <c r="AA15" s="157">
        <v>2663.4780000000001</v>
      </c>
      <c r="AB15" s="150">
        <v>0.32070736080000001</v>
      </c>
      <c r="AC15" s="157">
        <v>17919.164000000001</v>
      </c>
      <c r="AD15" s="157">
        <v>17447.819</v>
      </c>
      <c r="AE15" s="150">
        <v>2.70145512E-2</v>
      </c>
      <c r="AF15" s="157">
        <v>23559.601999999999</v>
      </c>
      <c r="AG15" s="150">
        <v>4.2610521300000002E-2</v>
      </c>
    </row>
    <row r="16" spans="1:33">
      <c r="A16" s="143" t="s">
        <v>5</v>
      </c>
      <c r="B16" s="157">
        <v>0</v>
      </c>
      <c r="C16" s="157">
        <v>0</v>
      </c>
      <c r="D16" s="150">
        <v>0</v>
      </c>
      <c r="E16" s="157">
        <v>0</v>
      </c>
      <c r="F16" s="157">
        <v>0</v>
      </c>
      <c r="G16" s="150">
        <v>0</v>
      </c>
      <c r="H16" s="157">
        <v>0</v>
      </c>
      <c r="I16" s="150">
        <v>0</v>
      </c>
      <c r="J16" s="157">
        <v>0</v>
      </c>
      <c r="K16" s="157">
        <v>0</v>
      </c>
      <c r="L16" s="150">
        <v>0</v>
      </c>
      <c r="M16" s="157">
        <v>0</v>
      </c>
      <c r="N16" s="157">
        <v>0</v>
      </c>
      <c r="O16" s="150">
        <v>0</v>
      </c>
      <c r="P16" s="157">
        <v>0</v>
      </c>
      <c r="Q16" s="150">
        <v>0</v>
      </c>
      <c r="R16" s="157">
        <v>32.22</v>
      </c>
      <c r="S16" s="157">
        <v>201.28100000000001</v>
      </c>
      <c r="T16" s="150">
        <v>-0.83992527859999999</v>
      </c>
      <c r="U16" s="157">
        <v>1273.68</v>
      </c>
      <c r="V16" s="157">
        <v>1629.299</v>
      </c>
      <c r="W16" s="150">
        <v>-0.218265033</v>
      </c>
      <c r="X16" s="157">
        <v>1980.49</v>
      </c>
      <c r="Y16" s="150">
        <v>-0.28817348459999997</v>
      </c>
      <c r="Z16" s="157">
        <v>183676.495</v>
      </c>
      <c r="AA16" s="157">
        <v>145950.32699999999</v>
      </c>
      <c r="AB16" s="150">
        <v>0.25848635469999998</v>
      </c>
      <c r="AC16" s="157">
        <v>1019327.515</v>
      </c>
      <c r="AD16" s="157">
        <v>895547.36300000001</v>
      </c>
      <c r="AE16" s="150">
        <v>0.13821731500000001</v>
      </c>
      <c r="AF16" s="157">
        <v>1433805.5160000001</v>
      </c>
      <c r="AG16" s="150">
        <v>0.19176268469999999</v>
      </c>
    </row>
    <row r="17" spans="1:33">
      <c r="A17" s="143" t="s">
        <v>4</v>
      </c>
      <c r="B17" s="157">
        <v>0</v>
      </c>
      <c r="C17" s="157">
        <v>0</v>
      </c>
      <c r="D17" s="150">
        <v>0</v>
      </c>
      <c r="E17" s="157">
        <v>0</v>
      </c>
      <c r="F17" s="157">
        <v>0</v>
      </c>
      <c r="G17" s="150">
        <v>0</v>
      </c>
      <c r="H17" s="157">
        <v>0</v>
      </c>
      <c r="I17" s="150">
        <v>0</v>
      </c>
      <c r="J17" s="157">
        <v>7.2949999999999999</v>
      </c>
      <c r="K17" s="157">
        <v>6.7270000000000003</v>
      </c>
      <c r="L17" s="150">
        <v>8.4435855500000004E-2</v>
      </c>
      <c r="M17" s="157">
        <v>53.064999999999998</v>
      </c>
      <c r="N17" s="157">
        <v>42.802999999999997</v>
      </c>
      <c r="O17" s="150">
        <v>0.2397495503</v>
      </c>
      <c r="P17" s="157">
        <v>70.856999999999999</v>
      </c>
      <c r="Q17" s="150">
        <v>9.8711448100000002E-2</v>
      </c>
      <c r="R17" s="157">
        <v>28239.802</v>
      </c>
      <c r="S17" s="157">
        <v>21414.780999999999</v>
      </c>
      <c r="T17" s="150">
        <v>0.31870608439999998</v>
      </c>
      <c r="U17" s="157">
        <v>184233.11600000001</v>
      </c>
      <c r="V17" s="157">
        <v>133872.47200000001</v>
      </c>
      <c r="W17" s="150">
        <v>0.37618371610000001</v>
      </c>
      <c r="X17" s="157">
        <v>238607.568</v>
      </c>
      <c r="Y17" s="150">
        <v>0.42332706329999997</v>
      </c>
      <c r="Z17" s="157">
        <v>31953.106</v>
      </c>
      <c r="AA17" s="157">
        <v>26120.769</v>
      </c>
      <c r="AB17" s="150">
        <v>0.2232835105</v>
      </c>
      <c r="AC17" s="157">
        <v>216418.21100000001</v>
      </c>
      <c r="AD17" s="157">
        <v>187837.02100000001</v>
      </c>
      <c r="AE17" s="150">
        <v>0.15215951489999999</v>
      </c>
      <c r="AF17" s="157">
        <v>290846.38500000001</v>
      </c>
      <c r="AG17" s="150">
        <v>0.11608127880000001</v>
      </c>
    </row>
    <row r="18" spans="1:33">
      <c r="A18" s="143" t="s">
        <v>22</v>
      </c>
      <c r="B18" s="157">
        <v>0</v>
      </c>
      <c r="C18" s="157">
        <v>0</v>
      </c>
      <c r="D18" s="150">
        <v>0</v>
      </c>
      <c r="E18" s="157">
        <v>0</v>
      </c>
      <c r="F18" s="157">
        <v>0</v>
      </c>
      <c r="G18" s="150">
        <v>0</v>
      </c>
      <c r="H18" s="157">
        <v>0</v>
      </c>
      <c r="I18" s="150">
        <v>0</v>
      </c>
      <c r="J18" s="157">
        <v>0</v>
      </c>
      <c r="K18" s="157">
        <v>0</v>
      </c>
      <c r="L18" s="150">
        <v>0</v>
      </c>
      <c r="M18" s="157">
        <v>0</v>
      </c>
      <c r="N18" s="157">
        <v>0</v>
      </c>
      <c r="O18" s="150">
        <v>0</v>
      </c>
      <c r="P18" s="157">
        <v>0</v>
      </c>
      <c r="Q18" s="150">
        <v>0</v>
      </c>
      <c r="R18" s="157">
        <v>56.753</v>
      </c>
      <c r="S18" s="157">
        <v>84.412999999999997</v>
      </c>
      <c r="T18" s="150">
        <v>-0.32767464730000001</v>
      </c>
      <c r="U18" s="157">
        <v>1452.079</v>
      </c>
      <c r="V18" s="157">
        <v>777.726</v>
      </c>
      <c r="W18" s="150">
        <v>0.86708300869999999</v>
      </c>
      <c r="X18" s="157">
        <v>2247.058</v>
      </c>
      <c r="Y18" s="150">
        <v>1.4508217729999999</v>
      </c>
      <c r="Z18" s="157">
        <v>715.31399999999996</v>
      </c>
      <c r="AA18" s="157">
        <v>569.80700000000002</v>
      </c>
      <c r="AB18" s="150">
        <v>0.25536190320000002</v>
      </c>
      <c r="AC18" s="157">
        <v>5925.7030000000004</v>
      </c>
      <c r="AD18" s="157">
        <v>5322.674</v>
      </c>
      <c r="AE18" s="150">
        <v>0.11329437050000001</v>
      </c>
      <c r="AF18" s="157">
        <v>8657.42</v>
      </c>
      <c r="AG18" s="150">
        <v>4.9334383099999997E-2</v>
      </c>
    </row>
    <row r="19" spans="1:33">
      <c r="A19" s="143" t="s">
        <v>23</v>
      </c>
      <c r="B19" s="157">
        <v>0</v>
      </c>
      <c r="C19" s="157">
        <v>0</v>
      </c>
      <c r="D19" s="150">
        <v>0</v>
      </c>
      <c r="E19" s="157">
        <v>0</v>
      </c>
      <c r="F19" s="157">
        <v>0</v>
      </c>
      <c r="G19" s="150">
        <v>0</v>
      </c>
      <c r="H19" s="157">
        <v>0</v>
      </c>
      <c r="I19" s="150">
        <v>0</v>
      </c>
      <c r="J19" s="157">
        <v>0</v>
      </c>
      <c r="K19" s="157">
        <v>0</v>
      </c>
      <c r="L19" s="150">
        <v>0</v>
      </c>
      <c r="M19" s="157">
        <v>0</v>
      </c>
      <c r="N19" s="157">
        <v>0</v>
      </c>
      <c r="O19" s="150">
        <v>0</v>
      </c>
      <c r="P19" s="157">
        <v>0</v>
      </c>
      <c r="Q19" s="150">
        <v>0</v>
      </c>
      <c r="R19" s="157">
        <v>51.334000000000003</v>
      </c>
      <c r="S19" s="157">
        <v>3930.9270000000001</v>
      </c>
      <c r="T19" s="150">
        <v>-0.9869409938</v>
      </c>
      <c r="U19" s="157">
        <v>17007.066999999999</v>
      </c>
      <c r="V19" s="157">
        <v>28574.386999999999</v>
      </c>
      <c r="W19" s="150">
        <v>-0.40481428349999998</v>
      </c>
      <c r="X19" s="157">
        <v>29777.742999999999</v>
      </c>
      <c r="Y19" s="150">
        <v>-0.23344552530000001</v>
      </c>
      <c r="Z19" s="157">
        <v>-12.209</v>
      </c>
      <c r="AA19" s="157">
        <v>0</v>
      </c>
      <c r="AB19" s="150">
        <v>0</v>
      </c>
      <c r="AC19" s="157">
        <v>-19.981999999999999</v>
      </c>
      <c r="AD19" s="157">
        <v>0</v>
      </c>
      <c r="AE19" s="150">
        <v>0</v>
      </c>
      <c r="AF19" s="157">
        <v>-19.981999999999999</v>
      </c>
      <c r="AG19" s="150">
        <v>0</v>
      </c>
    </row>
    <row r="20" spans="1:33">
      <c r="A20" s="143" t="s">
        <v>54</v>
      </c>
      <c r="B20" s="157">
        <v>0</v>
      </c>
      <c r="C20" s="157">
        <v>0</v>
      </c>
      <c r="D20" s="150">
        <v>0</v>
      </c>
      <c r="E20" s="157">
        <v>0</v>
      </c>
      <c r="F20" s="157">
        <v>0</v>
      </c>
      <c r="G20" s="150">
        <v>0</v>
      </c>
      <c r="H20" s="157">
        <v>0</v>
      </c>
      <c r="I20" s="150">
        <v>0</v>
      </c>
      <c r="J20" s="157">
        <v>509.63900000000001</v>
      </c>
      <c r="K20" s="157">
        <v>479.64249999999998</v>
      </c>
      <c r="L20" s="150">
        <v>6.2539287099999993E-2</v>
      </c>
      <c r="M20" s="157">
        <v>4030.5275000000001</v>
      </c>
      <c r="N20" s="157">
        <v>4154.2934999999998</v>
      </c>
      <c r="O20" s="150">
        <v>-2.97923101E-2</v>
      </c>
      <c r="P20" s="157">
        <v>6024.6080000000002</v>
      </c>
      <c r="Q20" s="150">
        <v>-6.2093277000000004E-3</v>
      </c>
      <c r="R20" s="157">
        <v>13672.3105</v>
      </c>
      <c r="S20" s="157">
        <v>13319.9895</v>
      </c>
      <c r="T20" s="150">
        <v>2.64505464E-2</v>
      </c>
      <c r="U20" s="157">
        <v>87646.333499999993</v>
      </c>
      <c r="V20" s="157">
        <v>79806.247000000003</v>
      </c>
      <c r="W20" s="150">
        <v>9.8239007500000003E-2</v>
      </c>
      <c r="X20" s="157">
        <v>128767.9025</v>
      </c>
      <c r="Y20" s="150">
        <v>5.6866573199999999E-2</v>
      </c>
      <c r="Z20" s="157">
        <v>0</v>
      </c>
      <c r="AA20" s="157">
        <v>0</v>
      </c>
      <c r="AB20" s="150">
        <v>0</v>
      </c>
      <c r="AC20" s="157">
        <v>0</v>
      </c>
      <c r="AD20" s="157">
        <v>0</v>
      </c>
      <c r="AE20" s="150">
        <v>0</v>
      </c>
      <c r="AF20" s="157">
        <v>0</v>
      </c>
      <c r="AG20" s="150">
        <v>0</v>
      </c>
    </row>
    <row r="21" spans="1:33">
      <c r="A21" s="143" t="s">
        <v>55</v>
      </c>
      <c r="B21" s="157">
        <v>0</v>
      </c>
      <c r="C21" s="157">
        <v>0</v>
      </c>
      <c r="D21" s="150">
        <v>0</v>
      </c>
      <c r="E21" s="157">
        <v>0</v>
      </c>
      <c r="F21" s="157">
        <v>0</v>
      </c>
      <c r="G21" s="150">
        <v>0</v>
      </c>
      <c r="H21" s="157">
        <v>0</v>
      </c>
      <c r="I21" s="150">
        <v>0</v>
      </c>
      <c r="J21" s="157">
        <v>509.63900000000001</v>
      </c>
      <c r="K21" s="157">
        <v>479.64249999999998</v>
      </c>
      <c r="L21" s="150">
        <v>6.2539287099999993E-2</v>
      </c>
      <c r="M21" s="157">
        <v>4030.5275000000001</v>
      </c>
      <c r="N21" s="157">
        <v>4154.2934999999998</v>
      </c>
      <c r="O21" s="150">
        <v>-2.97923101E-2</v>
      </c>
      <c r="P21" s="157">
        <v>6024.6080000000002</v>
      </c>
      <c r="Q21" s="150">
        <v>-6.2093277000000004E-3</v>
      </c>
      <c r="R21" s="157">
        <v>13672.3105</v>
      </c>
      <c r="S21" s="157">
        <v>13319.9895</v>
      </c>
      <c r="T21" s="150">
        <v>2.64505464E-2</v>
      </c>
      <c r="U21" s="157">
        <v>87646.333499999993</v>
      </c>
      <c r="V21" s="157">
        <v>79806.247000000003</v>
      </c>
      <c r="W21" s="150">
        <v>9.8239007500000003E-2</v>
      </c>
      <c r="X21" s="157">
        <v>128767.9025</v>
      </c>
      <c r="Y21" s="150">
        <v>5.6866573199999999E-2</v>
      </c>
      <c r="Z21" s="157">
        <v>0</v>
      </c>
      <c r="AA21" s="157">
        <v>0</v>
      </c>
      <c r="AB21" s="150">
        <v>0</v>
      </c>
      <c r="AC21" s="157">
        <v>0</v>
      </c>
      <c r="AD21" s="157">
        <v>0</v>
      </c>
      <c r="AE21" s="150">
        <v>0</v>
      </c>
      <c r="AF21" s="157">
        <v>0</v>
      </c>
      <c r="AG21" s="150">
        <v>0</v>
      </c>
    </row>
    <row r="22" spans="1:33">
      <c r="A22" s="148" t="s">
        <v>2</v>
      </c>
      <c r="B22" s="158">
        <v>16827.505000000001</v>
      </c>
      <c r="C22" s="158">
        <v>17829.990000000002</v>
      </c>
      <c r="D22" s="151">
        <v>-5.6224652999999999E-2</v>
      </c>
      <c r="E22" s="158">
        <v>132560.66699999999</v>
      </c>
      <c r="F22" s="158">
        <v>130631.136</v>
      </c>
      <c r="G22" s="151">
        <v>1.47708353E-2</v>
      </c>
      <c r="H22" s="158">
        <v>198815.375</v>
      </c>
      <c r="I22" s="151">
        <v>1.2279487299999999E-2</v>
      </c>
      <c r="J22" s="158">
        <v>20549.940999999999</v>
      </c>
      <c r="K22" s="158">
        <v>20335.855</v>
      </c>
      <c r="L22" s="151">
        <v>1.05275141E-2</v>
      </c>
      <c r="M22" s="158">
        <v>133871.791</v>
      </c>
      <c r="N22" s="158">
        <v>138145.43900000001</v>
      </c>
      <c r="O22" s="151">
        <v>-3.09358603E-2</v>
      </c>
      <c r="P22" s="158">
        <v>201104.60500000001</v>
      </c>
      <c r="Q22" s="151">
        <v>-2.51528037E-2</v>
      </c>
      <c r="R22" s="158">
        <v>649831.48199999996</v>
      </c>
      <c r="S22" s="158">
        <v>592497.63100000005</v>
      </c>
      <c r="T22" s="151">
        <v>9.6766380200000002E-2</v>
      </c>
      <c r="U22" s="158">
        <v>3880104.8879999998</v>
      </c>
      <c r="V22" s="158">
        <v>2941882.64</v>
      </c>
      <c r="W22" s="151">
        <v>0.31891899260000001</v>
      </c>
      <c r="X22" s="158">
        <v>5575568.9859999996</v>
      </c>
      <c r="Y22" s="151">
        <v>0.37394340570000001</v>
      </c>
      <c r="Z22" s="158">
        <v>754749.78099999996</v>
      </c>
      <c r="AA22" s="158">
        <v>726034.38600000006</v>
      </c>
      <c r="AB22" s="151">
        <v>3.9551012400000002E-2</v>
      </c>
      <c r="AC22" s="158">
        <v>5647371.2489999998</v>
      </c>
      <c r="AD22" s="158">
        <v>5178930.2560000001</v>
      </c>
      <c r="AE22" s="151">
        <v>9.0451303600000005E-2</v>
      </c>
      <c r="AF22" s="158">
        <v>8529127.4489999991</v>
      </c>
      <c r="AG22" s="151">
        <v>8.5601620099999998E-2</v>
      </c>
    </row>
    <row r="23" spans="1:33">
      <c r="A23" s="143" t="s">
        <v>21</v>
      </c>
      <c r="B23" s="157">
        <v>0</v>
      </c>
      <c r="C23" s="157">
        <v>0</v>
      </c>
      <c r="D23" s="150">
        <v>0</v>
      </c>
      <c r="E23" s="157">
        <v>0</v>
      </c>
      <c r="F23" s="157">
        <v>0</v>
      </c>
      <c r="G23" s="150">
        <v>0</v>
      </c>
      <c r="H23" s="157">
        <v>0</v>
      </c>
      <c r="I23" s="150">
        <v>0</v>
      </c>
      <c r="J23" s="157">
        <v>0</v>
      </c>
      <c r="K23" s="157">
        <v>0</v>
      </c>
      <c r="L23" s="150">
        <v>0</v>
      </c>
      <c r="M23" s="157">
        <v>0</v>
      </c>
      <c r="N23" s="157">
        <v>0</v>
      </c>
      <c r="O23" s="150">
        <v>0</v>
      </c>
      <c r="P23" s="157">
        <v>0</v>
      </c>
      <c r="Q23" s="150">
        <v>0</v>
      </c>
      <c r="R23" s="157">
        <v>77653.035999999993</v>
      </c>
      <c r="S23" s="157">
        <v>40107.311000000002</v>
      </c>
      <c r="T23" s="150">
        <v>0.93613169429999998</v>
      </c>
      <c r="U23" s="157">
        <v>334950.47499999998</v>
      </c>
      <c r="V23" s="157">
        <v>753687.50399999996</v>
      </c>
      <c r="W23" s="150">
        <v>-0.5555844123</v>
      </c>
      <c r="X23" s="157">
        <v>471491.93800000002</v>
      </c>
      <c r="Y23" s="150">
        <v>-0.61049664479999999</v>
      </c>
      <c r="Z23" s="157">
        <v>0</v>
      </c>
      <c r="AA23" s="157">
        <v>0</v>
      </c>
      <c r="AB23" s="150">
        <v>0</v>
      </c>
      <c r="AC23" s="157">
        <v>0</v>
      </c>
      <c r="AD23" s="157">
        <v>0</v>
      </c>
      <c r="AE23" s="150">
        <v>0</v>
      </c>
      <c r="AF23" s="157">
        <v>0</v>
      </c>
      <c r="AG23" s="150">
        <v>0</v>
      </c>
    </row>
    <row r="24" spans="1:33">
      <c r="A24" s="148" t="s">
        <v>79</v>
      </c>
      <c r="B24" s="158">
        <v>16827.505000000001</v>
      </c>
      <c r="C24" s="158">
        <v>17829.990000000002</v>
      </c>
      <c r="D24" s="151">
        <v>-5.6224652999999999E-2</v>
      </c>
      <c r="E24" s="158">
        <v>132560.66699999999</v>
      </c>
      <c r="F24" s="158">
        <v>130631.136</v>
      </c>
      <c r="G24" s="151">
        <v>1.47708353E-2</v>
      </c>
      <c r="H24" s="158">
        <v>198815.375</v>
      </c>
      <c r="I24" s="151">
        <v>1.2279487299999999E-2</v>
      </c>
      <c r="J24" s="158">
        <v>20549.940999999999</v>
      </c>
      <c r="K24" s="158">
        <v>20335.855</v>
      </c>
      <c r="L24" s="151">
        <v>1.05275141E-2</v>
      </c>
      <c r="M24" s="158">
        <v>133871.791</v>
      </c>
      <c r="N24" s="158">
        <v>138145.43900000001</v>
      </c>
      <c r="O24" s="151">
        <v>-3.09358603E-2</v>
      </c>
      <c r="P24" s="158">
        <v>201104.60500000001</v>
      </c>
      <c r="Q24" s="151">
        <v>-2.51528037E-2</v>
      </c>
      <c r="R24" s="158">
        <v>727484.51800000004</v>
      </c>
      <c r="S24" s="158">
        <v>632604.94200000004</v>
      </c>
      <c r="T24" s="151">
        <v>0.14998235030000001</v>
      </c>
      <c r="U24" s="158">
        <v>4215055.3629999999</v>
      </c>
      <c r="V24" s="158">
        <v>3695570.1439999999</v>
      </c>
      <c r="W24" s="151">
        <v>0.1405697088</v>
      </c>
      <c r="X24" s="158">
        <v>6047060.9239999996</v>
      </c>
      <c r="Y24" s="151">
        <v>0.14776072039999999</v>
      </c>
      <c r="Z24" s="158">
        <v>754749.78099999996</v>
      </c>
      <c r="AA24" s="158">
        <v>726034.38600000006</v>
      </c>
      <c r="AB24" s="151">
        <v>3.9551012400000002E-2</v>
      </c>
      <c r="AC24" s="158">
        <v>5647371.2489999998</v>
      </c>
      <c r="AD24" s="158">
        <v>5178930.2560000001</v>
      </c>
      <c r="AE24" s="151">
        <v>9.0451303600000005E-2</v>
      </c>
      <c r="AF24" s="158">
        <v>8529127.4489999991</v>
      </c>
      <c r="AG24" s="151">
        <v>8.5601620099999998E-2</v>
      </c>
    </row>
    <row r="26" spans="1:33">
      <c r="A26" s="111" t="s">
        <v>103</v>
      </c>
      <c r="B26" s="178">
        <f>SUM(B24,J24,R24,Z24)</f>
        <v>1519611.7450000001</v>
      </c>
      <c r="C26" s="178">
        <f>SUM(C24,K24,S24,AA24)</f>
        <v>1396805.173</v>
      </c>
      <c r="D26" s="179">
        <f>((B26/C26)-1)*100</f>
        <v>8.7919614255323353</v>
      </c>
      <c r="R26" s="179"/>
    </row>
    <row r="29" spans="1:33" ht="15">
      <c r="A29" s="144" t="s">
        <v>67</v>
      </c>
      <c r="B29" s="206" t="str">
        <f>A2</f>
        <v>Agosto 2022</v>
      </c>
      <c r="C29" s="207"/>
    </row>
    <row r="30" spans="1:33" ht="15">
      <c r="A30" s="144" t="s">
        <v>69</v>
      </c>
      <c r="B30" s="220" t="s">
        <v>72</v>
      </c>
      <c r="C30" s="221"/>
    </row>
    <row r="31" spans="1:33">
      <c r="A31" s="142" t="s">
        <v>68</v>
      </c>
      <c r="B31" s="177" t="s">
        <v>57</v>
      </c>
      <c r="C31" s="177" t="s">
        <v>58</v>
      </c>
    </row>
    <row r="32" spans="1:33">
      <c r="A32" s="144" t="s">
        <v>70</v>
      </c>
      <c r="B32" s="145"/>
      <c r="C32" s="145"/>
    </row>
    <row r="33" spans="1:4">
      <c r="A33" s="143" t="s">
        <v>12</v>
      </c>
      <c r="B33" s="146"/>
      <c r="C33" s="146">
        <v>1.52</v>
      </c>
    </row>
    <row r="34" spans="1:4">
      <c r="A34" s="143" t="s">
        <v>11</v>
      </c>
      <c r="B34" s="146">
        <v>241.2</v>
      </c>
      <c r="C34" s="146"/>
    </row>
    <row r="35" spans="1:4">
      <c r="A35" s="143" t="s">
        <v>78</v>
      </c>
      <c r="B35" s="146">
        <v>139.4</v>
      </c>
      <c r="C35" s="146">
        <v>487.64</v>
      </c>
    </row>
    <row r="36" spans="1:4">
      <c r="A36" s="143" t="s">
        <v>9</v>
      </c>
      <c r="B36" s="146">
        <v>603.1</v>
      </c>
      <c r="C36" s="146">
        <v>520.75</v>
      </c>
    </row>
    <row r="37" spans="1:4">
      <c r="A37" s="143" t="s">
        <v>8</v>
      </c>
      <c r="B37" s="146"/>
      <c r="C37" s="146">
        <v>482.64</v>
      </c>
    </row>
    <row r="38" spans="1:4">
      <c r="A38" s="143" t="s">
        <v>25</v>
      </c>
      <c r="B38" s="146">
        <v>822.9</v>
      </c>
      <c r="C38" s="146">
        <v>865.4</v>
      </c>
    </row>
    <row r="39" spans="1:4">
      <c r="A39" s="143" t="s">
        <v>24</v>
      </c>
      <c r="B39" s="146"/>
      <c r="C39" s="146"/>
    </row>
    <row r="40" spans="1:4">
      <c r="A40" s="143" t="s">
        <v>6</v>
      </c>
      <c r="B40" s="146"/>
      <c r="C40" s="146">
        <v>11.32</v>
      </c>
    </row>
    <row r="41" spans="1:4">
      <c r="A41" s="143" t="s">
        <v>5</v>
      </c>
      <c r="B41" s="146">
        <v>3.6074999999999999</v>
      </c>
      <c r="C41" s="146">
        <v>562.51499999999999</v>
      </c>
      <c r="D41" s="184"/>
    </row>
    <row r="42" spans="1:4">
      <c r="A42" s="143" t="s">
        <v>4</v>
      </c>
      <c r="B42" s="146">
        <v>184.036215</v>
      </c>
      <c r="C42" s="146">
        <v>205.58794499999999</v>
      </c>
      <c r="D42" s="184"/>
    </row>
    <row r="43" spans="1:4">
      <c r="A43" s="143" t="s">
        <v>22</v>
      </c>
      <c r="B43" s="146">
        <v>2.13</v>
      </c>
      <c r="C43" s="146">
        <v>3.6960000000000002</v>
      </c>
    </row>
    <row r="44" spans="1:4">
      <c r="A44" s="143" t="s">
        <v>23</v>
      </c>
      <c r="B44" s="146">
        <v>11.523</v>
      </c>
      <c r="C44" s="146">
        <v>38.200000000000003</v>
      </c>
    </row>
    <row r="45" spans="1:4">
      <c r="A45" s="143" t="s">
        <v>54</v>
      </c>
      <c r="B45" s="146">
        <v>37.4</v>
      </c>
      <c r="C45" s="146"/>
    </row>
    <row r="46" spans="1:4">
      <c r="A46" s="143" t="s">
        <v>55</v>
      </c>
      <c r="B46" s="146">
        <v>37.4</v>
      </c>
      <c r="C46" s="146"/>
    </row>
    <row r="47" spans="1:4">
      <c r="A47" s="148" t="s">
        <v>2</v>
      </c>
      <c r="B47" s="187">
        <f>SUM(B33:B46)</f>
        <v>2082.696715</v>
      </c>
      <c r="C47" s="187">
        <f>SUM(C33:C46)</f>
        <v>3179.2689449999998</v>
      </c>
    </row>
    <row r="48" spans="1:4" ht="15">
      <c r="A48"/>
      <c r="B48" s="191"/>
      <c r="C48"/>
      <c r="D48" s="183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11.581138927373781</v>
      </c>
      <c r="D52" s="181"/>
      <c r="F52" s="114" t="s">
        <v>10</v>
      </c>
      <c r="G52" s="115">
        <f>C35</f>
        <v>487.64</v>
      </c>
      <c r="H52" s="116">
        <f>G52/$G$62*100</f>
        <v>15.338117297906045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6.6932453004805357</v>
      </c>
      <c r="D53" s="181"/>
      <c r="F53" s="114" t="s">
        <v>9</v>
      </c>
      <c r="G53" s="115">
        <f>C36</f>
        <v>520.75</v>
      </c>
      <c r="H53" s="116">
        <f t="shared" ref="H53:H61" si="2">G53/$G$62*100</f>
        <v>16.379551683382356</v>
      </c>
    </row>
    <row r="54" spans="1:8">
      <c r="A54" s="114" t="s">
        <v>9</v>
      </c>
      <c r="B54" s="115">
        <f t="shared" si="1"/>
        <v>603.1</v>
      </c>
      <c r="C54" s="116">
        <f t="shared" si="0"/>
        <v>28.957648785651447</v>
      </c>
      <c r="D54" s="181"/>
      <c r="F54" s="114" t="s">
        <v>8</v>
      </c>
      <c r="G54" s="115">
        <f>C37</f>
        <v>482.64</v>
      </c>
      <c r="H54" s="116">
        <f t="shared" si="2"/>
        <v>15.180848438728106</v>
      </c>
    </row>
    <row r="55" spans="1:8">
      <c r="A55" s="114" t="s">
        <v>25</v>
      </c>
      <c r="B55" s="115">
        <f>B38</f>
        <v>822.9</v>
      </c>
      <c r="C55" s="116">
        <f t="shared" si="0"/>
        <v>39.511273728589906</v>
      </c>
      <c r="D55" s="181"/>
      <c r="F55" s="114" t="s">
        <v>25</v>
      </c>
      <c r="G55" s="115">
        <f>C38</f>
        <v>865.4</v>
      </c>
      <c r="H55" s="116">
        <f t="shared" si="2"/>
        <v>27.220094146517699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1"/>
      <c r="F56" s="114" t="s">
        <v>23</v>
      </c>
      <c r="G56" s="115">
        <f>C44</f>
        <v>38.200000000000003</v>
      </c>
      <c r="H56" s="116">
        <f t="shared" si="2"/>
        <v>1.2015340841194548</v>
      </c>
    </row>
    <row r="57" spans="1:8">
      <c r="A57" s="114" t="s">
        <v>23</v>
      </c>
      <c r="B57" s="115">
        <f>B44</f>
        <v>11.523</v>
      </c>
      <c r="C57" s="116">
        <f t="shared" si="0"/>
        <v>0.55327306741346638</v>
      </c>
      <c r="D57" s="181"/>
      <c r="F57" s="114" t="s">
        <v>12</v>
      </c>
      <c r="G57" s="116">
        <f>C33</f>
        <v>1.52</v>
      </c>
      <c r="H57" s="116">
        <f t="shared" si="2"/>
        <v>4.780973319009349E-2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1.7957487391533145</v>
      </c>
      <c r="D58" s="181"/>
      <c r="F58" s="114" t="s">
        <v>6</v>
      </c>
      <c r="G58" s="115">
        <f>C40</f>
        <v>11.32</v>
      </c>
      <c r="H58" s="116">
        <f t="shared" si="2"/>
        <v>0.35605669717885413</v>
      </c>
    </row>
    <row r="59" spans="1:8">
      <c r="A59" s="114" t="s">
        <v>54</v>
      </c>
      <c r="B59" s="115">
        <f>B45</f>
        <v>37.4</v>
      </c>
      <c r="C59" s="116">
        <f t="shared" si="3"/>
        <v>1.7957487391533145</v>
      </c>
      <c r="D59" s="181"/>
      <c r="F59" s="114" t="s">
        <v>5</v>
      </c>
      <c r="G59" s="115">
        <f>C41</f>
        <v>562.51499999999999</v>
      </c>
      <c r="H59" s="116">
        <f t="shared" si="2"/>
        <v>17.693218464095683</v>
      </c>
    </row>
    <row r="60" spans="1:8">
      <c r="A60" s="114" t="s">
        <v>5</v>
      </c>
      <c r="B60" s="115">
        <f>B41</f>
        <v>3.6074999999999999</v>
      </c>
      <c r="C60" s="116">
        <f t="shared" si="3"/>
        <v>0.17321292985282302</v>
      </c>
      <c r="D60" s="181"/>
      <c r="F60" s="114" t="s">
        <v>4</v>
      </c>
      <c r="G60" s="115">
        <f>C42</f>
        <v>205.58794499999999</v>
      </c>
      <c r="H60" s="116">
        <f t="shared" si="2"/>
        <v>6.4665163141773769</v>
      </c>
    </row>
    <row r="61" spans="1:8">
      <c r="A61" s="114" t="s">
        <v>4</v>
      </c>
      <c r="B61" s="115">
        <f>B42</f>
        <v>184.036215</v>
      </c>
      <c r="C61" s="116">
        <f t="shared" si="3"/>
        <v>8.8364385306095805</v>
      </c>
      <c r="D61" s="181"/>
      <c r="F61" s="114" t="s">
        <v>22</v>
      </c>
      <c r="G61" s="115">
        <f>C43</f>
        <v>3.6960000000000002</v>
      </c>
      <c r="H61" s="116">
        <f t="shared" si="2"/>
        <v>0.1162531407043326</v>
      </c>
    </row>
    <row r="62" spans="1:8">
      <c r="A62" s="114" t="s">
        <v>22</v>
      </c>
      <c r="B62" s="115">
        <f>B43</f>
        <v>2.13</v>
      </c>
      <c r="C62" s="116">
        <f t="shared" si="3"/>
        <v>0.10227125172183314</v>
      </c>
      <c r="D62" s="181"/>
      <c r="F62" s="117" t="s">
        <v>20</v>
      </c>
      <c r="G62" s="118">
        <f>SUM(G52:G61)</f>
        <v>3179.2689449999998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2082.696715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1"/>
      <c r="F67" s="112"/>
      <c r="G67" s="113" t="s">
        <v>26</v>
      </c>
    </row>
    <row r="68" spans="1:7">
      <c r="A68" s="114" t="s">
        <v>11</v>
      </c>
      <c r="B68" s="116">
        <f>C68/$C$80*100</f>
        <v>0.72377004179764526</v>
      </c>
      <c r="C68" s="115">
        <f>IF(R9&lt;0,0,R9)</f>
        <v>5265.3149999999996</v>
      </c>
      <c r="D68" s="185">
        <f>(C68/SUM($C$68:$C$78))*100</f>
        <v>0.81025852791785768</v>
      </c>
      <c r="F68" s="114" t="s">
        <v>10</v>
      </c>
      <c r="G68" s="116">
        <f>Z10/Z$24*100</f>
        <v>19.138304725125849</v>
      </c>
    </row>
    <row r="69" spans="1:7">
      <c r="A69" s="114" t="s">
        <v>10</v>
      </c>
      <c r="B69" s="116">
        <f t="shared" ref="B69:B78" si="4">C69/$C$80*100</f>
        <v>8.3102219365718497</v>
      </c>
      <c r="C69" s="115">
        <f>R10</f>
        <v>60455.578000000001</v>
      </c>
      <c r="D69" s="185">
        <f t="shared" ref="D69:D78" si="5">(C69/SUM($C$68:$C$78))*100</f>
        <v>9.303270105340939</v>
      </c>
      <c r="F69" s="114" t="s">
        <v>9</v>
      </c>
      <c r="G69" s="116">
        <f>Z11/Z$24*100</f>
        <v>2.3785307994676979</v>
      </c>
    </row>
    <row r="70" spans="1:7">
      <c r="A70" s="114" t="s">
        <v>9</v>
      </c>
      <c r="B70" s="116">
        <f t="shared" si="4"/>
        <v>9.287821022742369</v>
      </c>
      <c r="C70" s="115">
        <f>R11</f>
        <v>67567.460000000006</v>
      </c>
      <c r="D70" s="185">
        <f t="shared" si="5"/>
        <v>10.397689535146281</v>
      </c>
      <c r="F70" s="114" t="s">
        <v>8</v>
      </c>
      <c r="G70" s="116">
        <f>Z12/Z$24*100</f>
        <v>13.569664354761834</v>
      </c>
    </row>
    <row r="71" spans="1:7">
      <c r="A71" s="114" t="s">
        <v>25</v>
      </c>
      <c r="B71" s="116">
        <f t="shared" si="4"/>
        <v>62.733597170517363</v>
      </c>
      <c r="C71" s="115">
        <f>R13</f>
        <v>456377.20699999999</v>
      </c>
      <c r="D71" s="185">
        <f>(C71/SUM($C$68:$C$78))*100</f>
        <v>70.230085743983679</v>
      </c>
      <c r="F71" s="114" t="s">
        <v>25</v>
      </c>
      <c r="G71" s="116">
        <f>Z13/Z$24*100</f>
        <v>35.745803283644804</v>
      </c>
    </row>
    <row r="72" spans="1:7">
      <c r="A72" s="114" t="s">
        <v>24</v>
      </c>
      <c r="B72" s="116">
        <f t="shared" si="4"/>
        <v>0.61048611896370275</v>
      </c>
      <c r="C72" s="115">
        <f>R14</f>
        <v>4441.192</v>
      </c>
      <c r="D72" s="186"/>
      <c r="F72" s="114" t="s">
        <v>23</v>
      </c>
      <c r="G72" s="116">
        <f>Z19/Z$24*100</f>
        <v>-1.6176221984223404E-3</v>
      </c>
    </row>
    <row r="73" spans="1:7">
      <c r="A73" s="114" t="s">
        <v>23</v>
      </c>
      <c r="B73" s="116">
        <f t="shared" si="4"/>
        <v>7.056370098586757E-3</v>
      </c>
      <c r="C73" s="115">
        <f>R19</f>
        <v>51.334000000000003</v>
      </c>
      <c r="D73" s="185">
        <f t="shared" si="5"/>
        <v>7.8995864961802498E-3</v>
      </c>
      <c r="F73" s="114" t="s">
        <v>12</v>
      </c>
      <c r="G73" s="116">
        <f>Z8/Z$24*100</f>
        <v>3.8787291811085672E-2</v>
      </c>
    </row>
    <row r="74" spans="1:7">
      <c r="A74" s="114" t="s">
        <v>55</v>
      </c>
      <c r="B74" s="116">
        <f t="shared" si="4"/>
        <v>1.8793953907896079</v>
      </c>
      <c r="C74" s="115">
        <f>R21</f>
        <v>13672.3105</v>
      </c>
      <c r="D74" s="185">
        <f t="shared" si="5"/>
        <v>2.1039778586781357</v>
      </c>
      <c r="F74" s="114" t="s">
        <v>6</v>
      </c>
      <c r="G74" s="116">
        <f>Z15/Z$24*100</f>
        <v>0.46607168210625821</v>
      </c>
    </row>
    <row r="75" spans="1:7">
      <c r="A75" s="114" t="s">
        <v>54</v>
      </c>
      <c r="B75" s="116">
        <f t="shared" si="4"/>
        <v>1.8793953907896079</v>
      </c>
      <c r="C75" s="115">
        <f>R20</f>
        <v>13672.3105</v>
      </c>
      <c r="D75" s="185">
        <f t="shared" si="5"/>
        <v>2.1039778586781357</v>
      </c>
      <c r="F75" s="114" t="s">
        <v>5</v>
      </c>
      <c r="G75" s="116">
        <f>Z16/Z$24*100</f>
        <v>24.336077945811287</v>
      </c>
    </row>
    <row r="76" spans="1:7">
      <c r="A76" s="114" t="s">
        <v>5</v>
      </c>
      <c r="B76" s="116">
        <f t="shared" si="4"/>
        <v>4.4289602325255249E-3</v>
      </c>
      <c r="C76" s="115">
        <f>R16</f>
        <v>32.22</v>
      </c>
      <c r="D76" s="185">
        <f t="shared" si="5"/>
        <v>4.9582085344397012E-3</v>
      </c>
      <c r="F76" s="114" t="s">
        <v>4</v>
      </c>
      <c r="G76" s="116">
        <f>Z17/Z$24*100</f>
        <v>4.2336025533739106</v>
      </c>
    </row>
    <row r="77" spans="1:7">
      <c r="A77" s="114" t="s">
        <v>4</v>
      </c>
      <c r="B77" s="116">
        <f t="shared" si="4"/>
        <v>3.8818423349594906</v>
      </c>
      <c r="C77" s="115">
        <f>R17</f>
        <v>28239.802</v>
      </c>
      <c r="D77" s="185">
        <f t="shared" si="5"/>
        <v>4.345711585576888</v>
      </c>
      <c r="F77" s="114" t="s">
        <v>22</v>
      </c>
      <c r="G77" s="116">
        <f>Z18/Z$24*100</f>
        <v>9.4774986095689906E-2</v>
      </c>
    </row>
    <row r="78" spans="1:7">
      <c r="A78" s="114" t="s">
        <v>22</v>
      </c>
      <c r="B78" s="116">
        <f t="shared" si="4"/>
        <v>7.8012656758696805E-3</v>
      </c>
      <c r="C78" s="115">
        <f>R18</f>
        <v>56.753</v>
      </c>
      <c r="D78" s="185">
        <f t="shared" si="5"/>
        <v>8.7334950017087642E-3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C79/$C$80*100</f>
        <v>10.674183996861357</v>
      </c>
      <c r="C79" s="115">
        <f>R23</f>
        <v>77653.035999999993</v>
      </c>
      <c r="D79" s="181"/>
    </row>
    <row r="80" spans="1:7">
      <c r="A80" s="117" t="s">
        <v>20</v>
      </c>
      <c r="B80" s="119">
        <f>SUM(B68:B79)</f>
        <v>99.999999999999986</v>
      </c>
      <c r="C80" s="118">
        <f>SUM(C68:C79)</f>
        <v>727484.51800000016</v>
      </c>
      <c r="D80" s="181"/>
    </row>
    <row r="85" spans="1:26" ht="15">
      <c r="A85" s="144"/>
      <c r="B85" s="144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/>
      <c r="Y85"/>
      <c r="Z85"/>
    </row>
    <row r="86" spans="1:26" ht="15">
      <c r="A86" s="144"/>
      <c r="B86" s="142" t="s">
        <v>67</v>
      </c>
      <c r="C86" s="188" t="s">
        <v>106</v>
      </c>
      <c r="D86" s="188" t="s">
        <v>107</v>
      </c>
      <c r="E86" s="188" t="s">
        <v>108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119</v>
      </c>
      <c r="Q86" s="188" t="s">
        <v>120</v>
      </c>
      <c r="R86" s="188" t="s">
        <v>121</v>
      </c>
      <c r="S86" s="188" t="s">
        <v>122</v>
      </c>
      <c r="T86" s="188" t="s">
        <v>123</v>
      </c>
      <c r="U86" s="188" t="s">
        <v>124</v>
      </c>
      <c r="V86" s="188" t="s">
        <v>125</v>
      </c>
      <c r="W86" s="188" t="s">
        <v>129</v>
      </c>
      <c r="X86"/>
      <c r="Y86"/>
      <c r="Z86"/>
    </row>
    <row r="87" spans="1:26" ht="15">
      <c r="A87" s="144" t="s">
        <v>68</v>
      </c>
      <c r="B87" s="144" t="s">
        <v>70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/>
      <c r="Y87"/>
      <c r="Z87"/>
    </row>
    <row r="88" spans="1:26" ht="15">
      <c r="A88" s="217" t="s">
        <v>57</v>
      </c>
      <c r="B88" s="143" t="s">
        <v>11</v>
      </c>
      <c r="C88" s="146">
        <v>-0.63269200000000003</v>
      </c>
      <c r="D88" s="146">
        <v>-0.606159</v>
      </c>
      <c r="E88" s="146">
        <v>-0.651559</v>
      </c>
      <c r="F88" s="146">
        <v>-0.59136100000000003</v>
      </c>
      <c r="G88" s="146">
        <v>-1.103416</v>
      </c>
      <c r="H88" s="146">
        <v>41.953423999999998</v>
      </c>
      <c r="I88" s="146">
        <v>9.292719</v>
      </c>
      <c r="J88" s="146">
        <v>-0.72875599999999996</v>
      </c>
      <c r="K88" s="146">
        <v>-0.54997399999999996</v>
      </c>
      <c r="L88" s="146">
        <v>-0.58327700000000005</v>
      </c>
      <c r="M88" s="146">
        <v>-0.582067</v>
      </c>
      <c r="N88" s="146">
        <v>-0.61424800000000002</v>
      </c>
      <c r="O88" s="146">
        <v>-0.627467</v>
      </c>
      <c r="P88" s="146">
        <v>-0.58012699999999995</v>
      </c>
      <c r="Q88" s="146">
        <v>-0.66887300000000005</v>
      </c>
      <c r="R88" s="146">
        <v>-0.60498099999999999</v>
      </c>
      <c r="S88" s="146">
        <v>-1.0302370000000001</v>
      </c>
      <c r="T88" s="146">
        <v>29.141857000000002</v>
      </c>
      <c r="U88" s="146">
        <v>50.189168000000002</v>
      </c>
      <c r="V88" s="146">
        <v>5.2653150000000002</v>
      </c>
      <c r="W88" s="146">
        <v>0</v>
      </c>
      <c r="X88"/>
      <c r="Y88"/>
      <c r="Z88"/>
    </row>
    <row r="89" spans="1:26" ht="15">
      <c r="A89" s="218"/>
      <c r="B89" s="143" t="s">
        <v>78</v>
      </c>
      <c r="C89" s="146">
        <v>27.196950000000001</v>
      </c>
      <c r="D89" s="146">
        <v>18.940327</v>
      </c>
      <c r="E89" s="146">
        <v>14.238515</v>
      </c>
      <c r="F89" s="146">
        <v>18.127455999999999</v>
      </c>
      <c r="G89" s="146">
        <v>20.114982000000001</v>
      </c>
      <c r="H89" s="146">
        <v>40.523569999999999</v>
      </c>
      <c r="I89" s="146">
        <v>56.775785999999997</v>
      </c>
      <c r="J89" s="146">
        <v>61.091033000000003</v>
      </c>
      <c r="K89" s="146">
        <v>52.802481999999998</v>
      </c>
      <c r="L89" s="146">
        <v>40.707250000000002</v>
      </c>
      <c r="M89" s="146">
        <v>21.566172999999999</v>
      </c>
      <c r="N89" s="146">
        <v>26.795760999999999</v>
      </c>
      <c r="O89" s="146">
        <v>31.928764000000001</v>
      </c>
      <c r="P89" s="146">
        <v>27.285081000000002</v>
      </c>
      <c r="Q89" s="146">
        <v>26.627289999999999</v>
      </c>
      <c r="R89" s="146">
        <v>38.583128000000002</v>
      </c>
      <c r="S89" s="146">
        <v>43.134320000000002</v>
      </c>
      <c r="T89" s="146">
        <v>52.984195999999997</v>
      </c>
      <c r="U89" s="146">
        <v>59.042844000000002</v>
      </c>
      <c r="V89" s="146">
        <v>60.455578000000003</v>
      </c>
      <c r="W89" s="146">
        <v>16.601772</v>
      </c>
      <c r="X89"/>
      <c r="Y89"/>
      <c r="Z89"/>
    </row>
    <row r="90" spans="1:26" ht="15">
      <c r="A90" s="218"/>
      <c r="B90" s="143" t="s">
        <v>9</v>
      </c>
      <c r="C90" s="146">
        <v>18.542487000000001</v>
      </c>
      <c r="D90" s="146">
        <v>7.6657599999999997</v>
      </c>
      <c r="E90" s="146">
        <v>13.135553</v>
      </c>
      <c r="F90" s="146">
        <v>8.3072920000000003</v>
      </c>
      <c r="G90" s="146">
        <v>7.7047420000000004</v>
      </c>
      <c r="H90" s="146">
        <v>18.862037999999998</v>
      </c>
      <c r="I90" s="146">
        <v>27.349309999999999</v>
      </c>
      <c r="J90" s="146">
        <v>38.115422000000002</v>
      </c>
      <c r="K90" s="146">
        <v>38.690980000000003</v>
      </c>
      <c r="L90" s="146">
        <v>18.871455999999998</v>
      </c>
      <c r="M90" s="146">
        <v>15.480005999999999</v>
      </c>
      <c r="N90" s="146">
        <v>11.535242</v>
      </c>
      <c r="O90" s="146">
        <v>14.287936</v>
      </c>
      <c r="P90" s="146">
        <v>12.016398000000001</v>
      </c>
      <c r="Q90" s="146">
        <v>16.590530000000001</v>
      </c>
      <c r="R90" s="146">
        <v>16.923745</v>
      </c>
      <c r="S90" s="146">
        <v>26.908525000000001</v>
      </c>
      <c r="T90" s="146">
        <v>32.914068</v>
      </c>
      <c r="U90" s="146">
        <v>59.770274999999998</v>
      </c>
      <c r="V90" s="146">
        <v>67.567459999999997</v>
      </c>
      <c r="W90" s="146">
        <v>22.879670999999998</v>
      </c>
      <c r="X90"/>
      <c r="Y90"/>
      <c r="Z90"/>
    </row>
    <row r="91" spans="1:26" ht="15">
      <c r="A91" s="218"/>
      <c r="B91" s="143" t="s">
        <v>25</v>
      </c>
      <c r="C91" s="146">
        <v>260.27204499999999</v>
      </c>
      <c r="D91" s="146">
        <v>187.465463</v>
      </c>
      <c r="E91" s="146">
        <v>217.47864799999999</v>
      </c>
      <c r="F91" s="146">
        <v>208.53059300000001</v>
      </c>
      <c r="G91" s="146">
        <v>203.81251599999999</v>
      </c>
      <c r="H91" s="146">
        <v>240.58060900000001</v>
      </c>
      <c r="I91" s="146">
        <v>408.79444899999999</v>
      </c>
      <c r="J91" s="146">
        <v>437.91378300000002</v>
      </c>
      <c r="K91" s="146">
        <v>367.24080800000002</v>
      </c>
      <c r="L91" s="146">
        <v>312.10340600000001</v>
      </c>
      <c r="M91" s="146">
        <v>305.43751500000002</v>
      </c>
      <c r="N91" s="146">
        <v>332.59120100000001</v>
      </c>
      <c r="O91" s="146">
        <v>350.08292499999999</v>
      </c>
      <c r="P91" s="146">
        <v>298.62258500000002</v>
      </c>
      <c r="Q91" s="146">
        <v>331.00133499999998</v>
      </c>
      <c r="R91" s="146">
        <v>307.42903200000001</v>
      </c>
      <c r="S91" s="146">
        <v>317.55595499999998</v>
      </c>
      <c r="T91" s="146">
        <v>367.58788099999998</v>
      </c>
      <c r="U91" s="146">
        <v>396.959791</v>
      </c>
      <c r="V91" s="146">
        <v>456.377207</v>
      </c>
      <c r="W91" s="146">
        <v>175.45913200000001</v>
      </c>
      <c r="X91"/>
      <c r="Y91"/>
      <c r="Z91"/>
    </row>
    <row r="92" spans="1:26" ht="15">
      <c r="A92" s="218"/>
      <c r="B92" s="143" t="s">
        <v>24</v>
      </c>
      <c r="C92" s="146">
        <v>0</v>
      </c>
      <c r="D92" s="146">
        <v>0</v>
      </c>
      <c r="E92" s="146">
        <v>0</v>
      </c>
      <c r="F92" s="146">
        <v>0</v>
      </c>
      <c r="G92" s="146">
        <v>1.1771689999999999</v>
      </c>
      <c r="H92" s="146">
        <v>0.95765299999999998</v>
      </c>
      <c r="I92" s="146">
        <v>2.9751430000000001</v>
      </c>
      <c r="J92" s="146">
        <v>3.834768</v>
      </c>
      <c r="K92" s="146">
        <v>2.0925159999999998</v>
      </c>
      <c r="L92" s="146">
        <v>0.98881300000000005</v>
      </c>
      <c r="M92" s="146">
        <v>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v>0</v>
      </c>
      <c r="U92" s="146">
        <v>2.6835830000000001</v>
      </c>
      <c r="V92" s="146">
        <v>4.441192</v>
      </c>
      <c r="W92" s="146">
        <v>2.8270400000000002</v>
      </c>
      <c r="X92"/>
      <c r="Y92"/>
      <c r="Z92"/>
    </row>
    <row r="93" spans="1:26" ht="15">
      <c r="A93" s="218"/>
      <c r="B93" s="143" t="s">
        <v>5</v>
      </c>
      <c r="C93" s="146">
        <v>0.27796300000000002</v>
      </c>
      <c r="D93" s="146">
        <v>0.15948300000000001</v>
      </c>
      <c r="E93" s="146">
        <v>0.30611500000000003</v>
      </c>
      <c r="F93" s="146">
        <v>0.29466900000000001</v>
      </c>
      <c r="G93" s="146">
        <v>0.189554</v>
      </c>
      <c r="H93" s="146">
        <v>9.4216999999999995E-2</v>
      </c>
      <c r="I93" s="146">
        <v>0.106017</v>
      </c>
      <c r="J93" s="146">
        <v>0.20128099999999999</v>
      </c>
      <c r="K93" s="146">
        <v>0.27444800000000003</v>
      </c>
      <c r="L93" s="146">
        <v>0.26974799999999999</v>
      </c>
      <c r="M93" s="146">
        <v>6.1364000000000002E-2</v>
      </c>
      <c r="N93" s="146">
        <v>0.10125000000000001</v>
      </c>
      <c r="O93" s="146">
        <v>0.215638</v>
      </c>
      <c r="P93" s="146">
        <v>0.22824</v>
      </c>
      <c r="Q93" s="146">
        <v>0.33845999999999998</v>
      </c>
      <c r="R93" s="146">
        <v>0.239788</v>
      </c>
      <c r="S93" s="146">
        <v>0.16079099999999999</v>
      </c>
      <c r="T93" s="146">
        <v>2.8254000000000001E-2</v>
      </c>
      <c r="U93" s="146">
        <v>3.0289E-2</v>
      </c>
      <c r="V93" s="146">
        <v>3.2219999999999999E-2</v>
      </c>
      <c r="W93" s="146">
        <v>1.787E-2</v>
      </c>
      <c r="X93"/>
      <c r="Y93"/>
      <c r="Z93"/>
    </row>
    <row r="94" spans="1:26" ht="15">
      <c r="A94" s="218"/>
      <c r="B94" s="143" t="s">
        <v>4</v>
      </c>
      <c r="C94" s="146">
        <v>8.5897050000000004</v>
      </c>
      <c r="D94" s="146">
        <v>9.5130970000000001</v>
      </c>
      <c r="E94" s="146">
        <v>13.295218999999999</v>
      </c>
      <c r="F94" s="146">
        <v>14.71546</v>
      </c>
      <c r="G94" s="146">
        <v>22.208131999999999</v>
      </c>
      <c r="H94" s="146">
        <v>21.169694</v>
      </c>
      <c r="I94" s="146">
        <v>22.966384000000001</v>
      </c>
      <c r="J94" s="146">
        <v>21.414781000000001</v>
      </c>
      <c r="K94" s="146">
        <v>17.622215000000001</v>
      </c>
      <c r="L94" s="146">
        <v>16.792960999999998</v>
      </c>
      <c r="M94" s="146">
        <v>8.8102359999999997</v>
      </c>
      <c r="N94" s="146">
        <v>11.149039999999999</v>
      </c>
      <c r="O94" s="146">
        <v>14.434640999999999</v>
      </c>
      <c r="P94" s="146">
        <v>17.843508</v>
      </c>
      <c r="Q94" s="146">
        <v>13.692501999999999</v>
      </c>
      <c r="R94" s="146">
        <v>22.081204</v>
      </c>
      <c r="S94" s="146">
        <v>27.327051999999998</v>
      </c>
      <c r="T94" s="146">
        <v>28.349565999999999</v>
      </c>
      <c r="U94" s="146">
        <v>32.264840999999997</v>
      </c>
      <c r="V94" s="146">
        <v>28.239802000000001</v>
      </c>
      <c r="W94" s="146">
        <v>10.637100999999999</v>
      </c>
      <c r="X94"/>
      <c r="Y94"/>
      <c r="Z94"/>
    </row>
    <row r="95" spans="1:26" ht="15">
      <c r="A95" s="218"/>
      <c r="B95" s="143" t="s">
        <v>22</v>
      </c>
      <c r="C95" s="146">
        <v>5.7757000000000003E-2</v>
      </c>
      <c r="D95" s="146">
        <v>7.6887999999999998E-2</v>
      </c>
      <c r="E95" s="146">
        <v>0.13778699999999999</v>
      </c>
      <c r="F95" s="146">
        <v>0.10574</v>
      </c>
      <c r="G95" s="146">
        <v>0.118546</v>
      </c>
      <c r="H95" s="146">
        <v>0.10044400000000001</v>
      </c>
      <c r="I95" s="146">
        <v>9.6151E-2</v>
      </c>
      <c r="J95" s="146">
        <v>8.4413000000000002E-2</v>
      </c>
      <c r="K95" s="146">
        <v>8.1381999999999996E-2</v>
      </c>
      <c r="L95" s="146">
        <v>0.243059</v>
      </c>
      <c r="M95" s="146">
        <v>0.24007600000000001</v>
      </c>
      <c r="N95" s="146">
        <v>0.230462</v>
      </c>
      <c r="O95" s="146">
        <v>0.285244</v>
      </c>
      <c r="P95" s="146">
        <v>0.28095199999999998</v>
      </c>
      <c r="Q95" s="146">
        <v>0.29118100000000002</v>
      </c>
      <c r="R95" s="146">
        <v>0.16531499999999999</v>
      </c>
      <c r="S95" s="146">
        <v>0.166327</v>
      </c>
      <c r="T95" s="146">
        <v>0.111179</v>
      </c>
      <c r="U95" s="146">
        <v>9.5128000000000004E-2</v>
      </c>
      <c r="V95" s="146">
        <v>5.6752999999999998E-2</v>
      </c>
      <c r="W95" s="146">
        <v>4.224E-2</v>
      </c>
      <c r="X95"/>
      <c r="Y95"/>
      <c r="Z95"/>
    </row>
    <row r="96" spans="1:26" ht="15">
      <c r="A96" s="218"/>
      <c r="B96" s="143" t="s">
        <v>23</v>
      </c>
      <c r="C96" s="146">
        <v>4.0659429999999999</v>
      </c>
      <c r="D96" s="146">
        <v>3.641699</v>
      </c>
      <c r="E96" s="146">
        <v>3.9954990000000001</v>
      </c>
      <c r="F96" s="146">
        <v>3.2208809999999999</v>
      </c>
      <c r="G96" s="146">
        <v>2.5715810000000001</v>
      </c>
      <c r="H96" s="146">
        <v>3.062163</v>
      </c>
      <c r="I96" s="146">
        <v>4.0856940000000002</v>
      </c>
      <c r="J96" s="146">
        <v>3.9309270000000001</v>
      </c>
      <c r="K96" s="146">
        <v>3.8190279999999999</v>
      </c>
      <c r="L96" s="146">
        <v>4.0205719999999996</v>
      </c>
      <c r="M96" s="146">
        <v>1.4121680000000001</v>
      </c>
      <c r="N96" s="146">
        <v>3.5189080000000001</v>
      </c>
      <c r="O96" s="146">
        <v>3.4010050000000001</v>
      </c>
      <c r="P96" s="146">
        <v>3.0684070000000001</v>
      </c>
      <c r="Q96" s="146">
        <v>3.993204</v>
      </c>
      <c r="R96" s="146">
        <v>1.8386769999999999</v>
      </c>
      <c r="S96" s="146">
        <v>1.9461250000000001</v>
      </c>
      <c r="T96" s="146">
        <v>1.5363420000000001</v>
      </c>
      <c r="U96" s="146">
        <v>1.1719729999999999</v>
      </c>
      <c r="V96" s="146">
        <v>5.1333999999999998E-2</v>
      </c>
      <c r="W96" s="146">
        <v>0.68086000000000002</v>
      </c>
      <c r="X96"/>
      <c r="Y96"/>
      <c r="Z96"/>
    </row>
    <row r="97" spans="1:26" ht="15">
      <c r="A97" s="218"/>
      <c r="B97" s="143" t="s">
        <v>54</v>
      </c>
      <c r="C97" s="146">
        <v>7.1515275000000003</v>
      </c>
      <c r="D97" s="146">
        <v>10.723705000000001</v>
      </c>
      <c r="E97" s="146">
        <v>10.093087499999999</v>
      </c>
      <c r="F97" s="146">
        <v>7.5393055000000002</v>
      </c>
      <c r="G97" s="146">
        <v>6.0236640000000001</v>
      </c>
      <c r="H97" s="146">
        <v>13.481942</v>
      </c>
      <c r="I97" s="146">
        <v>11.473026000000001</v>
      </c>
      <c r="J97" s="146">
        <v>13.3199895</v>
      </c>
      <c r="K97" s="146">
        <v>11.972504499999999</v>
      </c>
      <c r="L97" s="146">
        <v>6.4146000000000001</v>
      </c>
      <c r="M97" s="146">
        <v>13.8683715</v>
      </c>
      <c r="N97" s="146">
        <v>8.8660929999999993</v>
      </c>
      <c r="O97" s="146">
        <v>9.8711500000000001</v>
      </c>
      <c r="P97" s="146">
        <v>5.4414375000000001</v>
      </c>
      <c r="Q97" s="146">
        <v>9.6633200000000006</v>
      </c>
      <c r="R97" s="146">
        <v>7.8050050000000004</v>
      </c>
      <c r="S97" s="146">
        <v>11.846121999999999</v>
      </c>
      <c r="T97" s="146">
        <v>13.186323</v>
      </c>
      <c r="U97" s="146">
        <v>16.1606655</v>
      </c>
      <c r="V97" s="146">
        <v>13.6723105</v>
      </c>
      <c r="W97" s="146">
        <v>4.5461499999999999</v>
      </c>
      <c r="X97"/>
      <c r="Y97"/>
      <c r="Z97"/>
    </row>
    <row r="98" spans="1:26" ht="15">
      <c r="A98" s="218"/>
      <c r="B98" s="143" t="s">
        <v>55</v>
      </c>
      <c r="C98" s="146">
        <v>7.1515275000000003</v>
      </c>
      <c r="D98" s="146">
        <v>10.723705000000001</v>
      </c>
      <c r="E98" s="146">
        <v>10.093087499999999</v>
      </c>
      <c r="F98" s="146">
        <v>7.5393055000000002</v>
      </c>
      <c r="G98" s="146">
        <v>6.0236640000000001</v>
      </c>
      <c r="H98" s="146">
        <v>13.481942</v>
      </c>
      <c r="I98" s="146">
        <v>11.473026000000001</v>
      </c>
      <c r="J98" s="146">
        <v>13.3199895</v>
      </c>
      <c r="K98" s="146">
        <v>11.972504499999999</v>
      </c>
      <c r="L98" s="146">
        <v>6.4146000000000001</v>
      </c>
      <c r="M98" s="146">
        <v>13.8683715</v>
      </c>
      <c r="N98" s="146">
        <v>8.8660929999999993</v>
      </c>
      <c r="O98" s="146">
        <v>9.8711500000000001</v>
      </c>
      <c r="P98" s="146">
        <v>5.4414375000000001</v>
      </c>
      <c r="Q98" s="146">
        <v>9.6633200000000006</v>
      </c>
      <c r="R98" s="146">
        <v>7.8050050000000004</v>
      </c>
      <c r="S98" s="146">
        <v>11.846121999999999</v>
      </c>
      <c r="T98" s="146">
        <v>13.186323</v>
      </c>
      <c r="U98" s="146">
        <v>16.1606655</v>
      </c>
      <c r="V98" s="146">
        <v>13.6723105</v>
      </c>
      <c r="W98" s="146">
        <v>4.5461499999999999</v>
      </c>
      <c r="X98"/>
      <c r="Y98"/>
      <c r="Z98"/>
    </row>
    <row r="99" spans="1:26" ht="15">
      <c r="A99" s="218"/>
      <c r="B99" s="148" t="s">
        <v>2</v>
      </c>
      <c r="C99" s="149">
        <v>332.67321299999998</v>
      </c>
      <c r="D99" s="149">
        <v>248.303968</v>
      </c>
      <c r="E99" s="149">
        <v>282.12195200000002</v>
      </c>
      <c r="F99" s="149">
        <v>267.78934099999998</v>
      </c>
      <c r="G99" s="149">
        <v>268.84113400000001</v>
      </c>
      <c r="H99" s="149">
        <v>394.267696</v>
      </c>
      <c r="I99" s="149">
        <v>555.38770499999998</v>
      </c>
      <c r="J99" s="149">
        <v>592.49763099999996</v>
      </c>
      <c r="K99" s="149">
        <v>506.01889399999999</v>
      </c>
      <c r="L99" s="149">
        <v>406.24318799999998</v>
      </c>
      <c r="M99" s="149">
        <v>380.16221400000001</v>
      </c>
      <c r="N99" s="149">
        <v>403.03980200000001</v>
      </c>
      <c r="O99" s="149">
        <v>433.75098600000001</v>
      </c>
      <c r="P99" s="149">
        <v>369.647919</v>
      </c>
      <c r="Q99" s="149">
        <v>411.19226900000001</v>
      </c>
      <c r="R99" s="149">
        <v>402.265918</v>
      </c>
      <c r="S99" s="149">
        <v>439.86110200000002</v>
      </c>
      <c r="T99" s="149">
        <v>539.02598899999998</v>
      </c>
      <c r="U99" s="149">
        <v>634.529223</v>
      </c>
      <c r="V99" s="149">
        <v>649.83148200000005</v>
      </c>
      <c r="W99" s="149">
        <v>238.23798600000001</v>
      </c>
      <c r="X99"/>
      <c r="Y99"/>
      <c r="Z99"/>
    </row>
    <row r="100" spans="1:26" ht="15">
      <c r="A100" s="218"/>
      <c r="B100" s="143" t="s">
        <v>21</v>
      </c>
      <c r="C100" s="146">
        <v>138.25041200000001</v>
      </c>
      <c r="D100" s="146">
        <v>113.412009</v>
      </c>
      <c r="E100" s="146">
        <v>127.985573</v>
      </c>
      <c r="F100" s="146">
        <v>111.02179700000001</v>
      </c>
      <c r="G100" s="146">
        <v>111.601713</v>
      </c>
      <c r="H100" s="146">
        <v>65.429468</v>
      </c>
      <c r="I100" s="146">
        <v>45.879221000000001</v>
      </c>
      <c r="J100" s="146">
        <v>40.107311000000003</v>
      </c>
      <c r="K100" s="146">
        <v>37.549396999999999</v>
      </c>
      <c r="L100" s="146">
        <v>38.285525</v>
      </c>
      <c r="M100" s="146">
        <v>28.435708999999999</v>
      </c>
      <c r="N100" s="146">
        <v>32.270831999999999</v>
      </c>
      <c r="O100" s="146">
        <v>31.159338999999999</v>
      </c>
      <c r="P100" s="146">
        <v>27.502502</v>
      </c>
      <c r="Q100" s="146">
        <v>30.689281000000001</v>
      </c>
      <c r="R100" s="146">
        <v>33.641058999999998</v>
      </c>
      <c r="S100" s="146">
        <v>32.047055999999998</v>
      </c>
      <c r="T100" s="146">
        <v>35.225064000000003</v>
      </c>
      <c r="U100" s="146">
        <v>67.033137999999994</v>
      </c>
      <c r="V100" s="146">
        <v>77.653036</v>
      </c>
      <c r="W100" s="146">
        <v>28.104299999999999</v>
      </c>
      <c r="X100"/>
      <c r="Y100"/>
      <c r="Z100"/>
    </row>
    <row r="101" spans="1:26" ht="15">
      <c r="A101" s="219"/>
      <c r="B101" s="148" t="s">
        <v>79</v>
      </c>
      <c r="C101" s="149">
        <v>470.92362500000002</v>
      </c>
      <c r="D101" s="149">
        <v>361.71597700000001</v>
      </c>
      <c r="E101" s="149">
        <v>410.10752500000001</v>
      </c>
      <c r="F101" s="149">
        <v>378.81113800000003</v>
      </c>
      <c r="G101" s="149">
        <v>380.44284699999997</v>
      </c>
      <c r="H101" s="149">
        <v>459.69716399999999</v>
      </c>
      <c r="I101" s="149">
        <v>601.26692600000001</v>
      </c>
      <c r="J101" s="149">
        <v>632.60494200000005</v>
      </c>
      <c r="K101" s="149">
        <v>543.56829100000004</v>
      </c>
      <c r="L101" s="149">
        <v>444.52871299999998</v>
      </c>
      <c r="M101" s="149">
        <v>408.59792299999998</v>
      </c>
      <c r="N101" s="149">
        <v>435.31063399999999</v>
      </c>
      <c r="O101" s="149">
        <v>464.910325</v>
      </c>
      <c r="P101" s="149">
        <v>397.15042099999999</v>
      </c>
      <c r="Q101" s="149">
        <v>441.88155</v>
      </c>
      <c r="R101" s="149">
        <v>435.90697699999998</v>
      </c>
      <c r="S101" s="149">
        <v>471.90815800000001</v>
      </c>
      <c r="T101" s="149">
        <v>574.25105299999996</v>
      </c>
      <c r="U101" s="149">
        <v>701.56236100000001</v>
      </c>
      <c r="V101" s="149">
        <v>727.48451799999998</v>
      </c>
      <c r="W101" s="149">
        <v>266.342286</v>
      </c>
      <c r="X101"/>
      <c r="Y101"/>
      <c r="Z101"/>
    </row>
    <row r="102" spans="1:26" ht="15">
      <c r="A102" s="222" t="s">
        <v>58</v>
      </c>
      <c r="B102" s="143" t="s">
        <v>12</v>
      </c>
      <c r="C102" s="146">
        <v>0.29762100000000002</v>
      </c>
      <c r="D102" s="146">
        <v>0.25852999999999998</v>
      </c>
      <c r="E102" s="146">
        <v>0.28226499999999999</v>
      </c>
      <c r="F102" s="146">
        <v>0.13780600000000001</v>
      </c>
      <c r="G102" s="146">
        <v>0.26783600000000002</v>
      </c>
      <c r="H102" s="146">
        <v>0.28217700000000001</v>
      </c>
      <c r="I102" s="146">
        <v>0.28972599999999998</v>
      </c>
      <c r="J102" s="146">
        <v>0.28065899999999999</v>
      </c>
      <c r="K102" s="146">
        <v>0.27753299999999997</v>
      </c>
      <c r="L102" s="146">
        <v>0.28213100000000002</v>
      </c>
      <c r="M102" s="146">
        <v>0.23125799999999999</v>
      </c>
      <c r="N102" s="146">
        <v>0.15536</v>
      </c>
      <c r="O102" s="146">
        <v>0.294213</v>
      </c>
      <c r="P102" s="146">
        <v>0.25058200000000003</v>
      </c>
      <c r="Q102" s="146">
        <v>0.29644599999999999</v>
      </c>
      <c r="R102" s="146">
        <v>0.27407199999999998</v>
      </c>
      <c r="S102" s="146">
        <v>0.29880499999999999</v>
      </c>
      <c r="T102" s="146">
        <v>0.28138299999999999</v>
      </c>
      <c r="U102" s="146">
        <v>0.29436099999999998</v>
      </c>
      <c r="V102" s="146">
        <v>0.29274699999999998</v>
      </c>
      <c r="W102" s="146">
        <v>0</v>
      </c>
      <c r="X102"/>
      <c r="Y102"/>
      <c r="Z102"/>
    </row>
    <row r="103" spans="1:26" ht="15">
      <c r="A103" s="218"/>
      <c r="B103" s="143" t="s">
        <v>78</v>
      </c>
      <c r="C103" s="146">
        <v>141.05104299999999</v>
      </c>
      <c r="D103" s="146">
        <v>112.359525</v>
      </c>
      <c r="E103" s="146">
        <v>128.50312700000001</v>
      </c>
      <c r="F103" s="146">
        <v>140.012246</v>
      </c>
      <c r="G103" s="146">
        <v>126.338086</v>
      </c>
      <c r="H103" s="146">
        <v>133.47636299999999</v>
      </c>
      <c r="I103" s="146">
        <v>143.30591200000001</v>
      </c>
      <c r="J103" s="146">
        <v>156.76768200000001</v>
      </c>
      <c r="K103" s="146">
        <v>167.979367</v>
      </c>
      <c r="L103" s="146">
        <v>160.016738</v>
      </c>
      <c r="M103" s="146">
        <v>150.664601</v>
      </c>
      <c r="N103" s="146">
        <v>156.43285700000001</v>
      </c>
      <c r="O103" s="146">
        <v>144.976482</v>
      </c>
      <c r="P103" s="146">
        <v>129.27893900000001</v>
      </c>
      <c r="Q103" s="146">
        <v>148.836814</v>
      </c>
      <c r="R103" s="146">
        <v>137.06189800000001</v>
      </c>
      <c r="S103" s="146">
        <v>142.20011299999999</v>
      </c>
      <c r="T103" s="146">
        <v>140.17607899999999</v>
      </c>
      <c r="U103" s="146">
        <v>145.16304500000001</v>
      </c>
      <c r="V103" s="146">
        <v>144.446313</v>
      </c>
      <c r="W103" s="146">
        <v>63.579965999999999</v>
      </c>
      <c r="X103"/>
      <c r="Y103"/>
      <c r="Z103"/>
    </row>
    <row r="104" spans="1:26" ht="15">
      <c r="A104" s="218"/>
      <c r="B104" s="143" t="s">
        <v>9</v>
      </c>
      <c r="C104" s="146">
        <v>10.157844000000001</v>
      </c>
      <c r="D104" s="146">
        <v>10.355027</v>
      </c>
      <c r="E104" s="146">
        <v>14.760713000000001</v>
      </c>
      <c r="F104" s="146">
        <v>16.229486999999999</v>
      </c>
      <c r="G104" s="146">
        <v>17.203126999999999</v>
      </c>
      <c r="H104" s="146">
        <v>15.24977</v>
      </c>
      <c r="I104" s="146">
        <v>13.198846</v>
      </c>
      <c r="J104" s="146">
        <v>9.7369489999999992</v>
      </c>
      <c r="K104" s="146">
        <v>32.625571999999998</v>
      </c>
      <c r="L104" s="146">
        <v>27.415593999999999</v>
      </c>
      <c r="M104" s="146">
        <v>14.576139</v>
      </c>
      <c r="N104" s="146">
        <v>17.516629999999999</v>
      </c>
      <c r="O104" s="146">
        <v>20.123602000000002</v>
      </c>
      <c r="P104" s="146">
        <v>22.305457000000001</v>
      </c>
      <c r="Q104" s="146">
        <v>22.266936999999999</v>
      </c>
      <c r="R104" s="146">
        <v>17.593667</v>
      </c>
      <c r="S104" s="146">
        <v>15.375764</v>
      </c>
      <c r="T104" s="146">
        <v>14.745189</v>
      </c>
      <c r="U104" s="146">
        <v>19.947948</v>
      </c>
      <c r="V104" s="146">
        <v>17.951955999999999</v>
      </c>
      <c r="W104" s="146">
        <v>5.9248459999999996</v>
      </c>
      <c r="X104"/>
      <c r="Y104"/>
      <c r="Z104"/>
    </row>
    <row r="105" spans="1:26" ht="15">
      <c r="A105" s="218"/>
      <c r="B105" s="143" t="s">
        <v>8</v>
      </c>
      <c r="C105" s="146">
        <v>116.282053</v>
      </c>
      <c r="D105" s="146">
        <v>104.960847</v>
      </c>
      <c r="E105" s="146">
        <v>100.758259</v>
      </c>
      <c r="F105" s="146">
        <v>70.652975999999995</v>
      </c>
      <c r="G105" s="146">
        <v>62.41677</v>
      </c>
      <c r="H105" s="146">
        <v>33.486941999999999</v>
      </c>
      <c r="I105" s="146">
        <v>66.134209999999996</v>
      </c>
      <c r="J105" s="146">
        <v>99.644189999999995</v>
      </c>
      <c r="K105" s="146">
        <v>113.210213</v>
      </c>
      <c r="L105" s="146">
        <v>112.484255</v>
      </c>
      <c r="M105" s="146">
        <v>115.10042799999999</v>
      </c>
      <c r="N105" s="146">
        <v>112.90636000000001</v>
      </c>
      <c r="O105" s="146">
        <v>117.422501</v>
      </c>
      <c r="P105" s="146">
        <v>102.630663</v>
      </c>
      <c r="Q105" s="146">
        <v>114.385115</v>
      </c>
      <c r="R105" s="146">
        <v>103.636366</v>
      </c>
      <c r="S105" s="146">
        <v>86.849653000000004</v>
      </c>
      <c r="T105" s="146">
        <v>60.625902000000004</v>
      </c>
      <c r="U105" s="146">
        <v>73.213599000000002</v>
      </c>
      <c r="V105" s="146">
        <v>102.417012</v>
      </c>
      <c r="W105" s="146">
        <v>39.913021999999998</v>
      </c>
      <c r="X105"/>
      <c r="Y105"/>
      <c r="Z105"/>
    </row>
    <row r="106" spans="1:26" ht="15">
      <c r="A106" s="218"/>
      <c r="B106" s="143" t="s">
        <v>25</v>
      </c>
      <c r="C106" s="146">
        <v>280.66014899999999</v>
      </c>
      <c r="D106" s="146">
        <v>269.76136200000002</v>
      </c>
      <c r="E106" s="146">
        <v>284.19602200000003</v>
      </c>
      <c r="F106" s="146">
        <v>311.21022299999998</v>
      </c>
      <c r="G106" s="146">
        <v>236.28277700000001</v>
      </c>
      <c r="H106" s="146">
        <v>276.61590899999999</v>
      </c>
      <c r="I106" s="146">
        <v>284.60979800000001</v>
      </c>
      <c r="J106" s="146">
        <v>284.30052499999999</v>
      </c>
      <c r="K106" s="146">
        <v>278.88830000000002</v>
      </c>
      <c r="L106" s="146">
        <v>288.42916700000001</v>
      </c>
      <c r="M106" s="146">
        <v>314.272829</v>
      </c>
      <c r="N106" s="146">
        <v>321.01253800000001</v>
      </c>
      <c r="O106" s="146">
        <v>350.31383599999998</v>
      </c>
      <c r="P106" s="146">
        <v>285.33313399999997</v>
      </c>
      <c r="Q106" s="146">
        <v>288.5179</v>
      </c>
      <c r="R106" s="146">
        <v>265.37271800000002</v>
      </c>
      <c r="S106" s="146">
        <v>303.45663500000001</v>
      </c>
      <c r="T106" s="146">
        <v>283.58392400000002</v>
      </c>
      <c r="U106" s="146">
        <v>295.51749599999999</v>
      </c>
      <c r="V106" s="146">
        <v>269.79137200000002</v>
      </c>
      <c r="W106" s="146">
        <v>110.098403</v>
      </c>
      <c r="X106"/>
      <c r="Y106"/>
      <c r="Z106"/>
    </row>
    <row r="107" spans="1:26" ht="15">
      <c r="A107" s="218"/>
      <c r="B107" s="143" t="s">
        <v>6</v>
      </c>
      <c r="C107" s="146">
        <v>0.99317</v>
      </c>
      <c r="D107" s="146">
        <v>1.226483</v>
      </c>
      <c r="E107" s="146">
        <v>1.921443</v>
      </c>
      <c r="F107" s="146">
        <v>0.83590799999999998</v>
      </c>
      <c r="G107" s="146">
        <v>3.227077</v>
      </c>
      <c r="H107" s="146">
        <v>3.0020419999999999</v>
      </c>
      <c r="I107" s="146">
        <v>3.5782180000000001</v>
      </c>
      <c r="J107" s="146">
        <v>2.663478</v>
      </c>
      <c r="K107" s="146">
        <v>1.4201079999999999</v>
      </c>
      <c r="L107" s="146">
        <v>1.852679</v>
      </c>
      <c r="M107" s="146">
        <v>1.1397900000000001</v>
      </c>
      <c r="N107" s="146">
        <v>1.2278610000000001</v>
      </c>
      <c r="O107" s="146">
        <v>1.110916</v>
      </c>
      <c r="P107" s="146">
        <v>1.4820450000000001</v>
      </c>
      <c r="Q107" s="146">
        <v>2.1263230000000002</v>
      </c>
      <c r="R107" s="146">
        <v>1.7525280000000001</v>
      </c>
      <c r="S107" s="146">
        <v>1.9171739999999999</v>
      </c>
      <c r="T107" s="146">
        <v>2.44956</v>
      </c>
      <c r="U107" s="146">
        <v>3.5629430000000002</v>
      </c>
      <c r="V107" s="146">
        <v>3.5176750000000001</v>
      </c>
      <c r="W107" s="146">
        <v>1.0711219999999999</v>
      </c>
      <c r="X107"/>
      <c r="Y107"/>
      <c r="Z107"/>
    </row>
    <row r="108" spans="1:26" ht="15">
      <c r="A108" s="218"/>
      <c r="B108" s="143" t="s">
        <v>5</v>
      </c>
      <c r="C108" s="146">
        <v>81.695520000000002</v>
      </c>
      <c r="D108" s="146">
        <v>58.777921999999997</v>
      </c>
      <c r="E108" s="146">
        <v>84.883152999999993</v>
      </c>
      <c r="F108" s="146">
        <v>53.035682999999999</v>
      </c>
      <c r="G108" s="146">
        <v>164.67089200000001</v>
      </c>
      <c r="H108" s="146">
        <v>148.01756800000001</v>
      </c>
      <c r="I108" s="146">
        <v>158.51629800000001</v>
      </c>
      <c r="J108" s="146">
        <v>145.95032699999999</v>
      </c>
      <c r="K108" s="146">
        <v>107.853368</v>
      </c>
      <c r="L108" s="146">
        <v>121.987015</v>
      </c>
      <c r="M108" s="146">
        <v>91.770038</v>
      </c>
      <c r="N108" s="146">
        <v>92.867580000000004</v>
      </c>
      <c r="O108" s="146">
        <v>60.136758999999998</v>
      </c>
      <c r="P108" s="146">
        <v>88.981584999999995</v>
      </c>
      <c r="Q108" s="146">
        <v>109.43612899999999</v>
      </c>
      <c r="R108" s="146">
        <v>120.763114</v>
      </c>
      <c r="S108" s="146">
        <v>116.774248</v>
      </c>
      <c r="T108" s="146">
        <v>159.31650500000001</v>
      </c>
      <c r="U108" s="146">
        <v>180.24268000000001</v>
      </c>
      <c r="V108" s="146">
        <v>183.67649499999999</v>
      </c>
      <c r="W108" s="146">
        <v>63.730570999999998</v>
      </c>
      <c r="X108"/>
      <c r="Y108"/>
      <c r="Z108"/>
    </row>
    <row r="109" spans="1:26" ht="15">
      <c r="A109" s="218"/>
      <c r="B109" s="143" t="s">
        <v>4</v>
      </c>
      <c r="C109" s="146">
        <v>16.647461</v>
      </c>
      <c r="D109" s="146">
        <v>18.033656000000001</v>
      </c>
      <c r="E109" s="146">
        <v>24.504390000000001</v>
      </c>
      <c r="F109" s="146">
        <v>22.758417999999999</v>
      </c>
      <c r="G109" s="146">
        <v>27.092843999999999</v>
      </c>
      <c r="H109" s="146">
        <v>24.741710999999999</v>
      </c>
      <c r="I109" s="146">
        <v>27.937771999999999</v>
      </c>
      <c r="J109" s="146">
        <v>26.120768999999999</v>
      </c>
      <c r="K109" s="146">
        <v>21.565273000000001</v>
      </c>
      <c r="L109" s="146">
        <v>20.979474</v>
      </c>
      <c r="M109" s="146">
        <v>14.946410999999999</v>
      </c>
      <c r="N109" s="146">
        <v>16.937016</v>
      </c>
      <c r="O109" s="146">
        <v>18.038699999999999</v>
      </c>
      <c r="P109" s="146">
        <v>18.798999999999999</v>
      </c>
      <c r="Q109" s="146">
        <v>24.968492999999999</v>
      </c>
      <c r="R109" s="146">
        <v>25.164787</v>
      </c>
      <c r="S109" s="146">
        <v>32.867409000000002</v>
      </c>
      <c r="T109" s="146">
        <v>30.518813000000002</v>
      </c>
      <c r="U109" s="146">
        <v>34.107903</v>
      </c>
      <c r="V109" s="146">
        <v>31.953105999999998</v>
      </c>
      <c r="W109" s="146">
        <v>12.340525</v>
      </c>
      <c r="X109"/>
      <c r="Y109"/>
      <c r="Z109"/>
    </row>
    <row r="110" spans="1:26" ht="15">
      <c r="A110" s="218"/>
      <c r="B110" s="143" t="s">
        <v>22</v>
      </c>
      <c r="C110" s="146">
        <v>0.35872300000000001</v>
      </c>
      <c r="D110" s="146">
        <v>0.69978200000000002</v>
      </c>
      <c r="E110" s="146">
        <v>0.79178499999999996</v>
      </c>
      <c r="F110" s="146">
        <v>0.72202100000000002</v>
      </c>
      <c r="G110" s="146">
        <v>0.72256799999999999</v>
      </c>
      <c r="H110" s="146">
        <v>0.72395900000000002</v>
      </c>
      <c r="I110" s="146">
        <v>0.73402900000000004</v>
      </c>
      <c r="J110" s="146">
        <v>0.56980699999999995</v>
      </c>
      <c r="K110" s="146">
        <v>0.40013300000000002</v>
      </c>
      <c r="L110" s="146">
        <v>0.75599700000000003</v>
      </c>
      <c r="M110" s="146">
        <v>0.75323799999999996</v>
      </c>
      <c r="N110" s="146">
        <v>0.822349</v>
      </c>
      <c r="O110" s="146">
        <v>0.86053100000000005</v>
      </c>
      <c r="P110" s="146">
        <v>0.72069799999999995</v>
      </c>
      <c r="Q110" s="146">
        <v>0.90984399999999999</v>
      </c>
      <c r="R110" s="146">
        <v>0.61352399999999996</v>
      </c>
      <c r="S110" s="146">
        <v>0.72146399999999999</v>
      </c>
      <c r="T110" s="146">
        <v>0.696106</v>
      </c>
      <c r="U110" s="146">
        <v>0.688222</v>
      </c>
      <c r="V110" s="146">
        <v>0.71531400000000001</v>
      </c>
      <c r="W110" s="146">
        <v>0</v>
      </c>
      <c r="X110"/>
      <c r="Y110"/>
      <c r="Z110"/>
    </row>
    <row r="111" spans="1:26" ht="15">
      <c r="A111" s="218"/>
      <c r="B111" s="143" t="s">
        <v>23</v>
      </c>
      <c r="C111" s="146">
        <v>0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0</v>
      </c>
      <c r="T111" s="146">
        <v>0</v>
      </c>
      <c r="U111" s="146">
        <v>-7.7730000000000004E-3</v>
      </c>
      <c r="V111" s="146">
        <v>-1.2208999999999999E-2</v>
      </c>
      <c r="W111" s="146">
        <v>0</v>
      </c>
      <c r="X111"/>
      <c r="Y111"/>
      <c r="Z111"/>
    </row>
    <row r="112" spans="1:26" ht="15">
      <c r="A112" s="218"/>
      <c r="B112" s="148" t="s">
        <v>2</v>
      </c>
      <c r="C112" s="149">
        <v>648.14358400000003</v>
      </c>
      <c r="D112" s="149">
        <v>576.433134</v>
      </c>
      <c r="E112" s="149">
        <v>640.60115699999994</v>
      </c>
      <c r="F112" s="149">
        <v>615.59476800000004</v>
      </c>
      <c r="G112" s="149">
        <v>638.22197700000004</v>
      </c>
      <c r="H112" s="149">
        <v>635.59644100000003</v>
      </c>
      <c r="I112" s="149">
        <v>698.30480899999998</v>
      </c>
      <c r="J112" s="149">
        <v>726.03438600000004</v>
      </c>
      <c r="K112" s="149">
        <v>724.21986700000002</v>
      </c>
      <c r="L112" s="149">
        <v>734.20304999999996</v>
      </c>
      <c r="M112" s="149">
        <v>703.45473200000004</v>
      </c>
      <c r="N112" s="149">
        <v>719.87855100000002</v>
      </c>
      <c r="O112" s="149">
        <v>713.27754000000004</v>
      </c>
      <c r="P112" s="149">
        <v>649.78210300000001</v>
      </c>
      <c r="Q112" s="149">
        <v>711.74400100000003</v>
      </c>
      <c r="R112" s="149">
        <v>672.23267399999997</v>
      </c>
      <c r="S112" s="149">
        <v>700.46126500000003</v>
      </c>
      <c r="T112" s="149">
        <v>692.393461</v>
      </c>
      <c r="U112" s="149">
        <v>752.73042399999997</v>
      </c>
      <c r="V112" s="149">
        <v>754.74978099999998</v>
      </c>
      <c r="W112" s="149">
        <v>296.658455</v>
      </c>
      <c r="X112"/>
      <c r="Y112"/>
      <c r="Z112"/>
    </row>
    <row r="113" spans="1:23">
      <c r="A113" s="219"/>
      <c r="B113" s="148" t="s">
        <v>79</v>
      </c>
      <c r="C113" s="149">
        <v>648.14358400000003</v>
      </c>
      <c r="D113" s="149">
        <v>576.433134</v>
      </c>
      <c r="E113" s="149">
        <v>640.60115699999994</v>
      </c>
      <c r="F113" s="149">
        <v>615.59476800000004</v>
      </c>
      <c r="G113" s="149">
        <v>638.22197700000004</v>
      </c>
      <c r="H113" s="149">
        <v>635.59644100000003</v>
      </c>
      <c r="I113" s="149">
        <v>698.30480899999998</v>
      </c>
      <c r="J113" s="149">
        <v>726.03438600000004</v>
      </c>
      <c r="K113" s="149">
        <v>724.21986700000002</v>
      </c>
      <c r="L113" s="149">
        <v>734.20304999999996</v>
      </c>
      <c r="M113" s="149">
        <v>703.45473200000004</v>
      </c>
      <c r="N113" s="149">
        <v>719.87855100000002</v>
      </c>
      <c r="O113" s="149">
        <v>713.27754000000004</v>
      </c>
      <c r="P113" s="149">
        <v>649.78210300000001</v>
      </c>
      <c r="Q113" s="149">
        <v>711.74400100000003</v>
      </c>
      <c r="R113" s="149">
        <v>672.23267399999997</v>
      </c>
      <c r="S113" s="149">
        <v>700.46126500000003</v>
      </c>
      <c r="T113" s="149">
        <v>692.393461</v>
      </c>
      <c r="U113" s="149">
        <v>752.73042399999997</v>
      </c>
      <c r="V113" s="149">
        <v>754.74978099999998</v>
      </c>
      <c r="W113" s="149">
        <v>296.658455</v>
      </c>
    </row>
    <row r="114" spans="1:23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23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3">
      <c r="B117" s="215" t="s">
        <v>73</v>
      </c>
      <c r="C117" s="120" t="str">
        <f>TEXT(EDATE(D117,-1),"mmmm aaaa")</f>
        <v>agosto 2021</v>
      </c>
      <c r="D117" s="120" t="str">
        <f t="shared" ref="D117:M117" si="6">TEXT(EDATE(E117,-1),"mmmm aaaa")</f>
        <v>septiembre 2021</v>
      </c>
      <c r="E117" s="120" t="str">
        <f t="shared" si="6"/>
        <v>octubre 2021</v>
      </c>
      <c r="F117" s="120" t="str">
        <f t="shared" si="6"/>
        <v>noviembre 2021</v>
      </c>
      <c r="G117" s="120" t="str">
        <f t="shared" si="6"/>
        <v>diciembre 2021</v>
      </c>
      <c r="H117" s="120" t="str">
        <f t="shared" si="6"/>
        <v>enero 2022</v>
      </c>
      <c r="I117" s="120" t="str">
        <f t="shared" si="6"/>
        <v>febrero 2022</v>
      </c>
      <c r="J117" s="120" t="str">
        <f t="shared" si="6"/>
        <v>marzo 2022</v>
      </c>
      <c r="K117" s="120" t="str">
        <f t="shared" si="6"/>
        <v>abril 2022</v>
      </c>
      <c r="L117" s="120" t="str">
        <f t="shared" si="6"/>
        <v>mayo 2022</v>
      </c>
      <c r="M117" s="120" t="str">
        <f t="shared" si="6"/>
        <v>junio 2022</v>
      </c>
      <c r="N117" s="120" t="str">
        <f>TEXT(EDATE(O117,-1),"mmmm aaaa")</f>
        <v>julio 2022</v>
      </c>
      <c r="O117" s="121" t="str">
        <f>A2</f>
        <v>Agosto 2022</v>
      </c>
    </row>
    <row r="118" spans="1:23">
      <c r="B118" s="216"/>
      <c r="C118" s="131" t="str">
        <f>TEXT(EDATE($A$2,-12),"mmm")&amp;".-"&amp;TEXT(EDATE($A$2,-12),"aa")</f>
        <v>ago.-21</v>
      </c>
      <c r="D118" s="131" t="str">
        <f>TEXT(EDATE($A$2,-11),"mmm")&amp;".-"&amp;TEXT(EDATE($A$2,-11),"aa")</f>
        <v>sep.-21</v>
      </c>
      <c r="E118" s="131" t="str">
        <f>TEXT(EDATE($A$2,-10),"mmm")&amp;".-"&amp;TEXT(EDATE($A$2,-10),"aa")</f>
        <v>oct.-21</v>
      </c>
      <c r="F118" s="131" t="str">
        <f>TEXT(EDATE($A$2,-9),"mmm")&amp;".-"&amp;TEXT(EDATE($A$2,-9),"aa")</f>
        <v>nov.-21</v>
      </c>
      <c r="G118" s="131" t="str">
        <f>TEXT(EDATE($A$2,-8),"mmm")&amp;".-"&amp;TEXT(EDATE($A$2,-8),"aa")</f>
        <v>dic.-21</v>
      </c>
      <c r="H118" s="131" t="str">
        <f>TEXT(EDATE($A$2,-7),"mmm")&amp;".-"&amp;TEXT(EDATE($A$2,-7),"aa")</f>
        <v>ene.-22</v>
      </c>
      <c r="I118" s="131" t="str">
        <f>TEXT(EDATE($A$2,-6),"mmm")&amp;".-"&amp;TEXT(EDATE($A$2,-6),"aa")</f>
        <v>feb.-22</v>
      </c>
      <c r="J118" s="131" t="str">
        <f>TEXT(EDATE($A$2,-5),"mmm")&amp;".-"&amp;TEXT(EDATE($A$2,-5),"aa")</f>
        <v>mar.-22</v>
      </c>
      <c r="K118" s="131" t="str">
        <f>TEXT(EDATE($A$2,-4),"mmm")&amp;".-"&amp;TEXT(EDATE($A$2,-4),"aa")</f>
        <v>abr.-22</v>
      </c>
      <c r="L118" s="131" t="str">
        <f>TEXT(EDATE($A$2,-3),"mmm")&amp;".-"&amp;TEXT(EDATE($A$2,-3),"aa")</f>
        <v>may.-22</v>
      </c>
      <c r="M118" s="131" t="str">
        <f>TEXT(EDATE($A$2,-2),"mmm")&amp;".-"&amp;TEXT(EDATE($A$2,-2),"aa")</f>
        <v>jun.-22</v>
      </c>
      <c r="N118" s="131" t="str">
        <f>TEXT(EDATE($A$2,-1),"mmm")&amp;".-"&amp;TEXT(EDATE($A$2,-1),"aa")</f>
        <v>jul.-22</v>
      </c>
      <c r="O118" s="159" t="str">
        <f>TEXT($A$2,"mmm")&amp;".-"&amp;TEXT($A$2,"aa")</f>
        <v>ago.-22</v>
      </c>
    </row>
    <row r="119" spans="1:23">
      <c r="A119" s="212" t="s">
        <v>76</v>
      </c>
      <c r="B119" s="132" t="s">
        <v>11</v>
      </c>
      <c r="C119" s="133">
        <f>HLOOKUP(C$117,$86:$101,3,FALSE)</f>
        <v>-0.72875599999999996</v>
      </c>
      <c r="D119" s="133">
        <f t="shared" ref="D119:N119" si="7">HLOOKUP(D$117,$86:$101,3,FALSE)</f>
        <v>-0.54997399999999996</v>
      </c>
      <c r="E119" s="133">
        <f t="shared" si="7"/>
        <v>-0.58327700000000005</v>
      </c>
      <c r="F119" s="133">
        <f t="shared" si="7"/>
        <v>-0.582067</v>
      </c>
      <c r="G119" s="133">
        <f t="shared" si="7"/>
        <v>-0.61424800000000002</v>
      </c>
      <c r="H119" s="133">
        <f t="shared" si="7"/>
        <v>-0.627467</v>
      </c>
      <c r="I119" s="133">
        <f t="shared" si="7"/>
        <v>-0.58012699999999995</v>
      </c>
      <c r="J119" s="133">
        <f t="shared" si="7"/>
        <v>-0.66887300000000005</v>
      </c>
      <c r="K119" s="133">
        <f t="shared" si="7"/>
        <v>-0.60498099999999999</v>
      </c>
      <c r="L119" s="133">
        <f t="shared" si="7"/>
        <v>-1.0302370000000001</v>
      </c>
      <c r="M119" s="133">
        <f t="shared" si="7"/>
        <v>29.141857000000002</v>
      </c>
      <c r="N119" s="133">
        <f t="shared" si="7"/>
        <v>50.189168000000002</v>
      </c>
      <c r="O119" s="134">
        <f>HLOOKUP(O$117,$86:$101,3,FALSE)</f>
        <v>5.2653150000000002</v>
      </c>
    </row>
    <row r="120" spans="1:23">
      <c r="A120" s="213"/>
      <c r="B120" s="122" t="s">
        <v>10</v>
      </c>
      <c r="C120" s="116">
        <f>HLOOKUP(C$117,$86:$101,4,FALSE)</f>
        <v>61.091033000000003</v>
      </c>
      <c r="D120" s="116">
        <f t="shared" ref="D120:O120" si="8">HLOOKUP(D$117,$86:$101,4,FALSE)</f>
        <v>52.802481999999998</v>
      </c>
      <c r="E120" s="116">
        <f t="shared" si="8"/>
        <v>40.707250000000002</v>
      </c>
      <c r="F120" s="116">
        <f t="shared" si="8"/>
        <v>21.566172999999999</v>
      </c>
      <c r="G120" s="116">
        <f t="shared" si="8"/>
        <v>26.795760999999999</v>
      </c>
      <c r="H120" s="116">
        <f t="shared" si="8"/>
        <v>31.928764000000001</v>
      </c>
      <c r="I120" s="116">
        <f t="shared" si="8"/>
        <v>27.285081000000002</v>
      </c>
      <c r="J120" s="116">
        <f t="shared" si="8"/>
        <v>26.627289999999999</v>
      </c>
      <c r="K120" s="116">
        <f t="shared" si="8"/>
        <v>38.583128000000002</v>
      </c>
      <c r="L120" s="116">
        <f t="shared" si="8"/>
        <v>43.134320000000002</v>
      </c>
      <c r="M120" s="116">
        <f t="shared" si="8"/>
        <v>52.984195999999997</v>
      </c>
      <c r="N120" s="116">
        <f t="shared" si="8"/>
        <v>59.042844000000002</v>
      </c>
      <c r="O120" s="134">
        <f t="shared" si="8"/>
        <v>60.455578000000003</v>
      </c>
    </row>
    <row r="121" spans="1:23">
      <c r="A121" s="213"/>
      <c r="B121" s="122" t="s">
        <v>9</v>
      </c>
      <c r="C121" s="116">
        <f>HLOOKUP(C$117,$86:$101,5,FALSE)</f>
        <v>38.115422000000002</v>
      </c>
      <c r="D121" s="116">
        <f t="shared" ref="D121:O121" si="9">HLOOKUP(D$117,$86:$101,5,FALSE)</f>
        <v>38.690980000000003</v>
      </c>
      <c r="E121" s="116">
        <f t="shared" si="9"/>
        <v>18.871455999999998</v>
      </c>
      <c r="F121" s="116">
        <f t="shared" si="9"/>
        <v>15.480005999999999</v>
      </c>
      <c r="G121" s="116">
        <f t="shared" si="9"/>
        <v>11.535242</v>
      </c>
      <c r="H121" s="116">
        <f t="shared" si="9"/>
        <v>14.287936</v>
      </c>
      <c r="I121" s="116">
        <f t="shared" si="9"/>
        <v>12.016398000000001</v>
      </c>
      <c r="J121" s="116">
        <f t="shared" si="9"/>
        <v>16.590530000000001</v>
      </c>
      <c r="K121" s="116">
        <f t="shared" si="9"/>
        <v>16.923745</v>
      </c>
      <c r="L121" s="116">
        <f t="shared" si="9"/>
        <v>26.908525000000001</v>
      </c>
      <c r="M121" s="116">
        <f t="shared" si="9"/>
        <v>32.914068</v>
      </c>
      <c r="N121" s="116">
        <f t="shared" si="9"/>
        <v>59.770274999999998</v>
      </c>
      <c r="O121" s="134">
        <f t="shared" si="9"/>
        <v>67.567459999999997</v>
      </c>
    </row>
    <row r="122" spans="1:23" ht="14.25">
      <c r="A122" s="213"/>
      <c r="B122" s="122" t="s">
        <v>74</v>
      </c>
      <c r="C122" s="116">
        <f>HLOOKUP(C$117,$86:$101,6,FALSE)</f>
        <v>437.91378300000002</v>
      </c>
      <c r="D122" s="116">
        <f t="shared" ref="D122:O122" si="10">HLOOKUP(D$117,$86:$101,6,FALSE)</f>
        <v>367.24080800000002</v>
      </c>
      <c r="E122" s="116">
        <f t="shared" si="10"/>
        <v>312.10340600000001</v>
      </c>
      <c r="F122" s="116">
        <f t="shared" si="10"/>
        <v>305.43751500000002</v>
      </c>
      <c r="G122" s="116">
        <f t="shared" si="10"/>
        <v>332.59120100000001</v>
      </c>
      <c r="H122" s="116">
        <f t="shared" si="10"/>
        <v>350.08292499999999</v>
      </c>
      <c r="I122" s="116">
        <f t="shared" si="10"/>
        <v>298.62258500000002</v>
      </c>
      <c r="J122" s="116">
        <f t="shared" si="10"/>
        <v>331.00133499999998</v>
      </c>
      <c r="K122" s="116">
        <f t="shared" si="10"/>
        <v>307.42903200000001</v>
      </c>
      <c r="L122" s="116">
        <f t="shared" si="10"/>
        <v>317.55595499999998</v>
      </c>
      <c r="M122" s="116">
        <f t="shared" si="10"/>
        <v>367.58788099999998</v>
      </c>
      <c r="N122" s="116">
        <f t="shared" si="10"/>
        <v>396.959791</v>
      </c>
      <c r="O122" s="134">
        <f t="shared" si="10"/>
        <v>456.377207</v>
      </c>
    </row>
    <row r="123" spans="1:23">
      <c r="A123" s="213"/>
      <c r="B123" s="122" t="s">
        <v>24</v>
      </c>
      <c r="C123" s="116">
        <f>HLOOKUP(C$117,$86:$101,7,FALSE)</f>
        <v>3.834768</v>
      </c>
      <c r="D123" s="116">
        <f t="shared" ref="D123:O123" si="11">HLOOKUP(D$117,$86:$101,7,FALSE)</f>
        <v>2.0925159999999998</v>
      </c>
      <c r="E123" s="116">
        <f t="shared" si="11"/>
        <v>0.98881300000000005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2.6835830000000001</v>
      </c>
      <c r="O123" s="134">
        <f t="shared" si="11"/>
        <v>4.441192</v>
      </c>
    </row>
    <row r="124" spans="1:23">
      <c r="A124" s="213"/>
      <c r="B124" s="122" t="s">
        <v>5</v>
      </c>
      <c r="C124" s="116">
        <f>HLOOKUP(C$117,$86:$102,8,FALSE)</f>
        <v>0.20128099999999999</v>
      </c>
      <c r="D124" s="116">
        <f t="shared" ref="D124:O124" si="12">HLOOKUP(D$117,$86:$102,8,FALSE)</f>
        <v>0.27444800000000003</v>
      </c>
      <c r="E124" s="116">
        <f t="shared" si="12"/>
        <v>0.26974799999999999</v>
      </c>
      <c r="F124" s="116">
        <f t="shared" si="12"/>
        <v>6.1364000000000002E-2</v>
      </c>
      <c r="G124" s="116">
        <f t="shared" si="12"/>
        <v>0.10125000000000001</v>
      </c>
      <c r="H124" s="116">
        <f t="shared" si="12"/>
        <v>0.215638</v>
      </c>
      <c r="I124" s="116">
        <f t="shared" si="12"/>
        <v>0.22824</v>
      </c>
      <c r="J124" s="116">
        <f t="shared" si="12"/>
        <v>0.33845999999999998</v>
      </c>
      <c r="K124" s="116">
        <f t="shared" si="12"/>
        <v>0.239788</v>
      </c>
      <c r="L124" s="116">
        <f t="shared" si="12"/>
        <v>0.16079099999999999</v>
      </c>
      <c r="M124" s="116">
        <f t="shared" si="12"/>
        <v>2.8254000000000001E-2</v>
      </c>
      <c r="N124" s="116">
        <f t="shared" si="12"/>
        <v>3.0289E-2</v>
      </c>
      <c r="O124" s="134">
        <f t="shared" si="12"/>
        <v>3.2219999999999999E-2</v>
      </c>
    </row>
    <row r="125" spans="1:23">
      <c r="A125" s="213"/>
      <c r="B125" s="122" t="s">
        <v>4</v>
      </c>
      <c r="C125" s="116">
        <f>HLOOKUP(C$117,$86:$102,9,FALSE)</f>
        <v>21.414781000000001</v>
      </c>
      <c r="D125" s="116">
        <f t="shared" ref="D125:O125" si="13">HLOOKUP(D$117,$86:$102,9,FALSE)</f>
        <v>17.622215000000001</v>
      </c>
      <c r="E125" s="116">
        <f t="shared" si="13"/>
        <v>16.792960999999998</v>
      </c>
      <c r="F125" s="116">
        <f t="shared" si="13"/>
        <v>8.8102359999999997</v>
      </c>
      <c r="G125" s="116">
        <f t="shared" si="13"/>
        <v>11.149039999999999</v>
      </c>
      <c r="H125" s="116">
        <f t="shared" si="13"/>
        <v>14.434640999999999</v>
      </c>
      <c r="I125" s="116">
        <f t="shared" si="13"/>
        <v>17.843508</v>
      </c>
      <c r="J125" s="116">
        <f t="shared" si="13"/>
        <v>13.692501999999999</v>
      </c>
      <c r="K125" s="116">
        <f t="shared" si="13"/>
        <v>22.081204</v>
      </c>
      <c r="L125" s="116">
        <f t="shared" si="13"/>
        <v>27.327051999999998</v>
      </c>
      <c r="M125" s="116">
        <f t="shared" si="13"/>
        <v>28.349565999999999</v>
      </c>
      <c r="N125" s="116">
        <f t="shared" si="13"/>
        <v>32.264840999999997</v>
      </c>
      <c r="O125" s="134">
        <f t="shared" si="13"/>
        <v>28.239802000000001</v>
      </c>
    </row>
    <row r="126" spans="1:23">
      <c r="A126" s="213"/>
      <c r="B126" s="123" t="s">
        <v>22</v>
      </c>
      <c r="C126" s="116">
        <f>HLOOKUP(C$117,$86:$102,10,FALSE)</f>
        <v>8.4413000000000002E-2</v>
      </c>
      <c r="D126" s="116">
        <f t="shared" ref="D126:O126" si="14">HLOOKUP(D$117,$86:$102,10,FALSE)</f>
        <v>8.1381999999999996E-2</v>
      </c>
      <c r="E126" s="116">
        <f t="shared" si="14"/>
        <v>0.243059</v>
      </c>
      <c r="F126" s="116">
        <f t="shared" si="14"/>
        <v>0.24007600000000001</v>
      </c>
      <c r="G126" s="116">
        <f t="shared" si="14"/>
        <v>0.230462</v>
      </c>
      <c r="H126" s="116">
        <f t="shared" si="14"/>
        <v>0.285244</v>
      </c>
      <c r="I126" s="116">
        <f t="shared" si="14"/>
        <v>0.28095199999999998</v>
      </c>
      <c r="J126" s="116">
        <f t="shared" si="14"/>
        <v>0.29118100000000002</v>
      </c>
      <c r="K126" s="116">
        <f t="shared" si="14"/>
        <v>0.16531499999999999</v>
      </c>
      <c r="L126" s="116">
        <f t="shared" si="14"/>
        <v>0.166327</v>
      </c>
      <c r="M126" s="116">
        <f t="shared" si="14"/>
        <v>0.111179</v>
      </c>
      <c r="N126" s="116">
        <f t="shared" si="14"/>
        <v>9.5128000000000004E-2</v>
      </c>
      <c r="O126" s="134">
        <f t="shared" si="14"/>
        <v>5.6752999999999998E-2</v>
      </c>
    </row>
    <row r="127" spans="1:23">
      <c r="A127" s="213"/>
      <c r="B127" s="123" t="s">
        <v>23</v>
      </c>
      <c r="C127" s="116">
        <f>HLOOKUP(C$117,$86:$102,11,FALSE)</f>
        <v>3.9309270000000001</v>
      </c>
      <c r="D127" s="116">
        <f t="shared" ref="D127:O127" si="15">HLOOKUP(D$117,$86:$102,11,FALSE)</f>
        <v>3.8190279999999999</v>
      </c>
      <c r="E127" s="116">
        <f t="shared" si="15"/>
        <v>4.0205719999999996</v>
      </c>
      <c r="F127" s="116">
        <f t="shared" si="15"/>
        <v>1.4121680000000001</v>
      </c>
      <c r="G127" s="116">
        <f t="shared" si="15"/>
        <v>3.5189080000000001</v>
      </c>
      <c r="H127" s="116">
        <f t="shared" si="15"/>
        <v>3.4010050000000001</v>
      </c>
      <c r="I127" s="116">
        <f t="shared" si="15"/>
        <v>3.0684070000000001</v>
      </c>
      <c r="J127" s="116">
        <f t="shared" si="15"/>
        <v>3.993204</v>
      </c>
      <c r="K127" s="116">
        <f t="shared" si="15"/>
        <v>1.8386769999999999</v>
      </c>
      <c r="L127" s="116">
        <f t="shared" si="15"/>
        <v>1.9461250000000001</v>
      </c>
      <c r="M127" s="116">
        <f t="shared" si="15"/>
        <v>1.5363420000000001</v>
      </c>
      <c r="N127" s="116">
        <f t="shared" si="15"/>
        <v>1.1719729999999999</v>
      </c>
      <c r="O127" s="134">
        <f t="shared" si="15"/>
        <v>5.1333999999999998E-2</v>
      </c>
    </row>
    <row r="128" spans="1:23">
      <c r="A128" s="213"/>
      <c r="B128" s="122" t="s">
        <v>55</v>
      </c>
      <c r="C128" s="116">
        <f t="shared" ref="C128:O128" si="16">HLOOKUP(C$117,$86:$102,13,FALSE)</f>
        <v>13.3199895</v>
      </c>
      <c r="D128" s="116">
        <f t="shared" si="16"/>
        <v>11.972504499999999</v>
      </c>
      <c r="E128" s="116">
        <f t="shared" si="16"/>
        <v>6.4146000000000001</v>
      </c>
      <c r="F128" s="116">
        <f t="shared" si="16"/>
        <v>13.8683715</v>
      </c>
      <c r="G128" s="116">
        <f t="shared" si="16"/>
        <v>8.8660929999999993</v>
      </c>
      <c r="H128" s="116">
        <f t="shared" si="16"/>
        <v>9.8711500000000001</v>
      </c>
      <c r="I128" s="116">
        <f t="shared" si="16"/>
        <v>5.4414375000000001</v>
      </c>
      <c r="J128" s="116">
        <f t="shared" si="16"/>
        <v>9.6633200000000006</v>
      </c>
      <c r="K128" s="116">
        <f t="shared" si="16"/>
        <v>7.8050050000000004</v>
      </c>
      <c r="L128" s="116">
        <f t="shared" si="16"/>
        <v>11.846121999999999</v>
      </c>
      <c r="M128" s="116">
        <f t="shared" si="16"/>
        <v>13.186323</v>
      </c>
      <c r="N128" s="116">
        <f t="shared" si="16"/>
        <v>16.1606655</v>
      </c>
      <c r="O128" s="134">
        <f t="shared" si="16"/>
        <v>13.6723105</v>
      </c>
    </row>
    <row r="129" spans="1:15">
      <c r="A129" s="213"/>
      <c r="B129" s="122" t="s">
        <v>54</v>
      </c>
      <c r="C129" s="116">
        <f>HLOOKUP(C$117,$86:$102,12,FALSE)</f>
        <v>13.3199895</v>
      </c>
      <c r="D129" s="116">
        <f t="shared" ref="D129:O129" si="17">HLOOKUP(D$117,$86:$102,12,FALSE)</f>
        <v>11.972504499999999</v>
      </c>
      <c r="E129" s="116">
        <f t="shared" si="17"/>
        <v>6.4146000000000001</v>
      </c>
      <c r="F129" s="116">
        <f t="shared" si="17"/>
        <v>13.8683715</v>
      </c>
      <c r="G129" s="116">
        <f t="shared" si="17"/>
        <v>8.8660929999999993</v>
      </c>
      <c r="H129" s="116">
        <f t="shared" si="17"/>
        <v>9.8711500000000001</v>
      </c>
      <c r="I129" s="116">
        <f t="shared" si="17"/>
        <v>5.4414375000000001</v>
      </c>
      <c r="J129" s="116">
        <f t="shared" si="17"/>
        <v>9.6633200000000006</v>
      </c>
      <c r="K129" s="116">
        <f t="shared" si="17"/>
        <v>7.8050050000000004</v>
      </c>
      <c r="L129" s="116">
        <f t="shared" si="17"/>
        <v>11.846121999999999</v>
      </c>
      <c r="M129" s="116">
        <f t="shared" si="17"/>
        <v>13.186323</v>
      </c>
      <c r="N129" s="116">
        <f t="shared" si="17"/>
        <v>16.1606655</v>
      </c>
      <c r="O129" s="134">
        <f t="shared" si="17"/>
        <v>13.6723105</v>
      </c>
    </row>
    <row r="130" spans="1:15">
      <c r="A130" s="213"/>
      <c r="B130" s="124" t="s">
        <v>2</v>
      </c>
      <c r="C130" s="125">
        <f>HLOOKUP(C$117,$86:$102,14,FALSE)</f>
        <v>592.49763099999996</v>
      </c>
      <c r="D130" s="125">
        <f t="shared" ref="D130:O130" si="18">HLOOKUP(D$117,$86:$102,14,FALSE)</f>
        <v>506.01889399999999</v>
      </c>
      <c r="E130" s="125">
        <f t="shared" si="18"/>
        <v>406.24318799999998</v>
      </c>
      <c r="F130" s="125">
        <f t="shared" si="18"/>
        <v>380.16221400000001</v>
      </c>
      <c r="G130" s="125">
        <f t="shared" si="18"/>
        <v>403.03980200000001</v>
      </c>
      <c r="H130" s="125">
        <f t="shared" si="18"/>
        <v>433.75098600000001</v>
      </c>
      <c r="I130" s="125">
        <f t="shared" si="18"/>
        <v>369.647919</v>
      </c>
      <c r="J130" s="125">
        <f t="shared" si="18"/>
        <v>411.19226900000001</v>
      </c>
      <c r="K130" s="125">
        <f t="shared" si="18"/>
        <v>402.265918</v>
      </c>
      <c r="L130" s="125">
        <f t="shared" si="18"/>
        <v>439.86110200000002</v>
      </c>
      <c r="M130" s="125">
        <f t="shared" si="18"/>
        <v>539.02598899999998</v>
      </c>
      <c r="N130" s="125">
        <f t="shared" si="18"/>
        <v>634.529223</v>
      </c>
      <c r="O130" s="135">
        <f t="shared" si="18"/>
        <v>649.83148200000005</v>
      </c>
    </row>
    <row r="131" spans="1:15">
      <c r="A131" s="213"/>
      <c r="B131" s="122" t="s">
        <v>21</v>
      </c>
      <c r="C131" s="126">
        <f>HLOOKUP(C$117,$86:$102,15,FALSE)</f>
        <v>40.107311000000003</v>
      </c>
      <c r="D131" s="126">
        <f t="shared" ref="D131:O131" si="19">HLOOKUP(D$117,$86:$102,15,FALSE)</f>
        <v>37.549396999999999</v>
      </c>
      <c r="E131" s="126">
        <f t="shared" si="19"/>
        <v>38.285525</v>
      </c>
      <c r="F131" s="126">
        <f t="shared" si="19"/>
        <v>28.435708999999999</v>
      </c>
      <c r="G131" s="126">
        <f t="shared" si="19"/>
        <v>32.270831999999999</v>
      </c>
      <c r="H131" s="126">
        <f t="shared" si="19"/>
        <v>31.159338999999999</v>
      </c>
      <c r="I131" s="126">
        <f t="shared" si="19"/>
        <v>27.502502</v>
      </c>
      <c r="J131" s="126">
        <f t="shared" si="19"/>
        <v>30.689281000000001</v>
      </c>
      <c r="K131" s="126">
        <f t="shared" si="19"/>
        <v>33.641058999999998</v>
      </c>
      <c r="L131" s="126">
        <f t="shared" si="19"/>
        <v>32.047055999999998</v>
      </c>
      <c r="M131" s="126">
        <f t="shared" si="19"/>
        <v>35.225064000000003</v>
      </c>
      <c r="N131" s="126">
        <f t="shared" si="19"/>
        <v>67.033137999999994</v>
      </c>
      <c r="O131" s="126">
        <f t="shared" si="19"/>
        <v>77.653036</v>
      </c>
    </row>
    <row r="132" spans="1:15">
      <c r="A132" s="213"/>
      <c r="B132" s="127" t="s">
        <v>1</v>
      </c>
      <c r="C132" s="128">
        <f>HLOOKUP(C$117,$86:$102,16,FALSE)</f>
        <v>632.60494200000005</v>
      </c>
      <c r="D132" s="128">
        <f t="shared" ref="D132:O132" si="20">HLOOKUP(D$117,$86:$102,16,FALSE)</f>
        <v>543.56829100000004</v>
      </c>
      <c r="E132" s="128">
        <f t="shared" si="20"/>
        <v>444.52871299999998</v>
      </c>
      <c r="F132" s="128">
        <f t="shared" si="20"/>
        <v>408.59792299999998</v>
      </c>
      <c r="G132" s="128">
        <f t="shared" si="20"/>
        <v>435.31063399999999</v>
      </c>
      <c r="H132" s="128">
        <f t="shared" si="20"/>
        <v>464.910325</v>
      </c>
      <c r="I132" s="128">
        <f t="shared" si="20"/>
        <v>397.15042099999999</v>
      </c>
      <c r="J132" s="128">
        <f t="shared" si="20"/>
        <v>441.88155</v>
      </c>
      <c r="K132" s="128">
        <f t="shared" si="20"/>
        <v>435.90697699999998</v>
      </c>
      <c r="L132" s="128">
        <f t="shared" si="20"/>
        <v>471.90815800000001</v>
      </c>
      <c r="M132" s="128">
        <f t="shared" si="20"/>
        <v>574.25105299999996</v>
      </c>
      <c r="N132" s="128">
        <f t="shared" si="20"/>
        <v>701.56236100000001</v>
      </c>
      <c r="O132" s="128">
        <f t="shared" si="20"/>
        <v>727.48451799999998</v>
      </c>
    </row>
    <row r="133" spans="1:15" ht="14.25">
      <c r="A133" s="214"/>
      <c r="B133" s="136" t="s">
        <v>75</v>
      </c>
      <c r="C133" s="137">
        <f>C120+C121+C123</f>
        <v>103.041223</v>
      </c>
      <c r="D133" s="137">
        <f>D120+D121+D123</f>
        <v>93.585977999999997</v>
      </c>
      <c r="E133" s="137">
        <f t="shared" ref="E133:O133" si="21">E120+E121+E123</f>
        <v>60.567518999999997</v>
      </c>
      <c r="F133" s="137">
        <f t="shared" si="21"/>
        <v>37.046178999999995</v>
      </c>
      <c r="G133" s="137">
        <f t="shared" si="21"/>
        <v>38.331002999999995</v>
      </c>
      <c r="H133" s="137">
        <f t="shared" si="21"/>
        <v>46.216700000000003</v>
      </c>
      <c r="I133" s="137">
        <f t="shared" si="21"/>
        <v>39.301479</v>
      </c>
      <c r="J133" s="137">
        <f t="shared" si="21"/>
        <v>43.217820000000003</v>
      </c>
      <c r="K133" s="137">
        <f t="shared" si="21"/>
        <v>55.506872999999999</v>
      </c>
      <c r="L133" s="137">
        <f t="shared" si="21"/>
        <v>70.042845</v>
      </c>
      <c r="M133" s="137">
        <f t="shared" si="21"/>
        <v>85.898263999999998</v>
      </c>
      <c r="N133" s="137">
        <f t="shared" si="21"/>
        <v>121.496702</v>
      </c>
      <c r="O133" s="137">
        <f t="shared" si="21"/>
        <v>132.46422999999999</v>
      </c>
    </row>
    <row r="134" spans="1:15">
      <c r="A134" s="212" t="s">
        <v>77</v>
      </c>
      <c r="B134" s="138" t="s">
        <v>73</v>
      </c>
      <c r="C134" s="120" t="str">
        <f>TEXT(EDATE($A$2,-12),"mmm")&amp;".-"&amp;TEXT(EDATE($A$2,-12),"aa")</f>
        <v>ago.-21</v>
      </c>
      <c r="D134" s="120" t="str">
        <f>TEXT(EDATE($A$2,-11),"mmm")&amp;".-"&amp;TEXT(EDATE($A$2,-11),"aa")</f>
        <v>sep.-21</v>
      </c>
      <c r="E134" s="120" t="str">
        <f>TEXT(EDATE($A$2,-10),"mmm")&amp;".-"&amp;TEXT(EDATE($A$2,-10),"aa")</f>
        <v>oct.-21</v>
      </c>
      <c r="F134" s="120" t="str">
        <f>TEXT(EDATE($A$2,-9),"mmm")&amp;".-"&amp;TEXT(EDATE($A$2,-9),"aa")</f>
        <v>nov.-21</v>
      </c>
      <c r="G134" s="120" t="str">
        <f>TEXT(EDATE($A$2,-8),"mmm")&amp;".-"&amp;TEXT(EDATE($A$2,-8),"aa")</f>
        <v>dic.-21</v>
      </c>
      <c r="H134" s="120" t="str">
        <f>TEXT(EDATE($A$2,-7),"mmm")&amp;".-"&amp;TEXT(EDATE($A$2,-7),"aa")</f>
        <v>ene.-22</v>
      </c>
      <c r="I134" s="120" t="str">
        <f>TEXT(EDATE($A$2,-6),"mmm")&amp;".-"&amp;TEXT(EDATE($A$2,-6),"aa")</f>
        <v>feb.-22</v>
      </c>
      <c r="J134" s="120" t="str">
        <f>TEXT(EDATE($A$2,-5),"mmm")&amp;".-"&amp;TEXT(EDATE($A$2,-5),"aa")</f>
        <v>mar.-22</v>
      </c>
      <c r="K134" s="120" t="str">
        <f>TEXT(EDATE($A$2,-4),"mmm")&amp;".-"&amp;TEXT(EDATE($A$2,-4),"aa")</f>
        <v>abr.-22</v>
      </c>
      <c r="L134" s="120" t="str">
        <f>TEXT(EDATE($A$2,-3),"mmm")&amp;".-"&amp;TEXT(EDATE($A$2,-3),"aa")</f>
        <v>may.-22</v>
      </c>
      <c r="M134" s="120" t="str">
        <f>TEXT(EDATE($A$2,-2),"mmm")&amp;".-"&amp;TEXT(EDATE($A$2,-2),"aa")</f>
        <v>jun.-22</v>
      </c>
      <c r="N134" s="120" t="str">
        <f>TEXT(EDATE($A$2,-1),"mmm")&amp;".-"&amp;TEXT(EDATE($A$2,-1),"aa")</f>
        <v>jul.-22</v>
      </c>
      <c r="O134" s="121" t="str">
        <f>TEXT($A$2,"mmm")&amp;".-"&amp;TEXT($A$2,"aa")</f>
        <v>ago.-22</v>
      </c>
    </row>
    <row r="135" spans="1:15" ht="15" customHeight="1">
      <c r="A135" s="213"/>
      <c r="B135" s="122" t="s">
        <v>12</v>
      </c>
      <c r="C135" s="116">
        <f>HLOOKUP(C$117,$86:$115,17,FALSE)</f>
        <v>0.28065899999999999</v>
      </c>
      <c r="D135" s="116">
        <f t="shared" ref="D135:O135" si="22">HLOOKUP(D$117,$86:$115,17,FALSE)</f>
        <v>0.27753299999999997</v>
      </c>
      <c r="E135" s="116">
        <f t="shared" si="22"/>
        <v>0.28213100000000002</v>
      </c>
      <c r="F135" s="116">
        <f t="shared" si="22"/>
        <v>0.23125799999999999</v>
      </c>
      <c r="G135" s="116">
        <f t="shared" si="22"/>
        <v>0.15536</v>
      </c>
      <c r="H135" s="116">
        <f t="shared" si="22"/>
        <v>0.294213</v>
      </c>
      <c r="I135" s="116">
        <f t="shared" si="22"/>
        <v>0.25058200000000003</v>
      </c>
      <c r="J135" s="116">
        <f t="shared" si="22"/>
        <v>0.29644599999999999</v>
      </c>
      <c r="K135" s="116">
        <f t="shared" si="22"/>
        <v>0.27407199999999998</v>
      </c>
      <c r="L135" s="116">
        <f t="shared" si="22"/>
        <v>0.29880499999999999</v>
      </c>
      <c r="M135" s="116">
        <f t="shared" si="22"/>
        <v>0.28138299999999999</v>
      </c>
      <c r="N135" s="116">
        <f t="shared" si="22"/>
        <v>0.29436099999999998</v>
      </c>
      <c r="O135" s="160">
        <f t="shared" si="22"/>
        <v>0.29274699999999998</v>
      </c>
    </row>
    <row r="136" spans="1:15">
      <c r="A136" s="213"/>
      <c r="B136" s="122" t="s">
        <v>10</v>
      </c>
      <c r="C136" s="116">
        <f>HLOOKUP(C$117,$86:$115,18,FALSE)</f>
        <v>156.76768200000001</v>
      </c>
      <c r="D136" s="116">
        <f t="shared" ref="D136:O136" si="23">HLOOKUP(D$117,$86:$115,18,FALSE)</f>
        <v>167.979367</v>
      </c>
      <c r="E136" s="116">
        <f t="shared" si="23"/>
        <v>160.016738</v>
      </c>
      <c r="F136" s="116">
        <f t="shared" si="23"/>
        <v>150.664601</v>
      </c>
      <c r="G136" s="116">
        <f t="shared" si="23"/>
        <v>156.43285700000001</v>
      </c>
      <c r="H136" s="116">
        <f t="shared" si="23"/>
        <v>144.976482</v>
      </c>
      <c r="I136" s="116">
        <f t="shared" si="23"/>
        <v>129.27893900000001</v>
      </c>
      <c r="J136" s="116">
        <f t="shared" si="23"/>
        <v>148.836814</v>
      </c>
      <c r="K136" s="116">
        <f t="shared" si="23"/>
        <v>137.06189800000001</v>
      </c>
      <c r="L136" s="116">
        <f t="shared" si="23"/>
        <v>142.20011299999999</v>
      </c>
      <c r="M136" s="116">
        <f t="shared" si="23"/>
        <v>140.17607899999999</v>
      </c>
      <c r="N136" s="116">
        <f t="shared" si="23"/>
        <v>145.16304500000001</v>
      </c>
      <c r="O136" s="134">
        <f t="shared" si="23"/>
        <v>144.446313</v>
      </c>
    </row>
    <row r="137" spans="1:15">
      <c r="A137" s="213"/>
      <c r="B137" s="122" t="s">
        <v>9</v>
      </c>
      <c r="C137" s="116">
        <f>HLOOKUP(C$117,$86:$115,19,FALSE)</f>
        <v>9.7369489999999992</v>
      </c>
      <c r="D137" s="116">
        <f t="shared" ref="D137:O137" si="24">HLOOKUP(D$117,$86:$115,19,FALSE)</f>
        <v>32.625571999999998</v>
      </c>
      <c r="E137" s="116">
        <f t="shared" si="24"/>
        <v>27.415593999999999</v>
      </c>
      <c r="F137" s="116">
        <f t="shared" si="24"/>
        <v>14.576139</v>
      </c>
      <c r="G137" s="116">
        <f t="shared" si="24"/>
        <v>17.516629999999999</v>
      </c>
      <c r="H137" s="116">
        <f t="shared" si="24"/>
        <v>20.123602000000002</v>
      </c>
      <c r="I137" s="116">
        <f t="shared" si="24"/>
        <v>22.305457000000001</v>
      </c>
      <c r="J137" s="116">
        <f t="shared" si="24"/>
        <v>22.266936999999999</v>
      </c>
      <c r="K137" s="116">
        <f t="shared" si="24"/>
        <v>17.593667</v>
      </c>
      <c r="L137" s="116">
        <f t="shared" si="24"/>
        <v>15.375764</v>
      </c>
      <c r="M137" s="116">
        <f t="shared" si="24"/>
        <v>14.745189</v>
      </c>
      <c r="N137" s="116">
        <f t="shared" si="24"/>
        <v>19.947948</v>
      </c>
      <c r="O137" s="134">
        <f t="shared" si="24"/>
        <v>17.951955999999999</v>
      </c>
    </row>
    <row r="138" spans="1:15">
      <c r="A138" s="213"/>
      <c r="B138" s="122" t="s">
        <v>8</v>
      </c>
      <c r="C138" s="116">
        <f>HLOOKUP(C$117,$86:$115,20,FALSE)</f>
        <v>99.644189999999995</v>
      </c>
      <c r="D138" s="116">
        <f t="shared" ref="D138:O138" si="25">HLOOKUP(D$117,$86:$115,20,FALSE)</f>
        <v>113.210213</v>
      </c>
      <c r="E138" s="116">
        <f t="shared" si="25"/>
        <v>112.484255</v>
      </c>
      <c r="F138" s="116">
        <f t="shared" si="25"/>
        <v>115.10042799999999</v>
      </c>
      <c r="G138" s="116">
        <f t="shared" si="25"/>
        <v>112.90636000000001</v>
      </c>
      <c r="H138" s="116">
        <f t="shared" si="25"/>
        <v>117.422501</v>
      </c>
      <c r="I138" s="116">
        <f t="shared" si="25"/>
        <v>102.630663</v>
      </c>
      <c r="J138" s="116">
        <f t="shared" si="25"/>
        <v>114.385115</v>
      </c>
      <c r="K138" s="116">
        <f t="shared" si="25"/>
        <v>103.636366</v>
      </c>
      <c r="L138" s="116">
        <f t="shared" si="25"/>
        <v>86.849653000000004</v>
      </c>
      <c r="M138" s="116">
        <f t="shared" si="25"/>
        <v>60.625902000000004</v>
      </c>
      <c r="N138" s="116">
        <f t="shared" si="25"/>
        <v>73.213599000000002</v>
      </c>
      <c r="O138" s="134">
        <f t="shared" si="25"/>
        <v>102.417012</v>
      </c>
    </row>
    <row r="139" spans="1:15" ht="14.25">
      <c r="A139" s="213"/>
      <c r="B139" s="122" t="s">
        <v>74</v>
      </c>
      <c r="C139" s="116">
        <f>HLOOKUP(C$117,$86:$115,21,FALSE)</f>
        <v>284.30052499999999</v>
      </c>
      <c r="D139" s="116">
        <f t="shared" ref="D139:O139" si="26">HLOOKUP(D$117,$86:$115,21,FALSE)</f>
        <v>278.88830000000002</v>
      </c>
      <c r="E139" s="116">
        <f t="shared" si="26"/>
        <v>288.42916700000001</v>
      </c>
      <c r="F139" s="116">
        <f t="shared" si="26"/>
        <v>314.272829</v>
      </c>
      <c r="G139" s="116">
        <f t="shared" si="26"/>
        <v>321.01253800000001</v>
      </c>
      <c r="H139" s="116">
        <f t="shared" si="26"/>
        <v>350.31383599999998</v>
      </c>
      <c r="I139" s="116">
        <f t="shared" si="26"/>
        <v>285.33313399999997</v>
      </c>
      <c r="J139" s="116">
        <f t="shared" si="26"/>
        <v>288.5179</v>
      </c>
      <c r="K139" s="116">
        <f t="shared" si="26"/>
        <v>265.37271800000002</v>
      </c>
      <c r="L139" s="116">
        <f t="shared" si="26"/>
        <v>303.45663500000001</v>
      </c>
      <c r="M139" s="116">
        <f t="shared" si="26"/>
        <v>283.58392400000002</v>
      </c>
      <c r="N139" s="116">
        <f t="shared" si="26"/>
        <v>295.51749599999999</v>
      </c>
      <c r="O139" s="134">
        <f t="shared" si="26"/>
        <v>269.79137200000002</v>
      </c>
    </row>
    <row r="140" spans="1:15">
      <c r="A140" s="213"/>
      <c r="B140" s="122" t="s">
        <v>6</v>
      </c>
      <c r="C140" s="116">
        <f>HLOOKUP(C$117,$86:$115,22,FALSE)</f>
        <v>2.663478</v>
      </c>
      <c r="D140" s="116">
        <f t="shared" ref="D140:O140" si="27">HLOOKUP(D$117,$86:$115,22,FALSE)</f>
        <v>1.4201079999999999</v>
      </c>
      <c r="E140" s="116">
        <f t="shared" si="27"/>
        <v>1.852679</v>
      </c>
      <c r="F140" s="116">
        <f t="shared" si="27"/>
        <v>1.1397900000000001</v>
      </c>
      <c r="G140" s="116">
        <f t="shared" si="27"/>
        <v>1.2278610000000001</v>
      </c>
      <c r="H140" s="116">
        <f t="shared" si="27"/>
        <v>1.110916</v>
      </c>
      <c r="I140" s="116">
        <f t="shared" si="27"/>
        <v>1.4820450000000001</v>
      </c>
      <c r="J140" s="116">
        <f t="shared" si="27"/>
        <v>2.1263230000000002</v>
      </c>
      <c r="K140" s="116">
        <f t="shared" si="27"/>
        <v>1.7525280000000001</v>
      </c>
      <c r="L140" s="116">
        <f t="shared" si="27"/>
        <v>1.9171739999999999</v>
      </c>
      <c r="M140" s="116">
        <f t="shared" si="27"/>
        <v>2.44956</v>
      </c>
      <c r="N140" s="116">
        <f t="shared" si="27"/>
        <v>3.5629430000000002</v>
      </c>
      <c r="O140" s="134">
        <f t="shared" si="27"/>
        <v>3.5176750000000001</v>
      </c>
    </row>
    <row r="141" spans="1:15">
      <c r="A141" s="213"/>
      <c r="B141" s="122" t="s">
        <v>5</v>
      </c>
      <c r="C141" s="116">
        <f>HLOOKUP(C$117,$86:$115,23,FALSE)</f>
        <v>145.95032699999999</v>
      </c>
      <c r="D141" s="116">
        <f t="shared" ref="D141:O141" si="28">HLOOKUP(D$117,$86:$115,23,FALSE)</f>
        <v>107.853368</v>
      </c>
      <c r="E141" s="116">
        <f t="shared" si="28"/>
        <v>121.987015</v>
      </c>
      <c r="F141" s="116">
        <f t="shared" si="28"/>
        <v>91.770038</v>
      </c>
      <c r="G141" s="116">
        <f t="shared" si="28"/>
        <v>92.867580000000004</v>
      </c>
      <c r="H141" s="116">
        <f t="shared" si="28"/>
        <v>60.136758999999998</v>
      </c>
      <c r="I141" s="116">
        <f t="shared" si="28"/>
        <v>88.981584999999995</v>
      </c>
      <c r="J141" s="116">
        <f t="shared" si="28"/>
        <v>109.43612899999999</v>
      </c>
      <c r="K141" s="116">
        <f t="shared" si="28"/>
        <v>120.763114</v>
      </c>
      <c r="L141" s="116">
        <f t="shared" si="28"/>
        <v>116.774248</v>
      </c>
      <c r="M141" s="116">
        <f t="shared" si="28"/>
        <v>159.31650500000001</v>
      </c>
      <c r="N141" s="116">
        <f t="shared" si="28"/>
        <v>180.24268000000001</v>
      </c>
      <c r="O141" s="134">
        <f t="shared" si="28"/>
        <v>183.67649499999999</v>
      </c>
    </row>
    <row r="142" spans="1:15">
      <c r="A142" s="213"/>
      <c r="B142" s="122" t="s">
        <v>4</v>
      </c>
      <c r="C142" s="116">
        <f>HLOOKUP(C$117,$86:$115,24,FALSE)</f>
        <v>26.120768999999999</v>
      </c>
      <c r="D142" s="116">
        <f t="shared" ref="D142:O142" si="29">HLOOKUP(D$117,$86:$115,24,FALSE)</f>
        <v>21.565273000000001</v>
      </c>
      <c r="E142" s="116">
        <f t="shared" si="29"/>
        <v>20.979474</v>
      </c>
      <c r="F142" s="116">
        <f t="shared" si="29"/>
        <v>14.946410999999999</v>
      </c>
      <c r="G142" s="116">
        <f t="shared" si="29"/>
        <v>16.937016</v>
      </c>
      <c r="H142" s="116">
        <f t="shared" si="29"/>
        <v>18.038699999999999</v>
      </c>
      <c r="I142" s="116">
        <f t="shared" si="29"/>
        <v>18.798999999999999</v>
      </c>
      <c r="J142" s="116">
        <f t="shared" si="29"/>
        <v>24.968492999999999</v>
      </c>
      <c r="K142" s="116">
        <f t="shared" si="29"/>
        <v>25.164787</v>
      </c>
      <c r="L142" s="116">
        <f t="shared" si="29"/>
        <v>32.867409000000002</v>
      </c>
      <c r="M142" s="116">
        <f t="shared" si="29"/>
        <v>30.518813000000002</v>
      </c>
      <c r="N142" s="116">
        <f t="shared" si="29"/>
        <v>34.107903</v>
      </c>
      <c r="O142" s="134">
        <f t="shared" si="29"/>
        <v>31.953105999999998</v>
      </c>
    </row>
    <row r="143" spans="1:15">
      <c r="A143" s="213"/>
      <c r="B143" s="122" t="s">
        <v>22</v>
      </c>
      <c r="C143" s="116">
        <f>HLOOKUP(C$117,$86:$115,25,FALSE)</f>
        <v>0.56980699999999995</v>
      </c>
      <c r="D143" s="116">
        <f t="shared" ref="D143:O143" si="30">HLOOKUP(D$117,$86:$115,25,FALSE)</f>
        <v>0.40013300000000002</v>
      </c>
      <c r="E143" s="116">
        <f t="shared" si="30"/>
        <v>0.75599700000000003</v>
      </c>
      <c r="F143" s="116">
        <f t="shared" si="30"/>
        <v>0.75323799999999996</v>
      </c>
      <c r="G143" s="116">
        <f t="shared" si="30"/>
        <v>0.822349</v>
      </c>
      <c r="H143" s="116">
        <f t="shared" si="30"/>
        <v>0.86053100000000005</v>
      </c>
      <c r="I143" s="116">
        <f t="shared" si="30"/>
        <v>0.72069799999999995</v>
      </c>
      <c r="J143" s="116">
        <f t="shared" si="30"/>
        <v>0.90984399999999999</v>
      </c>
      <c r="K143" s="116">
        <f t="shared" si="30"/>
        <v>0.61352399999999996</v>
      </c>
      <c r="L143" s="116">
        <f t="shared" si="30"/>
        <v>0.72146399999999999</v>
      </c>
      <c r="M143" s="116">
        <f t="shared" si="30"/>
        <v>0.696106</v>
      </c>
      <c r="N143" s="116">
        <f t="shared" si="30"/>
        <v>0.688222</v>
      </c>
      <c r="O143" s="134">
        <f t="shared" si="30"/>
        <v>0.71531400000000001</v>
      </c>
    </row>
    <row r="144" spans="1:15">
      <c r="A144" s="213"/>
      <c r="B144" s="127" t="s">
        <v>1</v>
      </c>
      <c r="C144" s="128">
        <f>HLOOKUP(C$117,$86:$115,27,FALSE)</f>
        <v>726.03438600000004</v>
      </c>
      <c r="D144" s="128">
        <f>HLOOKUP(D$117,$86:$115,27,FALSE)</f>
        <v>724.21986700000002</v>
      </c>
      <c r="E144" s="128">
        <f t="shared" ref="E144:O144" si="31">HLOOKUP(E$117,$86:$115,27,FALSE)</f>
        <v>734.20304999999996</v>
      </c>
      <c r="F144" s="128">
        <f t="shared" si="31"/>
        <v>703.45473200000004</v>
      </c>
      <c r="G144" s="128">
        <f t="shared" si="31"/>
        <v>719.87855100000002</v>
      </c>
      <c r="H144" s="128">
        <f t="shared" si="31"/>
        <v>713.27754000000004</v>
      </c>
      <c r="I144" s="128">
        <f t="shared" si="31"/>
        <v>649.78210300000001</v>
      </c>
      <c r="J144" s="128">
        <f t="shared" si="31"/>
        <v>711.74400100000003</v>
      </c>
      <c r="K144" s="128">
        <f t="shared" si="31"/>
        <v>672.23267399999997</v>
      </c>
      <c r="L144" s="128">
        <f t="shared" si="31"/>
        <v>700.46126500000003</v>
      </c>
      <c r="M144" s="128">
        <f t="shared" si="31"/>
        <v>692.393461</v>
      </c>
      <c r="N144" s="128">
        <f t="shared" si="31"/>
        <v>752.73042399999997</v>
      </c>
      <c r="O144" s="128">
        <f t="shared" si="31"/>
        <v>754.74978099999998</v>
      </c>
    </row>
    <row r="145" spans="1:26">
      <c r="A145" s="213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9"/>
    </row>
    <row r="146" spans="1:26" ht="14.25">
      <c r="A146" s="214"/>
      <c r="B146" s="136" t="s">
        <v>75</v>
      </c>
      <c r="C146" s="140">
        <f>SUM(C136:C138)</f>
        <v>266.148821</v>
      </c>
      <c r="D146" s="140">
        <f t="shared" ref="D146:O146" si="32">SUM(D136:D138)</f>
        <v>313.81515200000001</v>
      </c>
      <c r="E146" s="140">
        <f t="shared" si="32"/>
        <v>299.91658699999999</v>
      </c>
      <c r="F146" s="140">
        <f t="shared" si="32"/>
        <v>280.34116800000004</v>
      </c>
      <c r="G146" s="140">
        <f t="shared" si="32"/>
        <v>286.85584700000004</v>
      </c>
      <c r="H146" s="140">
        <f t="shared" si="32"/>
        <v>282.52258499999999</v>
      </c>
      <c r="I146" s="140">
        <f t="shared" si="32"/>
        <v>254.215059</v>
      </c>
      <c r="J146" s="140">
        <f t="shared" si="32"/>
        <v>285.48886599999997</v>
      </c>
      <c r="K146" s="140">
        <f t="shared" si="32"/>
        <v>258.29193100000003</v>
      </c>
      <c r="L146" s="140">
        <f t="shared" si="32"/>
        <v>244.42552999999998</v>
      </c>
      <c r="M146" s="140">
        <f t="shared" si="32"/>
        <v>215.54716999999999</v>
      </c>
      <c r="N146" s="140">
        <f t="shared" si="32"/>
        <v>238.324592</v>
      </c>
      <c r="O146" s="141">
        <f t="shared" si="32"/>
        <v>264.81528100000003</v>
      </c>
    </row>
    <row r="149" spans="1:26" ht="15">
      <c r="A149" s="173"/>
      <c r="B149" s="173" t="s">
        <v>68</v>
      </c>
      <c r="C149" s="211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3"/>
      <c r="B150" s="173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3" t="s">
        <v>67</v>
      </c>
      <c r="B151" s="173" t="s">
        <v>102</v>
      </c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5" t="s">
        <v>125</v>
      </c>
      <c r="B152" s="175" t="s">
        <v>126</v>
      </c>
      <c r="C152" s="182">
        <v>0.14998</v>
      </c>
      <c r="D152" s="182">
        <v>-2.7999999999999998E-4</v>
      </c>
      <c r="E152" s="182">
        <v>-2.401E-2</v>
      </c>
      <c r="F152" s="182">
        <v>0.17427000000000001</v>
      </c>
      <c r="G152" s="182">
        <v>0.14057</v>
      </c>
      <c r="H152" s="182">
        <v>2.63E-3</v>
      </c>
      <c r="I152" s="182">
        <v>-7.9000000000000001E-4</v>
      </c>
      <c r="J152" s="182">
        <v>0.13872999999999999</v>
      </c>
      <c r="K152" s="182">
        <v>0.14776</v>
      </c>
      <c r="L152" s="182">
        <v>1.1000000000000001E-3</v>
      </c>
      <c r="M152" s="182">
        <v>7.5399999999999998E-3</v>
      </c>
      <c r="N152" s="182">
        <v>0.13911999999999999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3"/>
      <c r="B155" s="173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3"/>
      <c r="B156" s="173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3" t="s">
        <v>67</v>
      </c>
      <c r="B157" s="173" t="s">
        <v>102</v>
      </c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5" t="s">
        <v>125</v>
      </c>
      <c r="B158" s="175" t="s">
        <v>126</v>
      </c>
      <c r="C158" s="182">
        <v>3.9550000000000002E-2</v>
      </c>
      <c r="D158" s="182">
        <v>6.7099999999999998E-3</v>
      </c>
      <c r="E158" s="182">
        <v>-2.3700000000000001E-3</v>
      </c>
      <c r="F158" s="182">
        <v>3.5209999999999998E-2</v>
      </c>
      <c r="G158" s="182">
        <v>9.0450000000000003E-2</v>
      </c>
      <c r="H158" s="182">
        <v>1.3600000000000001E-3</v>
      </c>
      <c r="I158" s="182">
        <v>1.1999999999999999E-3</v>
      </c>
      <c r="J158" s="182">
        <v>8.7889999999999996E-2</v>
      </c>
      <c r="K158" s="182">
        <v>8.5599999999999996E-2</v>
      </c>
      <c r="L158" s="182">
        <v>1.1E-4</v>
      </c>
      <c r="M158" s="182">
        <v>2.3000000000000001E-4</v>
      </c>
      <c r="N158" s="182">
        <v>8.5260000000000002E-2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W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Agosto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727.48451800000009</v>
      </c>
      <c r="G9" s="163">
        <f>Dat_01!T24*100</f>
        <v>14.998235030000002</v>
      </c>
      <c r="H9" s="83">
        <f>Dat_01!U24/1000</f>
        <v>4215.0553629999995</v>
      </c>
      <c r="I9" s="163">
        <f>Dat_01!W24*100</f>
        <v>14.05697088</v>
      </c>
      <c r="J9" s="83">
        <f>Dat_01!X24/1000</f>
        <v>6047.0609239999994</v>
      </c>
      <c r="K9" s="163">
        <f>Dat_01!Y24*100</f>
        <v>14.776072039999999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-2.7999999999999997E-2</v>
      </c>
      <c r="H12" s="103"/>
      <c r="I12" s="103">
        <f>Dat_01!H152*100</f>
        <v>0.26300000000000001</v>
      </c>
      <c r="J12" s="103"/>
      <c r="K12" s="103">
        <f>Dat_01!L152*100</f>
        <v>0.11</v>
      </c>
    </row>
    <row r="13" spans="3:12">
      <c r="E13" s="85" t="s">
        <v>42</v>
      </c>
      <c r="F13" s="84"/>
      <c r="G13" s="103">
        <f>Dat_01!E152*100</f>
        <v>-2.4009999999999998</v>
      </c>
      <c r="H13" s="103"/>
      <c r="I13" s="103">
        <f>Dat_01!I152*100</f>
        <v>-7.9000000000000001E-2</v>
      </c>
      <c r="J13" s="103"/>
      <c r="K13" s="103">
        <f>Dat_01!M152*100</f>
        <v>0.754</v>
      </c>
    </row>
    <row r="14" spans="3:12">
      <c r="E14" s="86" t="s">
        <v>43</v>
      </c>
      <c r="F14" s="87"/>
      <c r="G14" s="104">
        <f>Dat_01!F152*100</f>
        <v>17.427</v>
      </c>
      <c r="H14" s="104"/>
      <c r="I14" s="104">
        <f>Dat_01!J152*100</f>
        <v>13.872999999999999</v>
      </c>
      <c r="J14" s="104"/>
      <c r="K14" s="104">
        <f>Dat_01!N152*100</f>
        <v>13.911999999999999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  <row r="22" spans="7:11">
      <c r="G22" s="176"/>
      <c r="H22" s="176"/>
      <c r="I22" s="176"/>
      <c r="J22" s="176"/>
      <c r="K22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Agosto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754.74978099999998</v>
      </c>
      <c r="G9" s="163">
        <f>Dat_01!AB24*100</f>
        <v>3.9551012400000003</v>
      </c>
      <c r="H9" s="83">
        <f>Dat_01!AC24/1000</f>
        <v>5647.3712489999998</v>
      </c>
      <c r="I9" s="163">
        <f>Dat_01!AE24*100</f>
        <v>9.0451303599999999</v>
      </c>
      <c r="J9" s="83">
        <f>Dat_01!AF24/1000</f>
        <v>8529.1274489999996</v>
      </c>
      <c r="K9" s="163">
        <f>Dat_01!AG24*100</f>
        <v>8.5601620099999991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0.67099999999999993</v>
      </c>
      <c r="H12" s="103"/>
      <c r="I12" s="103">
        <f>Dat_01!H158*100</f>
        <v>0.13600000000000001</v>
      </c>
      <c r="J12" s="103"/>
      <c r="K12" s="103">
        <f>Dat_01!L158*100</f>
        <v>1.1000000000000001E-2</v>
      </c>
    </row>
    <row r="13" spans="3:12">
      <c r="E13" s="85" t="s">
        <v>42</v>
      </c>
      <c r="F13" s="84"/>
      <c r="G13" s="103">
        <f>Dat_01!E158*100</f>
        <v>-0.23700000000000002</v>
      </c>
      <c r="H13" s="103"/>
      <c r="I13" s="103">
        <f>Dat_01!I158*100</f>
        <v>0.12</v>
      </c>
      <c r="J13" s="103"/>
      <c r="K13" s="103">
        <f>Dat_01!M158*100</f>
        <v>2.3E-2</v>
      </c>
    </row>
    <row r="14" spans="3:12">
      <c r="E14" s="86" t="s">
        <v>43</v>
      </c>
      <c r="F14" s="87"/>
      <c r="G14" s="104">
        <f>Dat_01!F158*100</f>
        <v>3.5209999999999999</v>
      </c>
      <c r="H14" s="104"/>
      <c r="I14" s="104">
        <f>Dat_01!J158*100</f>
        <v>8.7889999999999997</v>
      </c>
      <c r="J14" s="104"/>
      <c r="K14" s="104">
        <f>Dat_01!N158*100</f>
        <v>8.5259999999999998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6"/>
      <c r="H19" s="176"/>
      <c r="I19" s="176"/>
      <c r="J19" s="176"/>
      <c r="K19" s="176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132</v>
      </c>
    </row>
    <row r="2" spans="1:2">
      <c r="A2" t="s">
        <v>127</v>
      </c>
    </row>
    <row r="3" spans="1:2">
      <c r="A3" t="s">
        <v>128</v>
      </c>
    </row>
    <row r="4" spans="1:2">
      <c r="A4" t="s">
        <v>130</v>
      </c>
    </row>
    <row r="5" spans="1:2">
      <c r="A5" t="s">
        <v>131</v>
      </c>
    </row>
    <row r="6" spans="1:2">
      <c r="A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Agosto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2" t="s">
        <v>3</v>
      </c>
      <c r="G9" s="17" t="s">
        <v>3</v>
      </c>
      <c r="H9" s="17">
        <f>Dat_01!Z8/1000</f>
        <v>0.29274700000000003</v>
      </c>
      <c r="I9" s="17">
        <f>IF(Dat_01!AB8*100=-100,"-",Dat_01!AB8*100)</f>
        <v>4.3070060100000003</v>
      </c>
      <c r="J9" s="152" t="s">
        <v>3</v>
      </c>
      <c r="K9" s="17" t="s">
        <v>3</v>
      </c>
      <c r="L9" s="152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2" t="s">
        <v>3</v>
      </c>
      <c r="G10" s="17" t="s">
        <v>3</v>
      </c>
      <c r="H10" s="152">
        <f>Dat_01!Z15/1000</f>
        <v>3.5176750000000001</v>
      </c>
      <c r="I10" s="17">
        <f>Dat_01!AB15*100</f>
        <v>32.070736080000003</v>
      </c>
      <c r="J10" s="152" t="s">
        <v>3</v>
      </c>
      <c r="K10" s="17" t="s">
        <v>3</v>
      </c>
      <c r="L10" s="152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3.2219999999999999E-2</v>
      </c>
      <c r="G11" s="17">
        <f>Dat_01!T16*100</f>
        <v>-83.992527859999996</v>
      </c>
      <c r="H11" s="152">
        <f>Dat_01!Z16/1000</f>
        <v>183.67649499999999</v>
      </c>
      <c r="I11" s="17">
        <f>Dat_01!AB16*100</f>
        <v>25.848635469999998</v>
      </c>
      <c r="J11" s="152" t="s">
        <v>3</v>
      </c>
      <c r="K11" s="17" t="s">
        <v>3</v>
      </c>
      <c r="L11" s="152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2">
        <f>Dat_01!R17/1000</f>
        <v>28.239802000000001</v>
      </c>
      <c r="G12" s="17">
        <f>Dat_01!T17*100</f>
        <v>31.870608439999998</v>
      </c>
      <c r="H12" s="152">
        <f>Dat_01!Z17/1000</f>
        <v>31.953105999999998</v>
      </c>
      <c r="I12" s="17">
        <f>Dat_01!AB17*100</f>
        <v>22.328351050000002</v>
      </c>
      <c r="J12" s="152" t="s">
        <v>3</v>
      </c>
      <c r="K12" s="17" t="s">
        <v>3</v>
      </c>
      <c r="L12" s="17">
        <f>Dat_01!J17/1000</f>
        <v>7.2950000000000003E-3</v>
      </c>
      <c r="M12" s="17">
        <f>IF(Dat_01!L17*100=-100,"-",Dat_01!L17*100)</f>
        <v>8.4435855499999999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5.6752999999999998E-2</v>
      </c>
      <c r="G13" s="17">
        <f>Dat_01!T18*100</f>
        <v>-32.76746473</v>
      </c>
      <c r="H13" s="152">
        <f>Dat_01!Z18/1000</f>
        <v>0.71531400000000001</v>
      </c>
      <c r="I13" s="17">
        <f>IF(Dat_01!AB18*100=-100,"-",Dat_01!AB18*100)</f>
        <v>25.536190320000003</v>
      </c>
      <c r="J13" s="152" t="s">
        <v>3</v>
      </c>
      <c r="K13" s="17" t="s">
        <v>3</v>
      </c>
      <c r="L13" s="152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2">
        <f>Dat_01!R21/1000</f>
        <v>13.6723105</v>
      </c>
      <c r="G14" s="17">
        <f>Dat_01!T21*100</f>
        <v>2.6450546400000001</v>
      </c>
      <c r="H14" s="152" t="s">
        <v>3</v>
      </c>
      <c r="I14" s="17" t="s">
        <v>3</v>
      </c>
      <c r="J14" s="152" t="s">
        <v>3</v>
      </c>
      <c r="K14" s="17" t="s">
        <v>3</v>
      </c>
      <c r="L14" s="17">
        <f>Dat_01!J21/1000</f>
        <v>0.50963900000000006</v>
      </c>
      <c r="M14" s="17">
        <f>Dat_01!L21*100</f>
        <v>6.2539287099999994</v>
      </c>
      <c r="N14" s="10"/>
      <c r="O14" s="10"/>
    </row>
    <row r="15" spans="3:23" s="2" customFormat="1" ht="12.75" customHeight="1">
      <c r="C15" s="13"/>
      <c r="E15" s="168" t="s">
        <v>80</v>
      </c>
      <c r="F15" s="171">
        <f>SUM(F9:F14)</f>
        <v>42.001085500000002</v>
      </c>
      <c r="G15" s="172">
        <f>((SUM(Dat_01!R8,Dat_01!R15:R18,Dat_01!R20)/SUM(Dat_01!S8,Dat_01!S15:S18,Dat_01!S20))-1)*100</f>
        <v>19.932976617143371</v>
      </c>
      <c r="H15" s="171">
        <f>SUM(H9:H14)</f>
        <v>220.15533699999997</v>
      </c>
      <c r="I15" s="172">
        <f>((SUM(Dat_01!Z8,Dat_01!Z15:Z18,Dat_01!Z20)/SUM(Dat_01!AA8,Dat_01!AA15:AA18,Dat_01!AA20))-1)*100</f>
        <v>25.383880654069401</v>
      </c>
      <c r="J15" s="171" t="s">
        <v>3</v>
      </c>
      <c r="K15" s="172" t="s">
        <v>3</v>
      </c>
      <c r="L15" s="172">
        <f>SUM(L9:L14)</f>
        <v>0.51693400000000012</v>
      </c>
      <c r="M15" s="172">
        <f>((SUM(Dat_01!J8,Dat_01!J15:J18,Dat_01!J21)/SUM(Dat_01!K8,Dat_01!K15:K18,Dat_01!K20))-1)*100</f>
        <v>6.2842139566728683</v>
      </c>
      <c r="N15" s="10"/>
      <c r="O15" s="10"/>
    </row>
    <row r="16" spans="3:23" s="7" customFormat="1" ht="12.75" customHeight="1">
      <c r="C16" s="23"/>
      <c r="E16" s="20" t="s">
        <v>11</v>
      </c>
      <c r="F16" s="152">
        <f>Dat_01!R9/1000</f>
        <v>5.2653149999999993</v>
      </c>
      <c r="G16" s="17">
        <f>Dat_01!T9*100</f>
        <v>-822.50725894999994</v>
      </c>
      <c r="H16" s="152" t="s">
        <v>3</v>
      </c>
      <c r="I16" s="17" t="s">
        <v>3</v>
      </c>
      <c r="J16" s="152" t="s">
        <v>3</v>
      </c>
      <c r="K16" s="17" t="s">
        <v>3</v>
      </c>
      <c r="L16" s="152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3">
        <f>SUM(Dat_01!R10,Dat_01!R14)/1000</f>
        <v>64.896770000000004</v>
      </c>
      <c r="G17" s="24">
        <f>((SUM(Dat_01!R10,Dat_01!R14)/SUM(Dat_01!S10,Dat_01!S14))-1)*100</f>
        <v>-4.4714119121924689E-2</v>
      </c>
      <c r="H17" s="153">
        <f>Dat_01!Z10/1000</f>
        <v>144.446313</v>
      </c>
      <c r="I17" s="24">
        <f>Dat_01!AB10*100</f>
        <v>-7.8596358899999998</v>
      </c>
      <c r="J17" s="153">
        <f>Dat_01!B10/1000</f>
        <v>16.822324000000002</v>
      </c>
      <c r="K17" s="24">
        <f>Dat_01!D10*100</f>
        <v>-5.4859670500000002</v>
      </c>
      <c r="L17" s="153">
        <f>Dat_01!J10/1000</f>
        <v>19.520316999999999</v>
      </c>
      <c r="M17" s="24">
        <f>Dat_01!L10*100</f>
        <v>0.78591601999999994</v>
      </c>
      <c r="N17" s="162"/>
      <c r="O17" s="161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3">
        <f>Dat_01!R11/1000</f>
        <v>67.567460000000011</v>
      </c>
      <c r="G18" s="24">
        <f>Dat_01!T11*100</f>
        <v>77.270659630000011</v>
      </c>
      <c r="H18" s="153">
        <f>Dat_01!Z11/1000</f>
        <v>17.951955999999999</v>
      </c>
      <c r="I18" s="24">
        <f>Dat_01!AB11*100</f>
        <v>84.369415919999994</v>
      </c>
      <c r="J18" s="153">
        <f>Dat_01!B11/1000</f>
        <v>5.1809999999999998E-3</v>
      </c>
      <c r="K18" s="24">
        <f>IF(Dat_01!D11=-100%,"-",Dat_01!D11*100)</f>
        <v>-83.411244879999998</v>
      </c>
      <c r="L18" s="153">
        <f>Dat_01!J11/1000</f>
        <v>3.0510000000000003E-3</v>
      </c>
      <c r="M18" s="24">
        <f>IF(Dat_01!L11*100=-100,"-",Dat_01!L11*100)</f>
        <v>75.043029260000012</v>
      </c>
      <c r="N18" s="162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3" t="s">
        <v>3</v>
      </c>
      <c r="G19" s="24" t="s">
        <v>3</v>
      </c>
      <c r="H19" s="153">
        <f>Dat_01!Z12/1000</f>
        <v>102.417012</v>
      </c>
      <c r="I19" s="24">
        <f>Dat_01!AB12*100</f>
        <v>2.7827232100000003</v>
      </c>
      <c r="J19" s="153" t="s">
        <v>3</v>
      </c>
      <c r="K19" s="153" t="s">
        <v>3</v>
      </c>
      <c r="L19" s="153" t="s">
        <v>3</v>
      </c>
      <c r="M19" s="153" t="s">
        <v>3</v>
      </c>
      <c r="N19" s="162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2">
        <f>SUM(F17:F19)</f>
        <v>132.46423000000001</v>
      </c>
      <c r="G20" s="17">
        <f>((SUM(Dat_01!R10:R12,Dat_01!R14)/SUM(Dat_01!S10:S12,Dat_01!S14))-1)*100</f>
        <v>28.554597998123544</v>
      </c>
      <c r="H20" s="152">
        <f>SUM(H17:H19)</f>
        <v>264.81528100000003</v>
      </c>
      <c r="I20" s="17">
        <f>(H20/(H17/(I17/100+1)+H18/(I18/100+1)+H19/(I19/100+1))-1)*100</f>
        <v>-0.50105049909134891</v>
      </c>
      <c r="J20" s="152">
        <f>SUM(J17:J19)</f>
        <v>16.827505000000002</v>
      </c>
      <c r="K20" s="17">
        <f>((SUM(Dat_01!B10:B12)/SUM(Dat_01!C10:C12))-1)*100</f>
        <v>-5.6224652958302261</v>
      </c>
      <c r="L20" s="152">
        <f>SUM(L17:L19)</f>
        <v>19.523367999999998</v>
      </c>
      <c r="M20" s="17">
        <f>((SUM(Dat_01!J10:J12)/SUM(Dat_01!K10:K12))-1)*100</f>
        <v>0.79259806081031225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2">
        <f>Dat_01!R13/1000</f>
        <v>456.377207</v>
      </c>
      <c r="G21" s="17">
        <f>Dat_01!T13*100</f>
        <v>4.2162235399999997</v>
      </c>
      <c r="H21" s="152">
        <f>Dat_01!Z13/1000</f>
        <v>269.79137199999997</v>
      </c>
      <c r="I21" s="17">
        <f>Dat_01!AB13*100</f>
        <v>-5.1034562800000005</v>
      </c>
      <c r="J21" s="152" t="s">
        <v>3</v>
      </c>
      <c r="K21" s="17" t="s">
        <v>3</v>
      </c>
      <c r="L21" s="152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2">
        <f>Dat_01!R19/1000</f>
        <v>5.1334000000000005E-2</v>
      </c>
      <c r="G22" s="17">
        <f>Dat_01!T19*100</f>
        <v>-98.694099379999997</v>
      </c>
      <c r="H22" s="152">
        <f>Dat_01!Z19/1000</f>
        <v>-1.2208999999999999E-2</v>
      </c>
      <c r="I22" s="17" t="s">
        <v>3</v>
      </c>
      <c r="J22" s="152" t="s">
        <v>3</v>
      </c>
      <c r="K22" s="17" t="s">
        <v>3</v>
      </c>
      <c r="L22" s="152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2">
        <f>Dat_01!R20/1000</f>
        <v>13.6723105</v>
      </c>
      <c r="G23" s="17">
        <f>Dat_01!T20*100</f>
        <v>2.6450546400000001</v>
      </c>
      <c r="H23" s="152" t="s">
        <v>3</v>
      </c>
      <c r="I23" s="17" t="s">
        <v>3</v>
      </c>
      <c r="J23" s="152" t="s">
        <v>3</v>
      </c>
      <c r="K23" s="17" t="s">
        <v>3</v>
      </c>
      <c r="L23" s="17">
        <f>Dat_01!J20/1000</f>
        <v>0.50963900000000006</v>
      </c>
      <c r="M23" s="17">
        <f>Dat_01!L20*100</f>
        <v>6.2539287099999994</v>
      </c>
      <c r="N23" s="10"/>
      <c r="O23" s="10"/>
    </row>
    <row r="24" spans="3:23" s="2" customFormat="1" ht="12.75" customHeight="1">
      <c r="C24" s="13"/>
      <c r="E24" s="168" t="s">
        <v>81</v>
      </c>
      <c r="F24" s="154">
        <f>SUM(F16,F20:F23)</f>
        <v>607.83039650000001</v>
      </c>
      <c r="G24" s="172">
        <f>((SUM(Dat_01!R9:R14,Dat_01!R19,Dat_01!R21)/SUM(Dat_01!S9:S14,Dat_01!S19,Dat_01!S21))-1)*100</f>
        <v>9.0323394438075244</v>
      </c>
      <c r="H24" s="154">
        <f>SUM(H16,H20:H23)</f>
        <v>534.59444400000007</v>
      </c>
      <c r="I24" s="172">
        <f>((SUM(Dat_01!Z9:Z14,Dat_01!Z19,Dat_01!Z21)/SUM(Dat_01!AA9:AA14,Dat_01!AA19,Dat_01!AA21))-1)*100</f>
        <v>-2.880356224458136</v>
      </c>
      <c r="J24" s="154">
        <f>SUM(J16,J20:J23)</f>
        <v>16.827505000000002</v>
      </c>
      <c r="K24" s="172">
        <f>((SUM(Dat_01!B9:B14,Dat_01!B19,Dat_01!B21)/SUM(Dat_01!C9:C14,Dat_01!C19,Dat_01!C21))-1)*100</f>
        <v>-5.6224652958302261</v>
      </c>
      <c r="L24" s="154">
        <f>SUM(L16,L20:L23)</f>
        <v>20.033006999999998</v>
      </c>
      <c r="M24" s="172">
        <f>((SUM(Dat_01!J9:J14,Dat_01!J19,Dat_01!J21)/SUM(Dat_01!K9:K14,Dat_01!K19,Dat_01!K21))-1)*100</f>
        <v>0.9245655258923513</v>
      </c>
      <c r="N24" s="10"/>
      <c r="O24" s="10"/>
    </row>
    <row r="25" spans="3:23" s="2" customFormat="1" ht="12.75" customHeight="1">
      <c r="C25" s="16"/>
      <c r="E25" s="15" t="s">
        <v>87</v>
      </c>
      <c r="F25" s="155">
        <f>Dat_01!R23/1000</f>
        <v>77.653035999999986</v>
      </c>
      <c r="G25" s="14">
        <f>Dat_01!T23*100</f>
        <v>93.613169429999999</v>
      </c>
      <c r="H25" s="155" t="s">
        <v>3</v>
      </c>
      <c r="I25" s="155" t="s">
        <v>3</v>
      </c>
      <c r="J25" s="155" t="s">
        <v>3</v>
      </c>
      <c r="K25" s="155" t="s">
        <v>3</v>
      </c>
      <c r="L25" s="155" t="s">
        <v>3</v>
      </c>
      <c r="M25" s="155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6">
        <f>Dat_01!R24/1000</f>
        <v>727.48451800000009</v>
      </c>
      <c r="G26" s="11">
        <f>Dat_01!T24*100</f>
        <v>14.998235030000002</v>
      </c>
      <c r="H26" s="156">
        <f>Dat_01!Z24/1000</f>
        <v>754.74978099999998</v>
      </c>
      <c r="I26" s="11">
        <f>Dat_01!AB24*100</f>
        <v>3.9551012400000003</v>
      </c>
      <c r="J26" s="156">
        <f>Dat_01!B24/1000</f>
        <v>16.827505000000002</v>
      </c>
      <c r="K26" s="11">
        <f>Dat_01!D24*100</f>
        <v>-5.6224653</v>
      </c>
      <c r="L26" s="156">
        <f>Dat_01!J24/1000</f>
        <v>20.549941</v>
      </c>
      <c r="M26" s="11">
        <f>Dat_01!L24*100</f>
        <v>1.0527514099999999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69"/>
      <c r="M27" s="170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0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4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6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2022-09-13T08:49:50Z</dcterms:modified>
</cp:coreProperties>
</file>