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ABR\INF_ELABORADA\"/>
    </mc:Choice>
  </mc:AlternateContent>
  <xr:revisionPtr revIDLastSave="0" documentId="13_ncr:1_{7EBD5BFA-6E2A-4D96-BF06-BA3353E59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Dat_01!$A$85:$S$113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<sst xmlns="http://schemas.openxmlformats.org/spreadsheetml/2006/main" count="425" uniqueCount="130">
  <si>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</si>
  <si>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</si>
  <si>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</si>
  <si>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</si>
  <si>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</si>
  <si>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</si>
  <si>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</si>
  <si>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</si>
  <si>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</si>
  <si>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</si>
  <si>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</si>
  <si>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</si>
  <si>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</si>
  <si>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</si>
  <si>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</si>
  <si>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</si>
  <si>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</si>
  <si>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</si>
  <si>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</si>
  <si>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</si>
  <si>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</si>
  <si>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</si>
  <si>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</si>
  <si>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</si>
  <si>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</si>
  <si>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</si>
  <si>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</si>
  <si>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</si>
  <si>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</si>
  <si>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</si>
  <si>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</si>
  <si>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</si>
  <si>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</si>
  <si>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</si>
  <si>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</si>
  <si>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</si>
  <si>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</si>
  <si>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</si>
  <si>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</si>
  <si>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</si>
  <si>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</si>
  <si>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</si>
  <si>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</si>
  <si>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</si>
  <si>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</si>
  <si>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</si>
  <si>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</si>
  <si>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</si>
  <si>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</si>
  <si>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</si>
  <si>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</si>
  <si>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</si>
  <si>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</si>
  <si>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</si>
  <si>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</si>
  <si>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</si>
  <si>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</si>
  <si>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</si>
  <si>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</si>
  <si>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</si>
  <si>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</si>
  <si>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</si>
  <si>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</si>
  <si>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</si>
  <si>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</si>
  <si>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</si>
  <si>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</si>
  <si>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</si>
  <si>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</si>
  <si>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</si>
  <si>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</si>
  <si>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</si>
  <si>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</si>
  <si>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</si>
  <si>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</si>
  <si>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</si>
  <si>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</si>
  <si>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</si>
  <si>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</si>
  <si>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</si>
  <si>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</si>
  <si>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</si>
  <si>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</si>
  <si>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</si>
  <si>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</si>
  <si>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</si>
  <si>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</si>
  <si>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</si>
  <si>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</si>
  <si>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</si>
  <si>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</si>
  <si>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</si>
  <si>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</si>
  <si>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</si>
  <si>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</si>
  <si>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</si>
  <si>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</si>
  <si>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</si>
  <si>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</si>
  <si>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</si>
  <si>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</si>
  <si>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</si>
  <si>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</si>
  <si>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</si>
  <si>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</si>
  <si>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</si>
  <si>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</si>
  <si>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</si>
  <si>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</si>
  <si>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</si>
  <si>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</si>
  <si>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</si>
  <si>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</si>
  <si>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</si>
  <si>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</si>
  <si>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</si>
  <si>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</si>
  <si>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</si>
  <si>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</si>
  <si>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</si>
  <si>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</si>
  <si>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</si>
  <si>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30/04/2024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</si>
  <si>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ut="05/16/2024 07:18:14" si="2.000000017c8c25b207d7a4bde0992394071a7894bb667d3e29f79d3e275c21bea172d4db46a0c7cf9ff974f9982cd1f3d7118074d941cbc4e3f04bdb301c8bb837fddc4d51666f6b0d3aa02ab696d7ea6435ab8e7e87e4267860b969fbb031bfc30fb52503e43b09f782d157a2546ee20a72f960b904f0522a6f441ad34f98002303f9b1ffecbf4dc51be76e7f7a425f484b202857ac38430edbd32eb8f897e4fc03.p.3082.0.1.Europe/Madrid.upriv*_1*_pidn2*_6*_session*-lat*_1.000000017d6d888920aeca6214b72912abb7aa8fbc6025e00cf2a5f71d680f598b80f24ffc723c19bca866342018ccd2b38a736c270ecc6a.00000001fa8c608ba7751bdb838ce1be5bed3622bc6025e02c139048326849ef448dd51a0ea4b7d58b897d30318a6085667239fde9cdff7d.0.1.1.BDEbi.D066E1C611E6257C10D00080EF253B44.0-3082.1.1_-0.1.0_-3082.1.1_5.5.0.*0.0000000145a5a96a53c1cd414840cc32f6ab91aac911585aa6ee9b2195362df0e169c905e2d8e4ff.0.23.11*.2*.0400*.31152J.e.000000011de1e22b9823b21e223751b5480b326bc911585ac686238e2ca48e5a03e6197c3268112a.0.10*.131*.122*.122.0.0" msgID="6FC0753E11EF135481490080EFA50606"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</si>
  <si>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ut="05/16/2024 07:25:54" si="2.000000017c8c25b207d7a4bde0992394071a7894bb667d3e29f79d3e275c21bea172d4db46a0c7cf9ff974f9982cd1f3d7118074d941cbc4e3f04bdb301c8bb837fddc4d51666f6b0d3aa02ab696d7ea6435ab8e7e87e4267860b969fbb031bfc30fb52503e43b09f782d157a2546ee20a72f960b904f0522a6f441ad34f98002303f9b1ffecbf4dc51be76e7f7a425f484b202857ac38430edbd32eb8f897e4fc03.p.3082.0.1.Europe/Madrid.upriv*_1*_pidn2*_6*_session*-lat*_1.000000017d6d888920aeca6214b72912abb7aa8fbc6025e00cf2a5f71d680f598b80f24ffc723c19bca866342018ccd2b38a736c270ecc6a.00000001fa8c608ba7751bdb838ce1be5bed3622bc6025e02c139048326849ef448dd51a0ea4b7d58b897d30318a6085667239fde9cdff7d.0.1.1.BDEbi.D066E1C611E6257C10D00080EF253B44.0-3082.1.1_-0.1.0_-3082.1.1_5.5.0.*0.0000000145a5a96a53c1cd414840cc32f6ab91aac911585aa6ee9b2195362df0e169c905e2d8e4ff.0.23.11*.2*.0400*.31152J.e.000000011de1e22b9823b21e223751b5480b326bc911585ac686238e2ca48e5a03e6197c3268112a.0.10*.131*.122*.122.0.0" msgID="F8B7BF6E11EF135481490080EF05C503"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nrr="1547" nrc="2912"&gt;&lt;pg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</si>
  <si>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Mayo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</si>
  <si>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ut="05/16/2024 07:43:40" si="2.000000017c8c25b207d7a4bde0992394071a7894bb667d3e29f79d3e275c21bea172d4db46a0c7cf9ff974f9982cd1f3d7118074d941cbc4e3f04bdb301c8bb837fddc4d51666f6b0d3aa02ab696d7ea6435ab8e7e87e4267860b969fbb031bfc30fb52503e43b09f782d157a2546ee20a72f960b904f0522a6f441ad34f98002303f9b1ffecbf4dc51be76e7f7a425f484b202857ac38430edbd32eb8f897e4fc03.p.3082.0.1.Europe/Madrid.upriv*_1*_pidn2*_6*_session*-lat*_1.000000017d6d888920aeca6214b72912abb7aa8fbc6025e00cf2a5f71d680f598b80f24ffc723c19bca866342018ccd2b38a736c270ecc6a.00000001fa8c608ba7751bdb838ce1be5bed3622bc6025e02c139048326849ef448dd51a0ea4b7d58b897d30318a6085667239fde9cdff7d.0.1.1.BDEbi.D066E1C611E6257C10D00080EF253B44.0-3082.1.1_-0.1.0_-3082.1.1_5.5.0.*0.0000000145a5a96a53c1cd414840cc32f6ab91aac911585aa6ee9b2195362df0e169c905e2d8e4ff.0.23.11*.2*.0400*.31152J.e.000000011de1e22b9823b21e223751b5480b326bc911585ac686238e2ca48e5a03e6197c3268112a.0.10*.131*.122*.122.0.0" msgID="0862B53E11EF135781490080EF75A402"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cols="19" /&gt;&lt;esdo ews="" ece="" ptn="" /&gt;&lt;/excel&gt;&lt;pgs&gt;&lt;pg rows="26" cols="17" nrr="2249" nrc="1712"&gt;&lt;pg /&gt;&lt;bls&gt;&lt;bl sr="1" sc="1" rfetch="26" cfetch="17" posid="1" darows="0" dacols="1"&gt;&lt;excel&gt;&lt;epo ews="Dat_01" ece="A85" enr="MSTR.Serie_Balance_B.C._Mensual_Baleares_y_Canarias" ptn="" qtn="" rows="29" cols="19" /&gt;&lt;esdo ews="" ece="" ptn="" /&gt;&lt;/excel&gt;&lt;gridRng&gt;&lt;sect id="TITLE_AREA" rngprop="1:1:3:2" /&gt;&lt;sect id="ROWHEADERS_AREA" rngprop="4:1:26:2" /&gt;&lt;sect id="COLUMNHEADERS_AREA" rngprop="1:3:3:17" /&gt;&lt;sect id="DATA_AREA" rngprop="4:3:26:17"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</si>
  <si>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ut="05/16/2024 10:04:48" si="2.000000015c22684abc2a95b4189a5893e386dfbae98dd2b298bd352a3cc838c9ae6e96b05149e12ebeea2e0704358ffac7fd1e2b3a4f9724e579342f771d0d8b45cf0133da846dfa9a6815717e5635fadebe721d75d94a3c647774c6192278ebbb99a267f4988c9e25965f52dab65b9931d48d253a76a822982f2283573ef1c0f52b59141a5a57bea1c3a41ffdac13161611259919509b1d7a602ba9ab5b31c13d68.p.3082.0.1.Europe/Madrid.upriv*_1*_pidn2*_6*_session*-lat*_1.0000000113552290f6332e27624c2a9893d9c5a3bc6025e018aeed2890811a37b9b1b502a4eb588c8122bdde1ac48b07d79bb96f1df7674b.0000000188fbade2b72f13fd4ba4c9aaa246e482bc6025e0e0a637a1c979c8b940ec95a2002bc9f8f4c212418d8bd327b410e786f9a76df5.0.1.1.BDEbi.D066E1C611E6257C10D00080EF253B44.0-3082.1.1_-0.1.0_-3082.1.1_5.5.0.*0.00000001411624a68184778799f00fb32afd2256c911585a22d8e8ceaeec9a67a9194b9a547b6a28.0.23.11*.2*.0400*.31152J.e.00000001e589f69000db8f1b4daeb89ceeb97775c911585adb7e5b7d666eeb3234ec53dc8a4b7ab5.0.10*.131*.122*.122.0.0" msgID="B0BD943811EF136B81490080EF556605"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nrr="117" nrc="840"&gt;&lt;pg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</si>
  <si>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5861ffa24c674bff80313a04e574fde7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</si>
  <si>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ut="05/16/2024 10:05:22" si="2.000000015c22684abc2a95b4189a5893e386dfbae98dd2b298bd352a3cc838c9ae6e96b05149e12ebeea2e0704358ffac7fd1e2b3a4f9724e579342f771d0d8b45cf0133da846dfa9a6815717e5635fadebe721d75d94a3c647774c6192278ebbb99a267f4988c9e25965f52dab65b9931d48d253a76a822982f2283573ef1c0f52b59141a5a57bea1c3a41ffdac13161611259919509b1d7a602ba9ab5b31c13d68.p.3082.0.1.Europe/Madrid.upriv*_1*_pidn2*_6*_session*-lat*_1.0000000113552290f6332e27624c2a9893d9c5a3bc6025e018aeed2890811a37b9b1b502a4eb588c8122bdde1ac48b07d79bb96f1df7674b.0000000188fbade2b72f13fd4ba4c9aaa246e482bc6025e0e0a637a1c979c8b940ec95a2002bc9f8f4c212418d8bd327b410e786f9a76df5.0.1.1.BDEbi.D066E1C611E6257C10D00080EF253B44.0-3082.1.1_-0.1.0_-3082.1.1_5.5.0.*0.00000001411624a68184778799f00fb32afd2256c911585a22d8e8ceaeec9a67a9194b9a547b6a28.0.23.11*.2*.0400*.31152J.e.00000001e589f69000db8f1b4daeb89ceeb97775c911585adb7e5b7d666eeb3234ec53dc8a4b7ab5.0.10*.131*.122*.122.0.0" msgID="C61DD02311EF136B81490080EF95E606"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nrr="73" nrc="888"&gt;&lt;pg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</si>
</sst>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rgb="FFF5F5F5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1" fillId="0" borderId="0" xfId="0" applyNumberFormat="1" applyFont="1"/>
    <xf numFmtId="0" fontId="51" fillId="0" borderId="0" xfId="0" applyFon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910569105691045"/>
                  <c:y val="-8.6966141732283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-1.2614443415161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308930286153254"/>
                  <c:y val="0.21656850393700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749619102490236"/>
                  <c:y val="-1.3066620348927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8699186991869918"/>
                  <c:y val="-0.10782480314960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7216208949491063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4.2173226372228969</c:v>
                </c:pt>
                <c:pt idx="2">
                  <c:v>6.8308175730987744</c:v>
                </c:pt>
                <c:pt idx="3">
                  <c:v>47.628406548789151</c:v>
                </c:pt>
                <c:pt idx="4">
                  <c:v>0</c:v>
                </c:pt>
                <c:pt idx="5">
                  <c:v>0.4421786324370125</c:v>
                </c:pt>
                <c:pt idx="6">
                  <c:v>2.6220778105097691</c:v>
                </c:pt>
                <c:pt idx="7">
                  <c:v>2.6220778105097691</c:v>
                </c:pt>
                <c:pt idx="8">
                  <c:v>0</c:v>
                </c:pt>
                <c:pt idx="9">
                  <c:v>10.309269212140807</c:v>
                </c:pt>
                <c:pt idx="10">
                  <c:v>3.5994119333394377E-3</c:v>
                </c:pt>
                <c:pt idx="11">
                  <c:v>25.32425036335848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10.806766834477937</c:v>
                </c:pt>
                <c:pt idx="1">
                  <c:v>6.2457018935581452</c:v>
                </c:pt>
                <c:pt idx="2">
                  <c:v>27.021397503622076</c:v>
                </c:pt>
                <c:pt idx="3">
                  <c:v>36.869355008672862</c:v>
                </c:pt>
                <c:pt idx="4">
                  <c:v>0</c:v>
                </c:pt>
                <c:pt idx="5">
                  <c:v>0.51627850013967358</c:v>
                </c:pt>
                <c:pt idx="6">
                  <c:v>1.6756761177838924</c:v>
                </c:pt>
                <c:pt idx="7">
                  <c:v>1.6756761177838924</c:v>
                </c:pt>
                <c:pt idx="8">
                  <c:v>0.15983889171641807</c:v>
                </c:pt>
                <c:pt idx="9">
                  <c:v>14.933876241045102</c:v>
                </c:pt>
                <c:pt idx="10">
                  <c:v>9.5432891199991723E-2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-0.60865999999999998</c:v>
                </c:pt>
                <c:pt idx="1">
                  <c:v>-0.83296899999999996</c:v>
                </c:pt>
                <c:pt idx="2">
                  <c:v>3.1799559999999998</c:v>
                </c:pt>
                <c:pt idx="3">
                  <c:v>54.925434000000003</c:v>
                </c:pt>
                <c:pt idx="4">
                  <c:v>9.0232189999999992</c:v>
                </c:pt>
                <c:pt idx="5">
                  <c:v>-0.82337800000000005</c:v>
                </c:pt>
                <c:pt idx="6">
                  <c:v>-0.82724900000000001</c:v>
                </c:pt>
                <c:pt idx="7">
                  <c:v>-0.89542500000000003</c:v>
                </c:pt>
                <c:pt idx="8">
                  <c:v>-0.69586499999999996</c:v>
                </c:pt>
                <c:pt idx="9">
                  <c:v>-0.70605399999999996</c:v>
                </c:pt>
                <c:pt idx="10">
                  <c:v>-0.66276199999999996</c:v>
                </c:pt>
                <c:pt idx="11">
                  <c:v>-0.710283</c:v>
                </c:pt>
                <c:pt idx="12">
                  <c:v>-0.939218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36.577028999999996</c:v>
                </c:pt>
                <c:pt idx="1">
                  <c:v>47.925082000000003</c:v>
                </c:pt>
                <c:pt idx="2">
                  <c:v>77.204378999999989</c:v>
                </c:pt>
                <c:pt idx="3">
                  <c:v>124.68270699999999</c:v>
                </c:pt>
                <c:pt idx="4">
                  <c:v>118.33977300000001</c:v>
                </c:pt>
                <c:pt idx="5">
                  <c:v>82.054295999999994</c:v>
                </c:pt>
                <c:pt idx="6">
                  <c:v>61.254111000000002</c:v>
                </c:pt>
                <c:pt idx="7">
                  <c:v>30.185099999999998</c:v>
                </c:pt>
                <c:pt idx="8">
                  <c:v>28.871046999999997</c:v>
                </c:pt>
                <c:pt idx="9">
                  <c:v>30.443576</c:v>
                </c:pt>
                <c:pt idx="10">
                  <c:v>28.621776999999998</c:v>
                </c:pt>
                <c:pt idx="11">
                  <c:v>30.374336</c:v>
                </c:pt>
                <c:pt idx="12">
                  <c:v>47.711207999999999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207.738203</c:v>
                </c:pt>
                <c:pt idx="1">
                  <c:v>231.47546199999999</c:v>
                </c:pt>
                <c:pt idx="2">
                  <c:v>269.55010299999998</c:v>
                </c:pt>
                <c:pt idx="3">
                  <c:v>316.35504600000002</c:v>
                </c:pt>
                <c:pt idx="4">
                  <c:v>324.37696499999998</c:v>
                </c:pt>
                <c:pt idx="5">
                  <c:v>296.32292799999999</c:v>
                </c:pt>
                <c:pt idx="6">
                  <c:v>247.112684</c:v>
                </c:pt>
                <c:pt idx="7">
                  <c:v>224.26124200000001</c:v>
                </c:pt>
                <c:pt idx="8">
                  <c:v>233.91494</c:v>
                </c:pt>
                <c:pt idx="9">
                  <c:v>244.02029300000001</c:v>
                </c:pt>
                <c:pt idx="10">
                  <c:v>218.49136100000001</c:v>
                </c:pt>
                <c:pt idx="11">
                  <c:v>213.548517</c:v>
                </c:pt>
                <c:pt idx="12">
                  <c:v>205.68247400000001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0.12734500000000001</c:v>
                </c:pt>
                <c:pt idx="1">
                  <c:v>0.24965100000000001</c:v>
                </c:pt>
                <c:pt idx="2">
                  <c:v>5.6180000000000001E-2</c:v>
                </c:pt>
                <c:pt idx="3">
                  <c:v>0.118565</c:v>
                </c:pt>
                <c:pt idx="4">
                  <c:v>9.7920999999999994E-2</c:v>
                </c:pt>
                <c:pt idx="5">
                  <c:v>0</c:v>
                </c:pt>
                <c:pt idx="6">
                  <c:v>1.0359999999999999E-2</c:v>
                </c:pt>
                <c:pt idx="7">
                  <c:v>8.7279999999999996E-3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38.89629</c:v>
                </c:pt>
                <c:pt idx="1">
                  <c:v>34.459223999999999</c:v>
                </c:pt>
                <c:pt idx="2">
                  <c:v>37.285699000000001</c:v>
                </c:pt>
                <c:pt idx="3">
                  <c:v>41.537353000000003</c:v>
                </c:pt>
                <c:pt idx="4">
                  <c:v>44.650032000000003</c:v>
                </c:pt>
                <c:pt idx="5">
                  <c:v>34.850726000000002</c:v>
                </c:pt>
                <c:pt idx="6">
                  <c:v>32.888846000000001</c:v>
                </c:pt>
                <c:pt idx="7">
                  <c:v>24.884706000000001</c:v>
                </c:pt>
                <c:pt idx="8">
                  <c:v>22.636651000000001</c:v>
                </c:pt>
                <c:pt idx="9">
                  <c:v>23.970113999999999</c:v>
                </c:pt>
                <c:pt idx="10">
                  <c:v>30.744498</c:v>
                </c:pt>
                <c:pt idx="11">
                  <c:v>45.305076999999997</c:v>
                </c:pt>
                <c:pt idx="12">
                  <c:v>44.520406000000001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9.7647999999999999E-2</c:v>
                </c:pt>
                <c:pt idx="1">
                  <c:v>0.14440500000000001</c:v>
                </c:pt>
                <c:pt idx="2">
                  <c:v>0.140066</c:v>
                </c:pt>
                <c:pt idx="3">
                  <c:v>0.102288</c:v>
                </c:pt>
                <c:pt idx="4">
                  <c:v>9.2054999999999998E-2</c:v>
                </c:pt>
                <c:pt idx="5">
                  <c:v>0.14128099999999999</c:v>
                </c:pt>
                <c:pt idx="6">
                  <c:v>0.14801500000000001</c:v>
                </c:pt>
                <c:pt idx="7">
                  <c:v>0.14354</c:v>
                </c:pt>
                <c:pt idx="8">
                  <c:v>0.12625700000000001</c:v>
                </c:pt>
                <c:pt idx="9">
                  <c:v>0.10422099999999999</c:v>
                </c:pt>
                <c:pt idx="10">
                  <c:v>3.9530000000000003E-2</c:v>
                </c:pt>
                <c:pt idx="11">
                  <c:v>4.0002000000000003E-2</c:v>
                </c:pt>
                <c:pt idx="12">
                  <c:v>1.5544000000000001E-2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3.5964710000000002</c:v>
                </c:pt>
                <c:pt idx="1">
                  <c:v>3.46306</c:v>
                </c:pt>
                <c:pt idx="2">
                  <c:v>3.7329490000000001</c:v>
                </c:pt>
                <c:pt idx="3">
                  <c:v>3.1795529999999999</c:v>
                </c:pt>
                <c:pt idx="4">
                  <c:v>3.6746310000000002</c:v>
                </c:pt>
                <c:pt idx="5">
                  <c:v>2.995241</c:v>
                </c:pt>
                <c:pt idx="6">
                  <c:v>1.6210690000000001</c:v>
                </c:pt>
                <c:pt idx="7">
                  <c:v>1.996553</c:v>
                </c:pt>
                <c:pt idx="8">
                  <c:v>3.1565249999999998</c:v>
                </c:pt>
                <c:pt idx="9">
                  <c:v>3.9370180000000001</c:v>
                </c:pt>
                <c:pt idx="10">
                  <c:v>3.7397490000000002</c:v>
                </c:pt>
                <c:pt idx="11">
                  <c:v>3.4851179999999999</c:v>
                </c:pt>
                <c:pt idx="12">
                  <c:v>1.9095409999999999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10.65733</c:v>
                </c:pt>
                <c:pt idx="1">
                  <c:v>12.228600500000001</c:v>
                </c:pt>
                <c:pt idx="2">
                  <c:v>15.5976535</c:v>
                </c:pt>
                <c:pt idx="3">
                  <c:v>12.541195999999999</c:v>
                </c:pt>
                <c:pt idx="4">
                  <c:v>14.683114</c:v>
                </c:pt>
                <c:pt idx="5">
                  <c:v>9.9340825000000006</c:v>
                </c:pt>
                <c:pt idx="6">
                  <c:v>10.861402</c:v>
                </c:pt>
                <c:pt idx="7">
                  <c:v>10.810193999999999</c:v>
                </c:pt>
                <c:pt idx="8">
                  <c:v>8.9918355000000005</c:v>
                </c:pt>
                <c:pt idx="9">
                  <c:v>10.485035</c:v>
                </c:pt>
                <c:pt idx="10">
                  <c:v>5.6085469999999997</c:v>
                </c:pt>
                <c:pt idx="11">
                  <c:v>12.829401000000001</c:v>
                </c:pt>
                <c:pt idx="12">
                  <c:v>11.323399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10.65733</c:v>
                </c:pt>
                <c:pt idx="1">
                  <c:v>12.228600500000001</c:v>
                </c:pt>
                <c:pt idx="2">
                  <c:v>15.5976535</c:v>
                </c:pt>
                <c:pt idx="3">
                  <c:v>12.541195999999999</c:v>
                </c:pt>
                <c:pt idx="4">
                  <c:v>14.683114</c:v>
                </c:pt>
                <c:pt idx="5">
                  <c:v>9.9340825000000006</c:v>
                </c:pt>
                <c:pt idx="6">
                  <c:v>10.861402</c:v>
                </c:pt>
                <c:pt idx="7">
                  <c:v>10.810193999999999</c:v>
                </c:pt>
                <c:pt idx="8">
                  <c:v>8.9918355000000005</c:v>
                </c:pt>
                <c:pt idx="9">
                  <c:v>10.485035</c:v>
                </c:pt>
                <c:pt idx="10">
                  <c:v>5.6085469999999997</c:v>
                </c:pt>
                <c:pt idx="11">
                  <c:v>12.829401000000001</c:v>
                </c:pt>
                <c:pt idx="12">
                  <c:v>11.323399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98.033413999999993</c:v>
                </c:pt>
                <c:pt idx="1">
                  <c:v>118.762416</c:v>
                </c:pt>
                <c:pt idx="2">
                  <c:v>124.350134</c:v>
                </c:pt>
                <c:pt idx="3">
                  <c:v>168.54782399999999</c:v>
                </c:pt>
                <c:pt idx="4">
                  <c:v>175.00929099999999</c:v>
                </c:pt>
                <c:pt idx="5">
                  <c:v>130.854702</c:v>
                </c:pt>
                <c:pt idx="6">
                  <c:v>131.44748999999999</c:v>
                </c:pt>
                <c:pt idx="7">
                  <c:v>70.735690000000005</c:v>
                </c:pt>
                <c:pt idx="8">
                  <c:v>112.440268</c:v>
                </c:pt>
                <c:pt idx="9">
                  <c:v>122.760274</c:v>
                </c:pt>
                <c:pt idx="10">
                  <c:v>114.74408200000001</c:v>
                </c:pt>
                <c:pt idx="11">
                  <c:v>110.667727</c:v>
                </c:pt>
                <c:pt idx="12">
                  <c:v>109.36235000000001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14.75724889213163</c:v>
                </c:pt>
                <c:pt idx="1">
                  <c:v>15.759243213390098</c:v>
                </c:pt>
                <c:pt idx="2">
                  <c:v>14.605935947211899</c:v>
                </c:pt>
                <c:pt idx="3">
                  <c:v>26.189244506707233</c:v>
                </c:pt>
                <c:pt idx="4">
                  <c:v>1.1560308991867532</c:v>
                </c:pt>
                <c:pt idx="5">
                  <c:v>4.599913525559856E-2</c:v>
                </c:pt>
                <c:pt idx="6">
                  <c:v>0.34257250729827343</c:v>
                </c:pt>
                <c:pt idx="7">
                  <c:v>19.510291117950256</c:v>
                </c:pt>
                <c:pt idx="8">
                  <c:v>7.4084011691836249</c:v>
                </c:pt>
                <c:pt idx="9">
                  <c:v>0.22503261168462557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21"/>
                  <c:y val="-5.2786614173228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00813008130081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20.430161958491531</c:v>
                </c:pt>
                <c:pt idx="1">
                  <c:v>2.1307553255709575</c:v>
                </c:pt>
                <c:pt idx="2">
                  <c:v>13.944716233017907</c:v>
                </c:pt>
                <c:pt idx="3">
                  <c:v>44.719858621712035</c:v>
                </c:pt>
                <c:pt idx="4">
                  <c:v>0</c:v>
                </c:pt>
                <c:pt idx="5">
                  <c:v>3.6662808280197502E-2</c:v>
                </c:pt>
                <c:pt idx="6">
                  <c:v>0.18367044418574124</c:v>
                </c:pt>
                <c:pt idx="7">
                  <c:v>13.431970811871825</c:v>
                </c:pt>
                <c:pt idx="8">
                  <c:v>5.0847124088671025</c:v>
                </c:pt>
                <c:pt idx="9">
                  <c:v>3.7491388002714135E-2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0.27580700000000002</c:v>
                </c:pt>
                <c:pt idx="1">
                  <c:v>0.29760599999999998</c:v>
                </c:pt>
                <c:pt idx="2">
                  <c:v>0.28353699999999998</c:v>
                </c:pt>
                <c:pt idx="3">
                  <c:v>0.30186600000000002</c:v>
                </c:pt>
                <c:pt idx="4">
                  <c:v>0.289545</c:v>
                </c:pt>
                <c:pt idx="5">
                  <c:v>0.28924100000000003</c:v>
                </c:pt>
                <c:pt idx="6">
                  <c:v>0.30332900000000002</c:v>
                </c:pt>
                <c:pt idx="7">
                  <c:v>0.28045300000000001</c:v>
                </c:pt>
                <c:pt idx="8">
                  <c:v>0.30560300000000001</c:v>
                </c:pt>
                <c:pt idx="9">
                  <c:v>0.29624200000000001</c:v>
                </c:pt>
                <c:pt idx="10">
                  <c:v>0.28508299999999998</c:v>
                </c:pt>
                <c:pt idx="11">
                  <c:v>0.272924</c:v>
                </c:pt>
                <c:pt idx="12">
                  <c:v>0.258407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260.1001</c:v>
                </c:pt>
                <c:pt idx="1">
                  <c:v>261.00777599999998</c:v>
                </c:pt>
                <c:pt idx="2">
                  <c:v>265.32891099999995</c:v>
                </c:pt>
                <c:pt idx="3">
                  <c:v>263.81678599999998</c:v>
                </c:pt>
                <c:pt idx="4">
                  <c:v>280.24951799999997</c:v>
                </c:pt>
                <c:pt idx="5">
                  <c:v>278.46901400000002</c:v>
                </c:pt>
                <c:pt idx="6">
                  <c:v>329.55548099999999</c:v>
                </c:pt>
                <c:pt idx="7">
                  <c:v>283.46044599999999</c:v>
                </c:pt>
                <c:pt idx="8">
                  <c:v>293.93341900000001</c:v>
                </c:pt>
                <c:pt idx="9">
                  <c:v>313.17357400000003</c:v>
                </c:pt>
                <c:pt idx="10">
                  <c:v>271.07811399999997</c:v>
                </c:pt>
                <c:pt idx="11">
                  <c:v>294.881663</c:v>
                </c:pt>
                <c:pt idx="12">
                  <c:v>257.29920000000004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279.54366599999997</c:v>
                </c:pt>
                <c:pt idx="1">
                  <c:v>275.34098399999999</c:v>
                </c:pt>
                <c:pt idx="2">
                  <c:v>351.45923099999999</c:v>
                </c:pt>
                <c:pt idx="3">
                  <c:v>250.52108799999999</c:v>
                </c:pt>
                <c:pt idx="4">
                  <c:v>306.93109600000003</c:v>
                </c:pt>
                <c:pt idx="5">
                  <c:v>329.65078499999998</c:v>
                </c:pt>
                <c:pt idx="6">
                  <c:v>385.37423100000001</c:v>
                </c:pt>
                <c:pt idx="7">
                  <c:v>320.60776499999997</c:v>
                </c:pt>
                <c:pt idx="8">
                  <c:v>343.70541600000001</c:v>
                </c:pt>
                <c:pt idx="9">
                  <c:v>348.60822999999999</c:v>
                </c:pt>
                <c:pt idx="10">
                  <c:v>282.95672999999999</c:v>
                </c:pt>
                <c:pt idx="11">
                  <c:v>305.966994</c:v>
                </c:pt>
                <c:pt idx="12">
                  <c:v>315.19474500000001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1.573337</c:v>
                </c:pt>
                <c:pt idx="1">
                  <c:v>2.0671949999999999</c:v>
                </c:pt>
                <c:pt idx="2">
                  <c:v>0.80873799999999996</c:v>
                </c:pt>
                <c:pt idx="3">
                  <c:v>2.7590569999999999</c:v>
                </c:pt>
                <c:pt idx="4">
                  <c:v>2.6998280000000001</c:v>
                </c:pt>
                <c:pt idx="5">
                  <c:v>1.3149919999999999</c:v>
                </c:pt>
                <c:pt idx="6">
                  <c:v>0.44324000000000002</c:v>
                </c:pt>
                <c:pt idx="7">
                  <c:v>1.0899650000000001</c:v>
                </c:pt>
                <c:pt idx="8">
                  <c:v>0.66913</c:v>
                </c:pt>
                <c:pt idx="9">
                  <c:v>0.66808100000000004</c:v>
                </c:pt>
                <c:pt idx="10">
                  <c:v>1.414679</c:v>
                </c:pt>
                <c:pt idx="11">
                  <c:v>1.5891550000000001</c:v>
                </c:pt>
                <c:pt idx="12">
                  <c:v>1.2945469999999999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103.784149</c:v>
                </c:pt>
                <c:pt idx="1">
                  <c:v>131.928437</c:v>
                </c:pt>
                <c:pt idx="2">
                  <c:v>64.374502000000007</c:v>
                </c:pt>
                <c:pt idx="3">
                  <c:v>209.601507</c:v>
                </c:pt>
                <c:pt idx="4">
                  <c:v>178.40540899999999</c:v>
                </c:pt>
                <c:pt idx="5">
                  <c:v>103.255752</c:v>
                </c:pt>
                <c:pt idx="6">
                  <c:v>57.760353000000002</c:v>
                </c:pt>
                <c:pt idx="7">
                  <c:v>99.230602000000005</c:v>
                </c:pt>
                <c:pt idx="8">
                  <c:v>70.608433000000005</c:v>
                </c:pt>
                <c:pt idx="9">
                  <c:v>53.195207000000003</c:v>
                </c:pt>
                <c:pt idx="10">
                  <c:v>108.751811</c:v>
                </c:pt>
                <c:pt idx="11">
                  <c:v>89.282236999999995</c:v>
                </c:pt>
                <c:pt idx="12">
                  <c:v>94.671288000000004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30.082971000000001</c:v>
                </c:pt>
                <c:pt idx="1">
                  <c:v>30.799336</c:v>
                </c:pt>
                <c:pt idx="2">
                  <c:v>30.793143000000001</c:v>
                </c:pt>
                <c:pt idx="3">
                  <c:v>35.178874</c:v>
                </c:pt>
                <c:pt idx="4">
                  <c:v>33.707680000000003</c:v>
                </c:pt>
                <c:pt idx="5">
                  <c:v>31.407260000000001</c:v>
                </c:pt>
                <c:pt idx="6">
                  <c:v>29.906251000000001</c:v>
                </c:pt>
                <c:pt idx="7">
                  <c:v>25.097702999999999</c:v>
                </c:pt>
                <c:pt idx="8">
                  <c:v>23.682936000000002</c:v>
                </c:pt>
                <c:pt idx="9">
                  <c:v>24.559023</c:v>
                </c:pt>
                <c:pt idx="10">
                  <c:v>26.306543000000001</c:v>
                </c:pt>
                <c:pt idx="11">
                  <c:v>31.905954000000001</c:v>
                </c:pt>
                <c:pt idx="12">
                  <c:v>35.838096999999998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abr.-23</c:v>
                </c:pt>
                <c:pt idx="1">
                  <c:v>may.-23</c:v>
                </c:pt>
                <c:pt idx="2">
                  <c:v>jun.-23</c:v>
                </c:pt>
                <c:pt idx="3">
                  <c:v>jul.-23</c:v>
                </c:pt>
                <c:pt idx="4">
                  <c:v>ago.-23</c:v>
                </c:pt>
                <c:pt idx="5">
                  <c:v>sep.-23</c:v>
                </c:pt>
                <c:pt idx="6">
                  <c:v>oct.-23</c:v>
                </c:pt>
                <c:pt idx="7">
                  <c:v>nov.-23</c:v>
                </c:pt>
                <c:pt idx="8">
                  <c:v>dic.-23</c:v>
                </c:pt>
                <c:pt idx="9">
                  <c:v>ene.-24</c:v>
                </c:pt>
                <c:pt idx="10">
                  <c:v>feb.-24</c:v>
                </c:pt>
                <c:pt idx="11">
                  <c:v>mar.-24</c:v>
                </c:pt>
                <c:pt idx="12">
                  <c:v>abr.-24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0.63095199999999996</c:v>
                </c:pt>
                <c:pt idx="1">
                  <c:v>0.65055600000000002</c:v>
                </c:pt>
                <c:pt idx="2">
                  <c:v>0.66513100000000003</c:v>
                </c:pt>
                <c:pt idx="3">
                  <c:v>0.64607300000000001</c:v>
                </c:pt>
                <c:pt idx="4">
                  <c:v>0.37482700000000002</c:v>
                </c:pt>
                <c:pt idx="5">
                  <c:v>0.37211699999999998</c:v>
                </c:pt>
                <c:pt idx="6">
                  <c:v>0.524733</c:v>
                </c:pt>
                <c:pt idx="7">
                  <c:v>0.42454199999999997</c:v>
                </c:pt>
                <c:pt idx="8">
                  <c:v>0.44537900000000002</c:v>
                </c:pt>
                <c:pt idx="9">
                  <c:v>0.50013399999999997</c:v>
                </c:pt>
                <c:pt idx="10">
                  <c:v>0.49944300000000003</c:v>
                </c:pt>
                <c:pt idx="11">
                  <c:v>0.57839200000000002</c:v>
                </c:pt>
                <c:pt idx="12">
                  <c:v>0.26424700000000001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Abril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65" zoomScaleNormal="100" workbookViewId="0">
      <selection activeCell="E79" sqref="E79"/>
    </sheetView>
  </sheetViews>
  <sheetFormatPr baseColWidth="10" defaultColWidth="11.42578125" defaultRowHeight="12"/>
  <cols>
    <col min="1" max="1" width="8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121</v>
      </c>
      <c r="B2" s="133" t="s">
        <v>122</v>
      </c>
    </row>
    <row r="4" spans="1:33" ht="15">
      <c r="A4" s="134" t="s">
        <v>67</v>
      </c>
      <c r="B4" s="199" t="s">
        <v>121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15" t="s">
        <v>15</v>
      </c>
      <c r="C5" s="216"/>
      <c r="D5" s="216"/>
      <c r="E5" s="216"/>
      <c r="F5" s="216"/>
      <c r="G5" s="216"/>
      <c r="H5" s="216"/>
      <c r="I5" s="217"/>
      <c r="J5" s="215" t="s">
        <v>14</v>
      </c>
      <c r="K5" s="216"/>
      <c r="L5" s="216"/>
      <c r="M5" s="216"/>
      <c r="N5" s="216"/>
      <c r="O5" s="216"/>
      <c r="P5" s="216"/>
      <c r="Q5" s="217"/>
      <c r="R5" s="215" t="s">
        <v>57</v>
      </c>
      <c r="S5" s="216"/>
      <c r="T5" s="216"/>
      <c r="U5" s="216"/>
      <c r="V5" s="216"/>
      <c r="W5" s="216"/>
      <c r="X5" s="216"/>
      <c r="Y5" s="217"/>
      <c r="Z5" s="215" t="s">
        <v>58</v>
      </c>
      <c r="AA5" s="216"/>
      <c r="AB5" s="216"/>
      <c r="AC5" s="216"/>
      <c r="AD5" s="216"/>
      <c r="AE5" s="216"/>
      <c r="AF5" s="216"/>
      <c r="AG5" s="216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258.40699999999998</v>
      </c>
      <c r="AA8" s="169">
        <v>275.80700000000002</v>
      </c>
      <c r="AB8" s="170">
        <v>-6.3087593900000002E-2</v>
      </c>
      <c r="AC8" s="169">
        <v>1112.6559999999999</v>
      </c>
      <c r="AD8" s="169">
        <v>1095.7170000000001</v>
      </c>
      <c r="AE8" s="170">
        <v>1.54592837E-2</v>
      </c>
      <c r="AF8" s="169">
        <v>3463.8359999999998</v>
      </c>
      <c r="AG8" s="170">
        <v>1.52223146E-2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-939.21799999999996</v>
      </c>
      <c r="S9" s="169">
        <v>-608.66</v>
      </c>
      <c r="T9" s="170">
        <v>0.54309138109999999</v>
      </c>
      <c r="U9" s="169">
        <v>-3018.317</v>
      </c>
      <c r="V9" s="169">
        <v>-2561.6909999999998</v>
      </c>
      <c r="W9" s="170">
        <v>0.17825178759999999</v>
      </c>
      <c r="X9" s="169">
        <v>60035.406000000003</v>
      </c>
      <c r="Y9" s="170">
        <v>-0.23592308370000001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14339.790999999999</v>
      </c>
      <c r="C10" s="169">
        <v>13776.183000000001</v>
      </c>
      <c r="D10" s="170">
        <v>4.0911767799999998E-2</v>
      </c>
      <c r="E10" s="169">
        <v>60189.722000000002</v>
      </c>
      <c r="F10" s="169">
        <v>61482.031999999999</v>
      </c>
      <c r="G10" s="170">
        <v>-2.1019311799999999E-2</v>
      </c>
      <c r="H10" s="169">
        <v>184711.63399999999</v>
      </c>
      <c r="I10" s="170">
        <v>-3.4880603900000001E-2</v>
      </c>
      <c r="J10" s="169">
        <v>13738.512000000001</v>
      </c>
      <c r="K10" s="169">
        <v>13403.493</v>
      </c>
      <c r="L10" s="170">
        <v>2.4994902400000001E-2</v>
      </c>
      <c r="M10" s="169">
        <v>57890.012999999999</v>
      </c>
      <c r="N10" s="169">
        <v>57034.129000000001</v>
      </c>
      <c r="O10" s="170">
        <v>1.50065236E-2</v>
      </c>
      <c r="P10" s="169">
        <v>191955.83300000001</v>
      </c>
      <c r="Q10" s="170">
        <v>4.9214474299999998E-2</v>
      </c>
      <c r="R10" s="169">
        <v>18212.437000000002</v>
      </c>
      <c r="S10" s="169">
        <v>7134.4489999999996</v>
      </c>
      <c r="T10" s="170">
        <v>1.5527461196000001</v>
      </c>
      <c r="U10" s="169">
        <v>33761.035000000003</v>
      </c>
      <c r="V10" s="169">
        <v>33380.396999999997</v>
      </c>
      <c r="W10" s="170">
        <v>1.14030399E-2</v>
      </c>
      <c r="X10" s="169">
        <v>251792.633</v>
      </c>
      <c r="Y10" s="170">
        <v>-0.1887322183</v>
      </c>
      <c r="Z10" s="169">
        <v>143995.976</v>
      </c>
      <c r="AA10" s="169">
        <v>149855.777</v>
      </c>
      <c r="AB10" s="170">
        <v>-3.9102936999999997E-2</v>
      </c>
      <c r="AC10" s="169">
        <v>614415.40599999996</v>
      </c>
      <c r="AD10" s="169">
        <v>592063.93400000001</v>
      </c>
      <c r="AE10" s="170">
        <v>3.7751787799999999E-2</v>
      </c>
      <c r="AF10" s="169">
        <v>1905213.0160000001</v>
      </c>
      <c r="AG10" s="170">
        <v>6.6062532899999998E-2</v>
      </c>
    </row>
    <row r="11" spans="1:33">
      <c r="A11" s="133" t="s">
        <v>9</v>
      </c>
      <c r="B11" s="169">
        <v>20.204999999999998</v>
      </c>
      <c r="C11" s="169">
        <v>4.7720000000000002</v>
      </c>
      <c r="D11" s="170">
        <v>3.2340737636000001</v>
      </c>
      <c r="E11" s="169">
        <v>110.74</v>
      </c>
      <c r="F11" s="169">
        <v>27.733000000000001</v>
      </c>
      <c r="G11" s="170">
        <v>2.9930768399000001</v>
      </c>
      <c r="H11" s="169">
        <v>336.24599999999998</v>
      </c>
      <c r="I11" s="170">
        <v>-0.27340265530000002</v>
      </c>
      <c r="J11" s="169">
        <v>2.9140000000000001</v>
      </c>
      <c r="K11" s="169">
        <v>1.6659999999999999</v>
      </c>
      <c r="L11" s="170">
        <v>0.74909963989999995</v>
      </c>
      <c r="M11" s="169">
        <v>8.8510000000000009</v>
      </c>
      <c r="N11" s="169">
        <v>9.3079999999999998</v>
      </c>
      <c r="O11" s="170">
        <v>-4.9097550500000003E-2</v>
      </c>
      <c r="P11" s="169">
        <v>43.679000000000002</v>
      </c>
      <c r="Q11" s="170">
        <v>-0.1464277339</v>
      </c>
      <c r="R11" s="169">
        <v>29498.771000000001</v>
      </c>
      <c r="S11" s="169">
        <v>29442.58</v>
      </c>
      <c r="T11" s="170">
        <v>1.9084944000000001E-3</v>
      </c>
      <c r="U11" s="169">
        <v>103389.86199999999</v>
      </c>
      <c r="V11" s="169">
        <v>145689.027</v>
      </c>
      <c r="W11" s="170">
        <v>-0.29033871579999998</v>
      </c>
      <c r="X11" s="169">
        <v>455874.75900000002</v>
      </c>
      <c r="Y11" s="170">
        <v>-5.3766671799999999E-2</v>
      </c>
      <c r="Z11" s="169">
        <v>15018.001</v>
      </c>
      <c r="AA11" s="169">
        <v>21092.298999999999</v>
      </c>
      <c r="AB11" s="170">
        <v>-0.28798653010000003</v>
      </c>
      <c r="AC11" s="169">
        <v>89131.622000000003</v>
      </c>
      <c r="AD11" s="169">
        <v>79656.361000000004</v>
      </c>
      <c r="AE11" s="170">
        <v>0.11895171810000001</v>
      </c>
      <c r="AF11" s="169">
        <v>265447.489</v>
      </c>
      <c r="AG11" s="170">
        <v>2.7438061699999999E-2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98285.222999999998</v>
      </c>
      <c r="AA12" s="169">
        <v>89164.951000000001</v>
      </c>
      <c r="AB12" s="170">
        <v>0.10228539239999999</v>
      </c>
      <c r="AC12" s="169">
        <v>432885.52299999999</v>
      </c>
      <c r="AD12" s="169">
        <v>428926.63099999999</v>
      </c>
      <c r="AE12" s="170">
        <v>9.2297649999999992E-3</v>
      </c>
      <c r="AF12" s="169">
        <v>1221608.888</v>
      </c>
      <c r="AG12" s="170">
        <v>1.9662727099999999E-2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205682.47399999999</v>
      </c>
      <c r="S13" s="169">
        <v>207738.20300000001</v>
      </c>
      <c r="T13" s="170">
        <v>-9.8957677000000004E-3</v>
      </c>
      <c r="U13" s="169">
        <v>881742.64500000002</v>
      </c>
      <c r="V13" s="169">
        <v>927862.255</v>
      </c>
      <c r="W13" s="170">
        <v>-4.9705233500000001E-2</v>
      </c>
      <c r="X13" s="169">
        <v>3025112.0150000001</v>
      </c>
      <c r="Y13" s="170">
        <v>-0.16580921100000001</v>
      </c>
      <c r="Z13" s="169">
        <v>315194.745</v>
      </c>
      <c r="AA13" s="169">
        <v>279543.66600000003</v>
      </c>
      <c r="AB13" s="170">
        <v>0.1275331311</v>
      </c>
      <c r="AC13" s="169">
        <v>1252726.699</v>
      </c>
      <c r="AD13" s="169">
        <v>1133127.0549999999</v>
      </c>
      <c r="AE13" s="170">
        <v>0.10554830849999999</v>
      </c>
      <c r="AF13" s="169">
        <v>3816317.2949999999</v>
      </c>
      <c r="AG13" s="170">
        <v>8.0018509299999999E-2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-12.927</v>
      </c>
      <c r="AB14" s="170">
        <v>-1</v>
      </c>
      <c r="AC14" s="169">
        <v>0</v>
      </c>
      <c r="AD14" s="169">
        <v>-50.497</v>
      </c>
      <c r="AE14" s="170">
        <v>-1</v>
      </c>
      <c r="AF14" s="169">
        <v>-15.491</v>
      </c>
      <c r="AG14" s="170">
        <v>-0.86665117199999997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1294.547</v>
      </c>
      <c r="AA15" s="169">
        <v>1573.337</v>
      </c>
      <c r="AB15" s="170">
        <v>-0.17719662089999999</v>
      </c>
      <c r="AC15" s="169">
        <v>4966.4620000000004</v>
      </c>
      <c r="AD15" s="169">
        <v>5624.6270000000004</v>
      </c>
      <c r="AE15" s="170">
        <v>-0.11701487050000001</v>
      </c>
      <c r="AF15" s="169">
        <v>16818.607</v>
      </c>
      <c r="AG15" s="170">
        <v>-0.23668569980000001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127.345</v>
      </c>
      <c r="T16" s="170">
        <v>-1</v>
      </c>
      <c r="U16" s="169">
        <v>0</v>
      </c>
      <c r="V16" s="169">
        <v>726.66499999999996</v>
      </c>
      <c r="W16" s="170">
        <v>-1</v>
      </c>
      <c r="X16" s="169">
        <v>541.40499999999997</v>
      </c>
      <c r="Y16" s="170">
        <v>-0.53080788869999995</v>
      </c>
      <c r="Z16" s="169">
        <v>94671.288</v>
      </c>
      <c r="AA16" s="169">
        <v>103784.149</v>
      </c>
      <c r="AB16" s="170">
        <v>-8.7805903800000001E-2</v>
      </c>
      <c r="AC16" s="169">
        <v>345900.54300000001</v>
      </c>
      <c r="AD16" s="169">
        <v>410682.337</v>
      </c>
      <c r="AE16" s="170">
        <v>-0.1577418558</v>
      </c>
      <c r="AF16" s="169">
        <v>1261065.5379999999</v>
      </c>
      <c r="AG16" s="170">
        <v>-0.1021582525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7.3710000000000004</v>
      </c>
      <c r="K17" s="169">
        <v>7.9279999999999999</v>
      </c>
      <c r="L17" s="170">
        <v>-7.0257315799999998E-2</v>
      </c>
      <c r="M17" s="169">
        <v>21.602</v>
      </c>
      <c r="N17" s="169">
        <v>24.170999999999999</v>
      </c>
      <c r="O17" s="170">
        <v>-0.1062843904</v>
      </c>
      <c r="P17" s="169">
        <v>73.957999999999998</v>
      </c>
      <c r="Q17" s="170">
        <v>-7.5016439000000004E-3</v>
      </c>
      <c r="R17" s="169">
        <v>44520.406000000003</v>
      </c>
      <c r="S17" s="169">
        <v>38896.29</v>
      </c>
      <c r="T17" s="170">
        <v>0.14459260769999999</v>
      </c>
      <c r="U17" s="169">
        <v>144540.095</v>
      </c>
      <c r="V17" s="169">
        <v>115739.046</v>
      </c>
      <c r="W17" s="170">
        <v>0.24884470710000001</v>
      </c>
      <c r="X17" s="169">
        <v>417733.33199999999</v>
      </c>
      <c r="Y17" s="170">
        <v>0.31882358399999999</v>
      </c>
      <c r="Z17" s="169">
        <v>35838.097000000002</v>
      </c>
      <c r="AA17" s="169">
        <v>30082.971000000001</v>
      </c>
      <c r="AB17" s="170">
        <v>0.1913084316</v>
      </c>
      <c r="AC17" s="169">
        <v>118609.617</v>
      </c>
      <c r="AD17" s="169">
        <v>105396.21799999999</v>
      </c>
      <c r="AE17" s="170">
        <v>0.1253688154</v>
      </c>
      <c r="AF17" s="169">
        <v>359182.8</v>
      </c>
      <c r="AG17" s="170">
        <v>8.3458029700000005E-2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15.544</v>
      </c>
      <c r="S18" s="169">
        <v>97.647999999999996</v>
      </c>
      <c r="T18" s="170">
        <v>-0.84081599210000002</v>
      </c>
      <c r="U18" s="169">
        <v>199.297</v>
      </c>
      <c r="V18" s="169">
        <v>525.19799999999998</v>
      </c>
      <c r="W18" s="170">
        <v>-0.62052978110000001</v>
      </c>
      <c r="X18" s="169">
        <v>1237.204</v>
      </c>
      <c r="Y18" s="170">
        <v>-9.2310785000000006E-2</v>
      </c>
      <c r="Z18" s="169">
        <v>264.24700000000001</v>
      </c>
      <c r="AA18" s="169">
        <v>630.952</v>
      </c>
      <c r="AB18" s="170">
        <v>-0.58119318109999996</v>
      </c>
      <c r="AC18" s="169">
        <v>1842.2159999999999</v>
      </c>
      <c r="AD18" s="169">
        <v>2864.6</v>
      </c>
      <c r="AE18" s="170">
        <v>-0.35690288349999999</v>
      </c>
      <c r="AF18" s="169">
        <v>5945.5739999999996</v>
      </c>
      <c r="AG18" s="170">
        <v>-0.31513357980000001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1909.5409999999999</v>
      </c>
      <c r="S19" s="169">
        <v>3596.471</v>
      </c>
      <c r="T19" s="170">
        <v>-0.46905146739999998</v>
      </c>
      <c r="U19" s="169">
        <v>13071.425999999999</v>
      </c>
      <c r="V19" s="169">
        <v>13145.884</v>
      </c>
      <c r="W19" s="170">
        <v>-5.6639782000000001E-3</v>
      </c>
      <c r="X19" s="169">
        <v>36891.006999999998</v>
      </c>
      <c r="Y19" s="170">
        <v>0.35972547789999998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518.1155</v>
      </c>
      <c r="K20" s="169">
        <v>524.12850000000003</v>
      </c>
      <c r="L20" s="170">
        <v>-1.14723775E-2</v>
      </c>
      <c r="M20" s="169">
        <v>1972.855</v>
      </c>
      <c r="N20" s="169">
        <v>1876.665</v>
      </c>
      <c r="O20" s="170">
        <v>5.1255818199999997E-2</v>
      </c>
      <c r="P20" s="169">
        <v>5509.9650000000001</v>
      </c>
      <c r="Q20" s="170">
        <v>-6.9793609399999998E-2</v>
      </c>
      <c r="R20" s="169">
        <v>11323.398999999999</v>
      </c>
      <c r="S20" s="169">
        <v>10657.33</v>
      </c>
      <c r="T20" s="170">
        <v>6.2498674599999998E-2</v>
      </c>
      <c r="U20" s="169">
        <v>40246.381999999998</v>
      </c>
      <c r="V20" s="169">
        <v>37486.922500000001</v>
      </c>
      <c r="W20" s="170">
        <v>7.3611257400000005E-2</v>
      </c>
      <c r="X20" s="169">
        <v>135894.46</v>
      </c>
      <c r="Y20" s="170">
        <v>-1.3594170100000001E-2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518.1155</v>
      </c>
      <c r="K21" s="169">
        <v>524.12850000000003</v>
      </c>
      <c r="L21" s="170">
        <v>-1.14723775E-2</v>
      </c>
      <c r="M21" s="169">
        <v>1972.855</v>
      </c>
      <c r="N21" s="169">
        <v>1876.665</v>
      </c>
      <c r="O21" s="170">
        <v>5.1255818199999997E-2</v>
      </c>
      <c r="P21" s="169">
        <v>5509.9650000000001</v>
      </c>
      <c r="Q21" s="170">
        <v>-6.9793609399999998E-2</v>
      </c>
      <c r="R21" s="169">
        <v>11323.398999999999</v>
      </c>
      <c r="S21" s="169">
        <v>10657.33</v>
      </c>
      <c r="T21" s="170">
        <v>6.2498674599999998E-2</v>
      </c>
      <c r="U21" s="169">
        <v>40246.381999999998</v>
      </c>
      <c r="V21" s="169">
        <v>37486.922500000001</v>
      </c>
      <c r="W21" s="170">
        <v>7.3611257400000005E-2</v>
      </c>
      <c r="X21" s="169">
        <v>135894.46</v>
      </c>
      <c r="Y21" s="170">
        <v>-1.3594170100000001E-2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14359.995999999999</v>
      </c>
      <c r="C22" s="171">
        <v>13780.955</v>
      </c>
      <c r="D22" s="172">
        <v>4.2017479900000002E-2</v>
      </c>
      <c r="E22" s="171">
        <v>60300.462</v>
      </c>
      <c r="F22" s="171">
        <v>61509.764999999999</v>
      </c>
      <c r="G22" s="172">
        <v>-1.96603417E-2</v>
      </c>
      <c r="H22" s="171">
        <v>185047.88</v>
      </c>
      <c r="I22" s="172">
        <v>-3.5455950899999998E-2</v>
      </c>
      <c r="J22" s="171">
        <v>14785.028</v>
      </c>
      <c r="K22" s="171">
        <v>14461.343999999999</v>
      </c>
      <c r="L22" s="172">
        <v>2.2382705199999998E-2</v>
      </c>
      <c r="M22" s="171">
        <v>61866.175999999999</v>
      </c>
      <c r="N22" s="171">
        <v>60820.938000000002</v>
      </c>
      <c r="O22" s="172">
        <v>1.7185496200000001E-2</v>
      </c>
      <c r="P22" s="171">
        <v>203093.4</v>
      </c>
      <c r="Q22" s="172">
        <v>4.1908576699999998E-2</v>
      </c>
      <c r="R22" s="171">
        <v>321546.75300000003</v>
      </c>
      <c r="S22" s="171">
        <v>307738.98599999998</v>
      </c>
      <c r="T22" s="172">
        <v>4.4868435999999998E-2</v>
      </c>
      <c r="U22" s="171">
        <v>1254178.807</v>
      </c>
      <c r="V22" s="171">
        <v>1309480.6259999999</v>
      </c>
      <c r="W22" s="172">
        <v>-4.2231872599999998E-2</v>
      </c>
      <c r="X22" s="171">
        <v>4521006.6809999999</v>
      </c>
      <c r="Y22" s="172">
        <v>-0.1189131635</v>
      </c>
      <c r="Z22" s="171">
        <v>704820.53099999996</v>
      </c>
      <c r="AA22" s="171">
        <v>675990.98199999996</v>
      </c>
      <c r="AB22" s="172">
        <v>4.2647830800000001E-2</v>
      </c>
      <c r="AC22" s="171">
        <v>2861590.7439999999</v>
      </c>
      <c r="AD22" s="171">
        <v>2759386.983</v>
      </c>
      <c r="AE22" s="172">
        <v>3.70385747E-2</v>
      </c>
      <c r="AF22" s="171">
        <v>8855047.5519999992</v>
      </c>
      <c r="AG22" s="172">
        <v>3.6016800299999999E-2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109362.35</v>
      </c>
      <c r="S23" s="169">
        <v>98033.414000000004</v>
      </c>
      <c r="T23" s="170">
        <v>0.1155619858</v>
      </c>
      <c r="U23" s="169">
        <v>457534.43300000002</v>
      </c>
      <c r="V23" s="169">
        <v>393912.11499999999</v>
      </c>
      <c r="W23" s="170">
        <v>0.16151399150000001</v>
      </c>
      <c r="X23" s="169">
        <v>1489682.2479999999</v>
      </c>
      <c r="Y23" s="170">
        <v>0.70511766129999998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14359.995999999999</v>
      </c>
      <c r="C24" s="171">
        <v>13780.955</v>
      </c>
      <c r="D24" s="172">
        <v>4.2017479900000002E-2</v>
      </c>
      <c r="E24" s="171">
        <v>60300.462</v>
      </c>
      <c r="F24" s="171">
        <v>61509.764999999999</v>
      </c>
      <c r="G24" s="172">
        <v>-1.96603417E-2</v>
      </c>
      <c r="H24" s="171">
        <v>185047.88</v>
      </c>
      <c r="I24" s="172">
        <v>-3.5455950899999998E-2</v>
      </c>
      <c r="J24" s="171">
        <v>14785.028</v>
      </c>
      <c r="K24" s="171">
        <v>14461.343999999999</v>
      </c>
      <c r="L24" s="172">
        <v>2.2382705199999998E-2</v>
      </c>
      <c r="M24" s="171">
        <v>61866.175999999999</v>
      </c>
      <c r="N24" s="171">
        <v>60820.938000000002</v>
      </c>
      <c r="O24" s="172">
        <v>1.7185496200000001E-2</v>
      </c>
      <c r="P24" s="171">
        <v>203093.4</v>
      </c>
      <c r="Q24" s="172">
        <v>4.1908576699999998E-2</v>
      </c>
      <c r="R24" s="171">
        <v>430909.103</v>
      </c>
      <c r="S24" s="171">
        <v>405772.4</v>
      </c>
      <c r="T24" s="172">
        <v>6.1947789000000003E-2</v>
      </c>
      <c r="U24" s="171">
        <v>1711713.24</v>
      </c>
      <c r="V24" s="171">
        <v>1703392.7409999999</v>
      </c>
      <c r="W24" s="172">
        <v>4.8846627000000004E-3</v>
      </c>
      <c r="X24" s="171">
        <v>6010688.9289999995</v>
      </c>
      <c r="Y24" s="172">
        <v>9.7669919999999999E-4</v>
      </c>
      <c r="Z24" s="171">
        <v>704820.53099999996</v>
      </c>
      <c r="AA24" s="171">
        <v>675990.98199999996</v>
      </c>
      <c r="AB24" s="172">
        <v>4.2647830800000001E-2</v>
      </c>
      <c r="AC24" s="171">
        <v>2861590.7439999999</v>
      </c>
      <c r="AD24" s="171">
        <v>2759386.983</v>
      </c>
      <c r="AE24" s="172">
        <v>3.70385747E-2</v>
      </c>
      <c r="AF24" s="171">
        <v>8855047.5519999992</v>
      </c>
      <c r="AG24" s="172">
        <v>3.6016800299999999E-2</v>
      </c>
    </row>
    <row r="25" spans="1:33">
      <c r="R25" s="162">
        <f>SUM(R10,R14)</f>
        <v>18212.437000000002</v>
      </c>
      <c r="S25" s="162">
        <f>SUM(S10,S14)</f>
        <v>7134.4489999999996</v>
      </c>
      <c r="T25" s="163">
        <f>((R25/S25)-1)*100</f>
        <v>155.27461195671876</v>
      </c>
    </row>
    <row r="26" spans="1:33">
      <c r="A26" s="102" t="s">
        <v>103</v>
      </c>
      <c r="B26" s="162">
        <f>SUM(B24,J24,R24,Z24)</f>
        <v>1164874.6579999998</v>
      </c>
      <c r="C26" s="162">
        <f>SUM(C24,K24,S24,AA24)</f>
        <v>1110005.6809999999</v>
      </c>
      <c r="D26" s="163">
        <f>((B26/C26)-1)*100</f>
        <v>4.9431257820742536</v>
      </c>
      <c r="R26" s="179">
        <f>R23/R24</f>
        <v>0.25379447600112548</v>
      </c>
      <c r="S26" s="179">
        <f>S23/S24</f>
        <v>0.24159704800030757</v>
      </c>
      <c r="Z26" s="163"/>
    </row>
    <row r="29" spans="1:33" ht="15">
      <c r="A29" s="134" t="s">
        <v>67</v>
      </c>
      <c r="B29" s="199" t="str">
        <f>A2</f>
        <v>Abril 2024</v>
      </c>
      <c r="C29" s="200"/>
    </row>
    <row r="30" spans="1:33" ht="15">
      <c r="A30" s="134" t="s">
        <v>69</v>
      </c>
      <c r="B30" s="210" t="s">
        <v>72</v>
      </c>
      <c r="C30" s="211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644.70000000000005</v>
      </c>
      <c r="D41" s="167"/>
    </row>
    <row r="42" spans="1:4">
      <c r="A42" s="133" t="s">
        <v>4</v>
      </c>
      <c r="B42" s="176">
        <v>333.31439499999999</v>
      </c>
      <c r="C42" s="176">
        <v>244.803945</v>
      </c>
      <c r="D42" s="167"/>
    </row>
    <row r="43" spans="1:4">
      <c r="A43" s="133" t="s">
        <v>22</v>
      </c>
      <c r="B43" s="176">
        <v>2.13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2231.9348950000003</v>
      </c>
      <c r="C47" s="177">
        <f>SUM(C33:C46)</f>
        <v>3304.4099450000003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10.806766834477937</v>
      </c>
      <c r="D52" s="165"/>
      <c r="F52" s="105" t="s">
        <v>10</v>
      </c>
      <c r="G52" s="106">
        <f>C35</f>
        <v>487.64</v>
      </c>
      <c r="H52" s="107">
        <f>G52/$G$62*100</f>
        <v>14.75724889213163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6.2457018935581452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15.759243213390098</v>
      </c>
    </row>
    <row r="54" spans="1:8">
      <c r="A54" s="105" t="s">
        <v>9</v>
      </c>
      <c r="B54" s="106">
        <f t="shared" si="1"/>
        <v>603.1</v>
      </c>
      <c r="C54" s="107">
        <f t="shared" si="0"/>
        <v>27.021397503622076</v>
      </c>
      <c r="D54" s="165"/>
      <c r="F54" s="105" t="s">
        <v>8</v>
      </c>
      <c r="G54" s="106">
        <f>C37</f>
        <v>482.64</v>
      </c>
      <c r="H54" s="107">
        <f t="shared" si="2"/>
        <v>14.605935947211899</v>
      </c>
    </row>
    <row r="55" spans="1:8">
      <c r="A55" s="105" t="s">
        <v>25</v>
      </c>
      <c r="B55" s="106">
        <f>B38</f>
        <v>822.9</v>
      </c>
      <c r="C55" s="107">
        <f t="shared" si="0"/>
        <v>36.869355008672862</v>
      </c>
      <c r="D55" s="165"/>
      <c r="F55" s="105" t="s">
        <v>25</v>
      </c>
      <c r="G55" s="106">
        <f>C38</f>
        <v>865.4</v>
      </c>
      <c r="H55" s="107">
        <f t="shared" si="2"/>
        <v>26.189244506707233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1.1560308991867532</v>
      </c>
    </row>
    <row r="57" spans="1:8">
      <c r="A57" s="105" t="s">
        <v>23</v>
      </c>
      <c r="B57" s="106">
        <f>B44</f>
        <v>11.523</v>
      </c>
      <c r="C57" s="107">
        <f t="shared" si="0"/>
        <v>0.51627850013967358</v>
      </c>
      <c r="D57" s="165"/>
      <c r="F57" s="105" t="s">
        <v>12</v>
      </c>
      <c r="G57" s="107">
        <f>C33</f>
        <v>1.52</v>
      </c>
      <c r="H57" s="107">
        <f t="shared" si="2"/>
        <v>4.599913525559856E-2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1.6756761177838924</v>
      </c>
      <c r="D58" s="165"/>
      <c r="F58" s="105" t="s">
        <v>6</v>
      </c>
      <c r="G58" s="106">
        <f>C40</f>
        <v>11.32</v>
      </c>
      <c r="H58" s="107">
        <f t="shared" si="2"/>
        <v>0.34257250729827343</v>
      </c>
    </row>
    <row r="59" spans="1:8">
      <c r="A59" s="105" t="s">
        <v>54</v>
      </c>
      <c r="B59" s="106">
        <f>B45</f>
        <v>37.4</v>
      </c>
      <c r="C59" s="107">
        <f t="shared" si="3"/>
        <v>1.6756761177838924</v>
      </c>
      <c r="D59" s="165"/>
      <c r="F59" s="105" t="s">
        <v>5</v>
      </c>
      <c r="G59" s="106">
        <f>C41</f>
        <v>644.70000000000005</v>
      </c>
      <c r="H59" s="107">
        <f t="shared" si="2"/>
        <v>19.510291117950256</v>
      </c>
    </row>
    <row r="60" spans="1:8">
      <c r="A60" s="105" t="s">
        <v>5</v>
      </c>
      <c r="B60" s="106">
        <f>B41</f>
        <v>3.5674999999999999</v>
      </c>
      <c r="C60" s="107">
        <f t="shared" si="3"/>
        <v>0.15983889171641807</v>
      </c>
      <c r="D60" s="165"/>
      <c r="F60" s="105" t="s">
        <v>4</v>
      </c>
      <c r="G60" s="106">
        <f>C42</f>
        <v>244.803945</v>
      </c>
      <c r="H60" s="107">
        <f t="shared" si="2"/>
        <v>7.4084011691836249</v>
      </c>
    </row>
    <row r="61" spans="1:8">
      <c r="A61" s="105" t="s">
        <v>4</v>
      </c>
      <c r="B61" s="106">
        <f>B42</f>
        <v>333.31439499999999</v>
      </c>
      <c r="C61" s="107">
        <f t="shared" si="3"/>
        <v>14.933876241045102</v>
      </c>
      <c r="D61" s="165"/>
      <c r="F61" s="105" t="s">
        <v>22</v>
      </c>
      <c r="G61" s="106">
        <f>C43</f>
        <v>7.4359999999999999</v>
      </c>
      <c r="H61" s="107">
        <f t="shared" si="2"/>
        <v>0.22503261168462557</v>
      </c>
    </row>
    <row r="62" spans="1:8">
      <c r="A62" s="105" t="s">
        <v>22</v>
      </c>
      <c r="B62" s="106">
        <f>B43</f>
        <v>2.13</v>
      </c>
      <c r="C62" s="107">
        <f t="shared" si="3"/>
        <v>9.5432891199991723E-2</v>
      </c>
      <c r="D62" s="165"/>
      <c r="F62" s="108" t="s">
        <v>20</v>
      </c>
      <c r="G62" s="109">
        <f>SUM(G52:G61)</f>
        <v>3304.4099450000003</v>
      </c>
      <c r="H62" s="110">
        <f>SUM(H52:H61)</f>
        <v>100</v>
      </c>
    </row>
    <row r="63" spans="1:8">
      <c r="A63" s="108" t="s">
        <v>20</v>
      </c>
      <c r="B63" s="109">
        <f>SUM(B52:B62)</f>
        <v>2231.9348950000003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3">
        <f>(C68/SUM($C$68:$C$78))*100</f>
        <v>0</v>
      </c>
      <c r="F68" s="105" t="s">
        <v>10</v>
      </c>
      <c r="G68" s="107">
        <f>SUM(Z10,Z14)/Z$24*100</f>
        <v>20.430161958491531</v>
      </c>
    </row>
    <row r="69" spans="1:7">
      <c r="A69" s="105" t="s">
        <v>10</v>
      </c>
      <c r="B69" s="107">
        <f t="shared" ref="B69:B78" si="4">C69/$C$80*100</f>
        <v>4.2173226372228969</v>
      </c>
      <c r="C69" s="106">
        <f>R10</f>
        <v>18212.437000000002</v>
      </c>
      <c r="D69" s="183">
        <f t="shared" ref="D69:D78" si="5">(C69/SUM($C$68:$C$78))*100</f>
        <v>5.6475129580132979</v>
      </c>
      <c r="F69" s="105" t="s">
        <v>9</v>
      </c>
      <c r="G69" s="107">
        <f>Z11/Z$24*100</f>
        <v>2.1307553255709575</v>
      </c>
    </row>
    <row r="70" spans="1:7">
      <c r="A70" s="105" t="s">
        <v>9</v>
      </c>
      <c r="B70" s="107">
        <f t="shared" si="4"/>
        <v>6.8308175730987744</v>
      </c>
      <c r="C70" s="106">
        <f>R11</f>
        <v>29498.771000000001</v>
      </c>
      <c r="D70" s="183">
        <f t="shared" si="5"/>
        <v>9.1473036512338712</v>
      </c>
      <c r="F70" s="105" t="s">
        <v>8</v>
      </c>
      <c r="G70" s="107">
        <f>Z12/Z$24*100</f>
        <v>13.944716233017907</v>
      </c>
    </row>
    <row r="71" spans="1:7">
      <c r="A71" s="105" t="s">
        <v>25</v>
      </c>
      <c r="B71" s="107">
        <f t="shared" si="4"/>
        <v>47.628406548789151</v>
      </c>
      <c r="C71" s="106">
        <f>R13</f>
        <v>205682.47399999999</v>
      </c>
      <c r="D71" s="183">
        <f>(C71/SUM($C$68:$C$78))*100</f>
        <v>63.78028580970426</v>
      </c>
      <c r="F71" s="105" t="s">
        <v>25</v>
      </c>
      <c r="G71" s="107">
        <f>Z13/Z$24*100</f>
        <v>44.719858621712035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4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0.4421786324370125</v>
      </c>
      <c r="C73" s="106">
        <f>R19</f>
        <v>1909.5409999999999</v>
      </c>
      <c r="D73" s="183">
        <f t="shared" si="5"/>
        <v>0.59213149461314085</v>
      </c>
      <c r="F73" s="105" t="s">
        <v>12</v>
      </c>
      <c r="G73" s="107">
        <f>Z8/Z$24*100</f>
        <v>3.6662808280197502E-2</v>
      </c>
    </row>
    <row r="74" spans="1:7">
      <c r="A74" s="105" t="s">
        <v>55</v>
      </c>
      <c r="B74" s="107">
        <f t="shared" si="4"/>
        <v>2.6220778105097691</v>
      </c>
      <c r="C74" s="106">
        <f>R21</f>
        <v>11323.398999999999</v>
      </c>
      <c r="D74" s="183">
        <f t="shared" si="5"/>
        <v>3.5112842164535585</v>
      </c>
      <c r="F74" s="105" t="s">
        <v>6</v>
      </c>
      <c r="G74" s="107">
        <f>Z15/Z$24*100</f>
        <v>0.18367044418574124</v>
      </c>
    </row>
    <row r="75" spans="1:7">
      <c r="A75" s="105" t="s">
        <v>54</v>
      </c>
      <c r="B75" s="107">
        <f t="shared" si="4"/>
        <v>2.6220778105097691</v>
      </c>
      <c r="C75" s="106">
        <f>R20</f>
        <v>11323.398999999999</v>
      </c>
      <c r="D75" s="183">
        <f t="shared" si="5"/>
        <v>3.5112842164535585</v>
      </c>
      <c r="F75" s="105" t="s">
        <v>5</v>
      </c>
      <c r="G75" s="107">
        <f>Z16/Z$24*100</f>
        <v>13.431970811871825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3">
        <f t="shared" si="5"/>
        <v>0</v>
      </c>
      <c r="F76" s="105" t="s">
        <v>4</v>
      </c>
      <c r="G76" s="107">
        <f>Z17/Z$24*100</f>
        <v>5.0847124088671025</v>
      </c>
    </row>
    <row r="77" spans="1:7">
      <c r="A77" s="105" t="s">
        <v>4</v>
      </c>
      <c r="B77" s="107">
        <f t="shared" si="4"/>
        <v>10.309269212140807</v>
      </c>
      <c r="C77" s="106">
        <f>R17</f>
        <v>44520.406000000003</v>
      </c>
      <c r="D77" s="183">
        <f t="shared" si="5"/>
        <v>13.805377598890963</v>
      </c>
      <c r="F77" s="105" t="s">
        <v>22</v>
      </c>
      <c r="G77" s="107">
        <f>Z18/Z$24*100</f>
        <v>3.7491388002714135E-2</v>
      </c>
    </row>
    <row r="78" spans="1:7">
      <c r="A78" s="105" t="s">
        <v>22</v>
      </c>
      <c r="B78" s="107">
        <f t="shared" si="4"/>
        <v>3.5994119333394377E-3</v>
      </c>
      <c r="C78" s="106">
        <f>R18</f>
        <v>15.544</v>
      </c>
      <c r="D78" s="183">
        <f t="shared" si="5"/>
        <v>4.8200546373535118E-3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25.32425036335848</v>
      </c>
      <c r="C79" s="106">
        <f>R23</f>
        <v>109362.35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431848.321</v>
      </c>
      <c r="D80" s="165"/>
    </row>
    <row r="85" spans="1:26" ht="15">
      <c r="A85" s="134"/>
      <c r="B85" s="134" t="s">
        <v>69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119</v>
      </c>
      <c r="Q86" s="180" t="s">
        <v>120</v>
      </c>
      <c r="R86" s="180" t="s">
        <v>121</v>
      </c>
      <c r="S86" s="180" t="s">
        <v>125</v>
      </c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/>
      <c r="U87"/>
      <c r="V87"/>
      <c r="W87"/>
      <c r="X87"/>
      <c r="Y87"/>
      <c r="Z87"/>
    </row>
    <row r="88" spans="1:26" ht="15">
      <c r="A88" s="207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9.4789329999999996</v>
      </c>
      <c r="T88"/>
      <c r="U88"/>
      <c r="V88"/>
      <c r="W88"/>
      <c r="X88"/>
      <c r="Y88"/>
      <c r="Z88"/>
    </row>
    <row r="89" spans="1:26" ht="15">
      <c r="A89" s="208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6.2665600000000001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5.2718379999999998</v>
      </c>
      <c r="T89"/>
      <c r="U89"/>
      <c r="V89"/>
      <c r="W89"/>
      <c r="X89"/>
      <c r="Y89"/>
      <c r="Z89"/>
    </row>
    <row r="90" spans="1:26" ht="15">
      <c r="A90" s="208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11.929349999999999</v>
      </c>
      <c r="T90"/>
      <c r="U90"/>
      <c r="V90"/>
      <c r="W90"/>
      <c r="X90"/>
      <c r="Y90"/>
      <c r="Z90"/>
    </row>
    <row r="91" spans="1:26" ht="15">
      <c r="A91" s="208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111.145714</v>
      </c>
      <c r="T91"/>
      <c r="U91"/>
      <c r="V91"/>
      <c r="W91"/>
      <c r="X91"/>
      <c r="Y91"/>
      <c r="Z91"/>
    </row>
    <row r="92" spans="1:26" ht="15">
      <c r="A92" s="208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/>
      <c r="U92"/>
      <c r="V92"/>
      <c r="W92"/>
      <c r="X92"/>
      <c r="Y92"/>
      <c r="Z92"/>
    </row>
    <row r="93" spans="1:26" ht="15">
      <c r="A93" s="208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/>
      <c r="U93"/>
      <c r="V93"/>
      <c r="W93"/>
      <c r="X93"/>
      <c r="Y93"/>
      <c r="Z93"/>
    </row>
    <row r="94" spans="1:26" ht="15">
      <c r="A94" s="208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44.650032000000003</v>
      </c>
      <c r="K94" s="173">
        <v>34.850726000000002</v>
      </c>
      <c r="L94" s="173">
        <v>32.888846000000001</v>
      </c>
      <c r="M94" s="173">
        <v>24.884706000000001</v>
      </c>
      <c r="N94" s="173">
        <v>22.636651000000001</v>
      </c>
      <c r="O94" s="173">
        <v>23.970113999999999</v>
      </c>
      <c r="P94" s="173">
        <v>30.744498</v>
      </c>
      <c r="Q94" s="173">
        <v>45.305076999999997</v>
      </c>
      <c r="R94" s="173">
        <v>44.520406000000001</v>
      </c>
      <c r="S94" s="173">
        <v>30.281397999999999</v>
      </c>
      <c r="T94"/>
      <c r="U94"/>
      <c r="V94"/>
      <c r="W94"/>
      <c r="X94"/>
      <c r="Y94"/>
      <c r="Z94"/>
    </row>
    <row r="95" spans="1:26" ht="15">
      <c r="A95" s="208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0.10422099999999999</v>
      </c>
      <c r="P95" s="173">
        <v>3.9530000000000003E-2</v>
      </c>
      <c r="Q95" s="173">
        <v>4.0002000000000003E-2</v>
      </c>
      <c r="R95" s="173">
        <v>1.5544000000000001E-2</v>
      </c>
      <c r="S95" s="173">
        <v>6.1669999999999997E-3</v>
      </c>
      <c r="T95"/>
      <c r="U95"/>
      <c r="V95"/>
      <c r="W95"/>
      <c r="X95"/>
      <c r="Y95"/>
      <c r="Z95"/>
    </row>
    <row r="96" spans="1:26" ht="15">
      <c r="A96" s="208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1.72485</v>
      </c>
      <c r="T96"/>
      <c r="U96"/>
      <c r="V96"/>
      <c r="W96"/>
      <c r="X96"/>
      <c r="Y96"/>
      <c r="Z96"/>
    </row>
    <row r="97" spans="1:26" ht="15">
      <c r="A97" s="208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5.8888499999999997</v>
      </c>
      <c r="T97"/>
      <c r="U97"/>
      <c r="V97"/>
      <c r="W97"/>
      <c r="X97"/>
      <c r="Y97"/>
      <c r="Z97"/>
    </row>
    <row r="98" spans="1:26" ht="15">
      <c r="A98" s="208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5.8888499999999997</v>
      </c>
      <c r="T98"/>
      <c r="U98"/>
      <c r="V98"/>
      <c r="W98"/>
      <c r="X98"/>
      <c r="Y98"/>
      <c r="Z98"/>
    </row>
    <row r="99" spans="1:26" ht="15">
      <c r="A99" s="208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529.62082399999997</v>
      </c>
      <c r="K99" s="174">
        <v>435.40925900000002</v>
      </c>
      <c r="L99" s="174">
        <v>363.93063999999998</v>
      </c>
      <c r="M99" s="174">
        <v>302.20483200000001</v>
      </c>
      <c r="N99" s="174">
        <v>305.99322599999999</v>
      </c>
      <c r="O99" s="174">
        <v>322.739238</v>
      </c>
      <c r="P99" s="174">
        <v>292.19124699999998</v>
      </c>
      <c r="Q99" s="174">
        <v>317.70156900000001</v>
      </c>
      <c r="R99" s="174">
        <v>321.54675300000002</v>
      </c>
      <c r="S99" s="174">
        <v>181.61595</v>
      </c>
      <c r="T99"/>
      <c r="U99"/>
      <c r="V99"/>
      <c r="W99"/>
      <c r="X99"/>
      <c r="Y99"/>
      <c r="Z99"/>
    </row>
    <row r="100" spans="1:26" ht="15">
      <c r="A100" s="208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60.69003</v>
      </c>
      <c r="T100"/>
      <c r="U100"/>
      <c r="V100"/>
      <c r="W100"/>
      <c r="X100"/>
      <c r="Y100"/>
      <c r="Z100"/>
    </row>
    <row r="101" spans="1:26" ht="15">
      <c r="A101" s="209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704.63011500000005</v>
      </c>
      <c r="K101" s="174">
        <v>566.26396099999999</v>
      </c>
      <c r="L101" s="174">
        <v>495.37813</v>
      </c>
      <c r="M101" s="174">
        <v>372.94052199999999</v>
      </c>
      <c r="N101" s="174">
        <v>418.433494</v>
      </c>
      <c r="O101" s="174">
        <v>445.49951199999998</v>
      </c>
      <c r="P101" s="174">
        <v>406.93532900000002</v>
      </c>
      <c r="Q101" s="174">
        <v>428.36929600000002</v>
      </c>
      <c r="R101" s="174">
        <v>430.90910300000002</v>
      </c>
      <c r="S101" s="174">
        <v>242.30598000000001</v>
      </c>
      <c r="T101"/>
      <c r="U101"/>
      <c r="V101"/>
      <c r="W101"/>
      <c r="X101"/>
      <c r="Y101"/>
      <c r="Z101"/>
    </row>
    <row r="102" spans="1:26" ht="15">
      <c r="A102" s="212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</v>
      </c>
      <c r="T102"/>
      <c r="U102"/>
      <c r="V102"/>
      <c r="W102"/>
      <c r="X102"/>
      <c r="Y102"/>
      <c r="Z102"/>
    </row>
    <row r="103" spans="1:26" ht="15">
      <c r="A103" s="208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179.17001500000001</v>
      </c>
      <c r="M103" s="173">
        <v>168.212242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72.310847999999993</v>
      </c>
      <c r="T103"/>
      <c r="U103"/>
      <c r="V103"/>
      <c r="W103"/>
      <c r="X103"/>
      <c r="Y103"/>
      <c r="Z103"/>
    </row>
    <row r="104" spans="1:26" ht="15">
      <c r="A104" s="208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4.477983</v>
      </c>
      <c r="T104"/>
      <c r="U104"/>
      <c r="V104"/>
      <c r="W104"/>
      <c r="X104"/>
      <c r="Y104"/>
      <c r="Z104"/>
    </row>
    <row r="105" spans="1:26" ht="15">
      <c r="A105" s="208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50.264052999999997</v>
      </c>
      <c r="T105"/>
      <c r="U105"/>
      <c r="V105"/>
      <c r="W105"/>
      <c r="X105"/>
      <c r="Y105"/>
      <c r="Z105"/>
    </row>
    <row r="106" spans="1:26" ht="15">
      <c r="A106" s="208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130.583958</v>
      </c>
      <c r="T106"/>
      <c r="U106"/>
      <c r="V106"/>
      <c r="W106"/>
      <c r="X106"/>
      <c r="Y106"/>
      <c r="Z106"/>
    </row>
    <row r="107" spans="1:26" ht="15">
      <c r="A107" s="208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/>
      <c r="U107"/>
      <c r="V107"/>
      <c r="W107"/>
      <c r="X107"/>
      <c r="Y107"/>
      <c r="Z107"/>
    </row>
    <row r="108" spans="1:26" ht="15">
      <c r="A108" s="208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1.914237</v>
      </c>
      <c r="T108"/>
      <c r="U108"/>
      <c r="V108"/>
      <c r="W108"/>
      <c r="X108"/>
      <c r="Y108"/>
      <c r="Z108"/>
    </row>
    <row r="109" spans="1:26" ht="15">
      <c r="A109" s="208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57.760353000000002</v>
      </c>
      <c r="M109" s="173">
        <v>99.230602000000005</v>
      </c>
      <c r="N109" s="173">
        <v>70.608433000000005</v>
      </c>
      <c r="O109" s="173">
        <v>53.195207000000003</v>
      </c>
      <c r="P109" s="173">
        <v>108.751811</v>
      </c>
      <c r="Q109" s="173">
        <v>89.282236999999995</v>
      </c>
      <c r="R109" s="173">
        <v>94.671288000000004</v>
      </c>
      <c r="S109" s="173">
        <v>96.117209000000003</v>
      </c>
      <c r="T109"/>
      <c r="U109"/>
      <c r="V109"/>
      <c r="W109"/>
      <c r="X109"/>
      <c r="Y109"/>
      <c r="Z109"/>
    </row>
    <row r="110" spans="1:26" ht="15">
      <c r="A110" s="208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33.707680000000003</v>
      </c>
      <c r="K110" s="173">
        <v>31.407260000000001</v>
      </c>
      <c r="L110" s="173">
        <v>29.906251000000001</v>
      </c>
      <c r="M110" s="173">
        <v>25.097702999999999</v>
      </c>
      <c r="N110" s="173">
        <v>23.682936000000002</v>
      </c>
      <c r="O110" s="173">
        <v>24.559023</v>
      </c>
      <c r="P110" s="173">
        <v>26.306543000000001</v>
      </c>
      <c r="Q110" s="173">
        <v>31.905954000000001</v>
      </c>
      <c r="R110" s="173">
        <v>35.838096999999998</v>
      </c>
      <c r="S110" s="173">
        <v>16.705774000000002</v>
      </c>
      <c r="T110"/>
      <c r="U110"/>
      <c r="V110"/>
      <c r="W110"/>
      <c r="X110"/>
      <c r="Y110"/>
      <c r="Z110"/>
    </row>
    <row r="111" spans="1:26" ht="15">
      <c r="A111" s="208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</v>
      </c>
      <c r="T111"/>
      <c r="U111"/>
      <c r="V111"/>
      <c r="W111"/>
      <c r="X111"/>
      <c r="Y111"/>
      <c r="Z111"/>
    </row>
    <row r="112" spans="1:26" ht="15">
      <c r="A112" s="208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802.65790300000003</v>
      </c>
      <c r="K112" s="174">
        <v>744.75916099999995</v>
      </c>
      <c r="L112" s="174">
        <v>803.86761799999999</v>
      </c>
      <c r="M112" s="174">
        <v>730.19147599999997</v>
      </c>
      <c r="N112" s="174">
        <v>733.35031600000002</v>
      </c>
      <c r="O112" s="174">
        <v>741.00049100000001</v>
      </c>
      <c r="P112" s="174">
        <v>691.29240300000004</v>
      </c>
      <c r="Q112" s="174">
        <v>724.47731899999997</v>
      </c>
      <c r="R112" s="174">
        <v>704.82053099999996</v>
      </c>
      <c r="S112" s="174">
        <v>372.37406199999998</v>
      </c>
      <c r="T112"/>
      <c r="U112"/>
      <c r="V112"/>
      <c r="W112"/>
      <c r="X112"/>
      <c r="Y112"/>
      <c r="Z112"/>
    </row>
    <row r="113" spans="1:26" ht="15">
      <c r="A113" s="209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802.65790300000003</v>
      </c>
      <c r="K113" s="174">
        <v>744.75916099999995</v>
      </c>
      <c r="L113" s="174">
        <v>803.86761799999999</v>
      </c>
      <c r="M113" s="174">
        <v>730.19147599999997</v>
      </c>
      <c r="N113" s="174">
        <v>733.35031600000002</v>
      </c>
      <c r="O113" s="174">
        <v>741.00049100000001</v>
      </c>
      <c r="P113" s="174">
        <v>691.29240300000004</v>
      </c>
      <c r="Q113" s="174">
        <v>724.47731899999997</v>
      </c>
      <c r="R113" s="174">
        <v>704.82053099999996</v>
      </c>
      <c r="S113" s="174">
        <v>372.37406199999998</v>
      </c>
      <c r="T113"/>
      <c r="U113"/>
      <c r="V113"/>
      <c r="W113"/>
      <c r="X113"/>
      <c r="Y113"/>
      <c r="Z113"/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5" t="s">
        <v>73</v>
      </c>
      <c r="C117" s="111" t="str">
        <f>TEXT(EDATE(D117,-1),"mmmm aaaa")</f>
        <v>abril 2023</v>
      </c>
      <c r="D117" s="111" t="str">
        <f t="shared" ref="D117:M117" si="6">TEXT(EDATE(E117,-1),"mmmm aaaa")</f>
        <v>mayo 2023</v>
      </c>
      <c r="E117" s="111" t="str">
        <f t="shared" si="6"/>
        <v>junio 2023</v>
      </c>
      <c r="F117" s="111" t="str">
        <f t="shared" si="6"/>
        <v>julio 2023</v>
      </c>
      <c r="G117" s="111" t="str">
        <f t="shared" si="6"/>
        <v>agosto 2023</v>
      </c>
      <c r="H117" s="111" t="str">
        <f t="shared" si="6"/>
        <v>septiembre 2023</v>
      </c>
      <c r="I117" s="111" t="str">
        <f t="shared" si="6"/>
        <v>octubre 2023</v>
      </c>
      <c r="J117" s="111" t="str">
        <f t="shared" si="6"/>
        <v>noviembre 2023</v>
      </c>
      <c r="K117" s="111" t="str">
        <f t="shared" si="6"/>
        <v>diciembre 2023</v>
      </c>
      <c r="L117" s="111" t="str">
        <f t="shared" si="6"/>
        <v>enero 2024</v>
      </c>
      <c r="M117" s="111" t="str">
        <f t="shared" si="6"/>
        <v>febrero 2024</v>
      </c>
      <c r="N117" s="111" t="str">
        <f>TEXT(EDATE(O117,-1),"mmmm aaaa")</f>
        <v>marzo 2024</v>
      </c>
      <c r="O117" s="112" t="str">
        <f>A2</f>
        <v>Abril 2024</v>
      </c>
    </row>
    <row r="118" spans="1:26">
      <c r="B118" s="206"/>
      <c r="C118" s="121" t="str">
        <f>TEXT(EDATE($A$2,-12),"mmm")&amp;".-"&amp;TEXT(EDATE($A$2,-12),"aa")</f>
        <v>abr.-23</v>
      </c>
      <c r="D118" s="121" t="str">
        <f>TEXT(EDATE($A$2,-11),"mmm")&amp;".-"&amp;TEXT(EDATE($A$2,-11),"aa")</f>
        <v>may.-23</v>
      </c>
      <c r="E118" s="121" t="str">
        <f>TEXT(EDATE($A$2,-10),"mmm")&amp;".-"&amp;TEXT(EDATE($A$2,-10),"aa")</f>
        <v>jun.-23</v>
      </c>
      <c r="F118" s="121" t="str">
        <f>TEXT(EDATE($A$2,-9),"mmm")&amp;".-"&amp;TEXT(EDATE($A$2,-9),"aa")</f>
        <v>jul.-23</v>
      </c>
      <c r="G118" s="121" t="str">
        <f>TEXT(EDATE($A$2,-8),"mmm")&amp;".-"&amp;TEXT(EDATE($A$2,-8),"aa")</f>
        <v>ago.-23</v>
      </c>
      <c r="H118" s="121" t="str">
        <f>TEXT(EDATE($A$2,-7),"mmm")&amp;".-"&amp;TEXT(EDATE($A$2,-7),"aa")</f>
        <v>sep.-23</v>
      </c>
      <c r="I118" s="121" t="str">
        <f>TEXT(EDATE($A$2,-6),"mmm")&amp;".-"&amp;TEXT(EDATE($A$2,-6),"aa")</f>
        <v>oct.-23</v>
      </c>
      <c r="J118" s="121" t="str">
        <f>TEXT(EDATE($A$2,-5),"mmm")&amp;".-"&amp;TEXT(EDATE($A$2,-5),"aa")</f>
        <v>nov.-23</v>
      </c>
      <c r="K118" s="121" t="str">
        <f>TEXT(EDATE($A$2,-4),"mmm")&amp;".-"&amp;TEXT(EDATE($A$2,-4),"aa")</f>
        <v>dic.-23</v>
      </c>
      <c r="L118" s="121" t="str">
        <f>TEXT(EDATE($A$2,-3),"mmm")&amp;".-"&amp;TEXT(EDATE($A$2,-3),"aa")</f>
        <v>ene.-24</v>
      </c>
      <c r="M118" s="121" t="str">
        <f>TEXT(EDATE($A$2,-2),"mmm")&amp;".-"&amp;TEXT(EDATE($A$2,-2),"aa")</f>
        <v>feb.-24</v>
      </c>
      <c r="N118" s="121" t="str">
        <f>TEXT(EDATE($A$2,-1),"mmm")&amp;".-"&amp;TEXT(EDATE($A$2,-1),"aa")</f>
        <v>mar.-24</v>
      </c>
      <c r="O118" s="143" t="str">
        <f>TEXT($A$2,"mmm")&amp;".-"&amp;TEXT($A$2,"aa")</f>
        <v>abr.-24</v>
      </c>
    </row>
    <row r="119" spans="1:26">
      <c r="A119" s="202" t="s">
        <v>76</v>
      </c>
      <c r="B119" s="122" t="s">
        <v>11</v>
      </c>
      <c r="C119" s="123">
        <f>HLOOKUP(C$117,$86:$101,3,FALSE)</f>
        <v>-0.60865999999999998</v>
      </c>
      <c r="D119" s="123">
        <f t="shared" ref="D119:N119" si="7">HLOOKUP(D$117,$86:$101,3,FALSE)</f>
        <v>-0.83296899999999996</v>
      </c>
      <c r="E119" s="123">
        <f t="shared" si="7"/>
        <v>3.1799559999999998</v>
      </c>
      <c r="F119" s="123">
        <f t="shared" si="7"/>
        <v>54.925434000000003</v>
      </c>
      <c r="G119" s="123">
        <f t="shared" si="7"/>
        <v>9.0232189999999992</v>
      </c>
      <c r="H119" s="123">
        <f t="shared" si="7"/>
        <v>-0.82337800000000005</v>
      </c>
      <c r="I119" s="123">
        <f t="shared" si="7"/>
        <v>-0.82724900000000001</v>
      </c>
      <c r="J119" s="123">
        <f t="shared" si="7"/>
        <v>-0.89542500000000003</v>
      </c>
      <c r="K119" s="123">
        <f t="shared" si="7"/>
        <v>-0.69586499999999996</v>
      </c>
      <c r="L119" s="123">
        <f t="shared" si="7"/>
        <v>-0.70605399999999996</v>
      </c>
      <c r="M119" s="123">
        <f t="shared" si="7"/>
        <v>-0.66276199999999996</v>
      </c>
      <c r="N119" s="123">
        <f t="shared" si="7"/>
        <v>-0.710283</v>
      </c>
      <c r="O119" s="124">
        <f>HLOOKUP(O$117,$86:$101,3,FALSE)</f>
        <v>-0.939218</v>
      </c>
    </row>
    <row r="120" spans="1:26">
      <c r="A120" s="203"/>
      <c r="B120" s="105" t="s">
        <v>10</v>
      </c>
      <c r="C120" s="107">
        <f>HLOOKUP(C$117,$86:$101,4,FALSE)</f>
        <v>7.134449</v>
      </c>
      <c r="D120" s="107">
        <f t="shared" ref="D120:O120" si="8">HLOOKUP(D$117,$86:$101,4,FALSE)</f>
        <v>12.70701</v>
      </c>
      <c r="E120" s="107">
        <f t="shared" si="8"/>
        <v>20.755147999999998</v>
      </c>
      <c r="F120" s="107">
        <f t="shared" si="8"/>
        <v>57.618448999999998</v>
      </c>
      <c r="G120" s="107">
        <f t="shared" si="8"/>
        <v>64.924531000000002</v>
      </c>
      <c r="H120" s="107">
        <f t="shared" si="8"/>
        <v>32.782569000000002</v>
      </c>
      <c r="I120" s="107">
        <f t="shared" si="8"/>
        <v>16.979832999999999</v>
      </c>
      <c r="J120" s="107">
        <f t="shared" si="8"/>
        <v>5.9974980000000002</v>
      </c>
      <c r="K120" s="107">
        <f t="shared" si="8"/>
        <v>6.2665600000000001</v>
      </c>
      <c r="L120" s="107">
        <f t="shared" si="8"/>
        <v>5.2892989999999998</v>
      </c>
      <c r="M120" s="107">
        <f t="shared" si="8"/>
        <v>4.8235140000000003</v>
      </c>
      <c r="N120" s="107">
        <f t="shared" si="8"/>
        <v>5.4357850000000001</v>
      </c>
      <c r="O120" s="124">
        <f t="shared" si="8"/>
        <v>18.212437000000001</v>
      </c>
    </row>
    <row r="121" spans="1:26">
      <c r="A121" s="203"/>
      <c r="B121" s="105" t="s">
        <v>9</v>
      </c>
      <c r="C121" s="107">
        <f>HLOOKUP(C$117,$86:$101,5,FALSE)</f>
        <v>29.44258</v>
      </c>
      <c r="D121" s="107">
        <f t="shared" ref="D121:O121" si="9">HLOOKUP(D$117,$86:$101,5,FALSE)</f>
        <v>35.218071999999999</v>
      </c>
      <c r="E121" s="107">
        <f t="shared" si="9"/>
        <v>56.449230999999997</v>
      </c>
      <c r="F121" s="107">
        <f t="shared" si="9"/>
        <v>67.064257999999995</v>
      </c>
      <c r="G121" s="107">
        <f t="shared" si="9"/>
        <v>53.415241999999999</v>
      </c>
      <c r="H121" s="107">
        <f t="shared" si="9"/>
        <v>49.271726999999998</v>
      </c>
      <c r="I121" s="107">
        <f t="shared" si="9"/>
        <v>44.274278000000002</v>
      </c>
      <c r="J121" s="107">
        <f t="shared" si="9"/>
        <v>24.187601999999998</v>
      </c>
      <c r="K121" s="107">
        <f t="shared" si="9"/>
        <v>22.604486999999999</v>
      </c>
      <c r="L121" s="107">
        <f t="shared" si="9"/>
        <v>25.154277</v>
      </c>
      <c r="M121" s="107">
        <f t="shared" si="9"/>
        <v>23.798262999999999</v>
      </c>
      <c r="N121" s="107">
        <f t="shared" si="9"/>
        <v>24.938551</v>
      </c>
      <c r="O121" s="124">
        <f t="shared" si="9"/>
        <v>29.498771000000001</v>
      </c>
    </row>
    <row r="122" spans="1:26" ht="14.25">
      <c r="A122" s="203"/>
      <c r="B122" s="105" t="s">
        <v>74</v>
      </c>
      <c r="C122" s="107">
        <f>HLOOKUP(C$117,$86:$101,6,FALSE)</f>
        <v>207.738203</v>
      </c>
      <c r="D122" s="107">
        <f t="shared" ref="D122:O122" si="10">HLOOKUP(D$117,$86:$101,6,FALSE)</f>
        <v>231.47546199999999</v>
      </c>
      <c r="E122" s="107">
        <f t="shared" si="10"/>
        <v>269.55010299999998</v>
      </c>
      <c r="F122" s="107">
        <f t="shared" si="10"/>
        <v>316.35504600000002</v>
      </c>
      <c r="G122" s="107">
        <f t="shared" si="10"/>
        <v>324.37696499999998</v>
      </c>
      <c r="H122" s="107">
        <f t="shared" si="10"/>
        <v>296.32292799999999</v>
      </c>
      <c r="I122" s="107">
        <f t="shared" si="10"/>
        <v>247.112684</v>
      </c>
      <c r="J122" s="107">
        <f t="shared" si="10"/>
        <v>224.26124200000001</v>
      </c>
      <c r="K122" s="107">
        <f t="shared" si="10"/>
        <v>233.91494</v>
      </c>
      <c r="L122" s="107">
        <f t="shared" si="10"/>
        <v>244.02029300000001</v>
      </c>
      <c r="M122" s="107">
        <f t="shared" si="10"/>
        <v>218.49136100000001</v>
      </c>
      <c r="N122" s="107">
        <f t="shared" si="10"/>
        <v>213.548517</v>
      </c>
      <c r="O122" s="124">
        <f t="shared" si="10"/>
        <v>205.68247400000001</v>
      </c>
    </row>
    <row r="123" spans="1:26">
      <c r="A123" s="203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3"/>
      <c r="B124" s="105" t="s">
        <v>5</v>
      </c>
      <c r="C124" s="107">
        <f>HLOOKUP(C$117,$86:$102,8,FALSE)</f>
        <v>0.12734500000000001</v>
      </c>
      <c r="D124" s="107">
        <f t="shared" ref="D124:O124" si="12">HLOOKUP(D$117,$86:$102,8,FALSE)</f>
        <v>0.24965100000000001</v>
      </c>
      <c r="E124" s="107">
        <f t="shared" si="12"/>
        <v>5.6180000000000001E-2</v>
      </c>
      <c r="F124" s="107">
        <f t="shared" si="12"/>
        <v>0.118565</v>
      </c>
      <c r="G124" s="107">
        <f t="shared" si="12"/>
        <v>9.7920999999999994E-2</v>
      </c>
      <c r="H124" s="107">
        <f t="shared" si="12"/>
        <v>0</v>
      </c>
      <c r="I124" s="107">
        <f t="shared" si="12"/>
        <v>1.0359999999999999E-2</v>
      </c>
      <c r="J124" s="107">
        <f t="shared" si="12"/>
        <v>8.7279999999999996E-3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3"/>
      <c r="B125" s="105" t="s">
        <v>4</v>
      </c>
      <c r="C125" s="107">
        <f>HLOOKUP(C$117,$86:$102,9,FALSE)</f>
        <v>38.89629</v>
      </c>
      <c r="D125" s="107">
        <f t="shared" ref="D125:O125" si="13">HLOOKUP(D$117,$86:$102,9,FALSE)</f>
        <v>34.459223999999999</v>
      </c>
      <c r="E125" s="107">
        <f t="shared" si="13"/>
        <v>37.285699000000001</v>
      </c>
      <c r="F125" s="107">
        <f t="shared" si="13"/>
        <v>41.537353000000003</v>
      </c>
      <c r="G125" s="107">
        <f t="shared" si="13"/>
        <v>44.650032000000003</v>
      </c>
      <c r="H125" s="107">
        <f t="shared" si="13"/>
        <v>34.850726000000002</v>
      </c>
      <c r="I125" s="107">
        <f t="shared" si="13"/>
        <v>32.888846000000001</v>
      </c>
      <c r="J125" s="107">
        <f t="shared" si="13"/>
        <v>24.884706000000001</v>
      </c>
      <c r="K125" s="107">
        <f t="shared" si="13"/>
        <v>22.636651000000001</v>
      </c>
      <c r="L125" s="107">
        <f t="shared" si="13"/>
        <v>23.970113999999999</v>
      </c>
      <c r="M125" s="107">
        <f t="shared" si="13"/>
        <v>30.744498</v>
      </c>
      <c r="N125" s="107">
        <f t="shared" si="13"/>
        <v>45.305076999999997</v>
      </c>
      <c r="O125" s="124">
        <f t="shared" si="13"/>
        <v>44.520406000000001</v>
      </c>
    </row>
    <row r="126" spans="1:26">
      <c r="A126" s="203"/>
      <c r="B126" s="113" t="s">
        <v>22</v>
      </c>
      <c r="C126" s="107">
        <f>HLOOKUP(C$117,$86:$102,10,FALSE)</f>
        <v>9.7647999999999999E-2</v>
      </c>
      <c r="D126" s="107">
        <f t="shared" ref="D126:O126" si="14">HLOOKUP(D$117,$86:$102,10,FALSE)</f>
        <v>0.14440500000000001</v>
      </c>
      <c r="E126" s="107">
        <f t="shared" si="14"/>
        <v>0.140066</v>
      </c>
      <c r="F126" s="107">
        <f t="shared" si="14"/>
        <v>0.102288</v>
      </c>
      <c r="G126" s="107">
        <f t="shared" si="14"/>
        <v>9.2054999999999998E-2</v>
      </c>
      <c r="H126" s="107">
        <f t="shared" si="14"/>
        <v>0.14128099999999999</v>
      </c>
      <c r="I126" s="107">
        <f t="shared" si="14"/>
        <v>0.14801500000000001</v>
      </c>
      <c r="J126" s="107">
        <f t="shared" si="14"/>
        <v>0.14354</v>
      </c>
      <c r="K126" s="107">
        <f t="shared" si="14"/>
        <v>0.12625700000000001</v>
      </c>
      <c r="L126" s="107">
        <f t="shared" si="14"/>
        <v>0.10422099999999999</v>
      </c>
      <c r="M126" s="107">
        <f t="shared" si="14"/>
        <v>3.9530000000000003E-2</v>
      </c>
      <c r="N126" s="107">
        <f t="shared" si="14"/>
        <v>4.0002000000000003E-2</v>
      </c>
      <c r="O126" s="124">
        <f t="shared" si="14"/>
        <v>1.5544000000000001E-2</v>
      </c>
    </row>
    <row r="127" spans="1:26">
      <c r="A127" s="203"/>
      <c r="B127" s="113" t="s">
        <v>23</v>
      </c>
      <c r="C127" s="107">
        <f>HLOOKUP(C$117,$86:$102,11,FALSE)</f>
        <v>3.5964710000000002</v>
      </c>
      <c r="D127" s="107">
        <f t="shared" ref="D127:O127" si="15">HLOOKUP(D$117,$86:$102,11,FALSE)</f>
        <v>3.46306</v>
      </c>
      <c r="E127" s="107">
        <f t="shared" si="15"/>
        <v>3.7329490000000001</v>
      </c>
      <c r="F127" s="107">
        <f t="shared" si="15"/>
        <v>3.1795529999999999</v>
      </c>
      <c r="G127" s="107">
        <f t="shared" si="15"/>
        <v>3.6746310000000002</v>
      </c>
      <c r="H127" s="107">
        <f t="shared" si="15"/>
        <v>2.995241</v>
      </c>
      <c r="I127" s="107">
        <f t="shared" si="15"/>
        <v>1.6210690000000001</v>
      </c>
      <c r="J127" s="107">
        <f t="shared" si="15"/>
        <v>1.996553</v>
      </c>
      <c r="K127" s="107">
        <f t="shared" si="15"/>
        <v>3.1565249999999998</v>
      </c>
      <c r="L127" s="107">
        <f t="shared" si="15"/>
        <v>3.9370180000000001</v>
      </c>
      <c r="M127" s="107">
        <f t="shared" si="15"/>
        <v>3.7397490000000002</v>
      </c>
      <c r="N127" s="107">
        <f t="shared" si="15"/>
        <v>3.4851179999999999</v>
      </c>
      <c r="O127" s="124">
        <f t="shared" si="15"/>
        <v>1.9095409999999999</v>
      </c>
    </row>
    <row r="128" spans="1:26">
      <c r="A128" s="203"/>
      <c r="B128" s="105" t="s">
        <v>55</v>
      </c>
      <c r="C128" s="107">
        <f t="shared" ref="C128:O128" si="16">HLOOKUP(C$117,$86:$102,13,FALSE)</f>
        <v>10.65733</v>
      </c>
      <c r="D128" s="107">
        <f t="shared" si="16"/>
        <v>12.228600500000001</v>
      </c>
      <c r="E128" s="107">
        <f t="shared" si="16"/>
        <v>15.5976535</v>
      </c>
      <c r="F128" s="107">
        <f t="shared" si="16"/>
        <v>12.541195999999999</v>
      </c>
      <c r="G128" s="107">
        <f t="shared" si="16"/>
        <v>14.683114</v>
      </c>
      <c r="H128" s="107">
        <f t="shared" si="16"/>
        <v>9.9340825000000006</v>
      </c>
      <c r="I128" s="107">
        <f t="shared" si="16"/>
        <v>10.861402</v>
      </c>
      <c r="J128" s="107">
        <f t="shared" si="16"/>
        <v>10.810193999999999</v>
      </c>
      <c r="K128" s="107">
        <f t="shared" si="16"/>
        <v>8.9918355000000005</v>
      </c>
      <c r="L128" s="107">
        <f t="shared" si="16"/>
        <v>10.485035</v>
      </c>
      <c r="M128" s="107">
        <f t="shared" si="16"/>
        <v>5.6085469999999997</v>
      </c>
      <c r="N128" s="107">
        <f t="shared" si="16"/>
        <v>12.829401000000001</v>
      </c>
      <c r="O128" s="124">
        <f t="shared" si="16"/>
        <v>11.323399</v>
      </c>
    </row>
    <row r="129" spans="1:15">
      <c r="A129" s="203"/>
      <c r="B129" s="105" t="s">
        <v>54</v>
      </c>
      <c r="C129" s="107">
        <f>HLOOKUP(C$117,$86:$102,12,FALSE)</f>
        <v>10.65733</v>
      </c>
      <c r="D129" s="107">
        <f t="shared" ref="D129:O129" si="17">HLOOKUP(D$117,$86:$102,12,FALSE)</f>
        <v>12.228600500000001</v>
      </c>
      <c r="E129" s="107">
        <f t="shared" si="17"/>
        <v>15.5976535</v>
      </c>
      <c r="F129" s="107">
        <f t="shared" si="17"/>
        <v>12.541195999999999</v>
      </c>
      <c r="G129" s="107">
        <f t="shared" si="17"/>
        <v>14.683114</v>
      </c>
      <c r="H129" s="107">
        <f t="shared" si="17"/>
        <v>9.9340825000000006</v>
      </c>
      <c r="I129" s="107">
        <f t="shared" si="17"/>
        <v>10.861402</v>
      </c>
      <c r="J129" s="107">
        <f t="shared" si="17"/>
        <v>10.810193999999999</v>
      </c>
      <c r="K129" s="107">
        <f t="shared" si="17"/>
        <v>8.9918355000000005</v>
      </c>
      <c r="L129" s="107">
        <f t="shared" si="17"/>
        <v>10.485035</v>
      </c>
      <c r="M129" s="107">
        <f t="shared" si="17"/>
        <v>5.6085469999999997</v>
      </c>
      <c r="N129" s="107">
        <f t="shared" si="17"/>
        <v>12.829401000000001</v>
      </c>
      <c r="O129" s="124">
        <f t="shared" si="17"/>
        <v>11.323399</v>
      </c>
    </row>
    <row r="130" spans="1:15">
      <c r="A130" s="203"/>
      <c r="B130" s="114" t="s">
        <v>2</v>
      </c>
      <c r="C130" s="115">
        <f>HLOOKUP(C$117,$86:$102,14,FALSE)</f>
        <v>307.73898600000001</v>
      </c>
      <c r="D130" s="115">
        <f t="shared" ref="D130:O130" si="18">HLOOKUP(D$117,$86:$102,14,FALSE)</f>
        <v>341.341116</v>
      </c>
      <c r="E130" s="115">
        <f t="shared" si="18"/>
        <v>422.34463899999997</v>
      </c>
      <c r="F130" s="115">
        <f t="shared" si="18"/>
        <v>565.983338</v>
      </c>
      <c r="G130" s="115">
        <f t="shared" si="18"/>
        <v>529.62082399999997</v>
      </c>
      <c r="H130" s="115">
        <f t="shared" si="18"/>
        <v>435.40925900000002</v>
      </c>
      <c r="I130" s="115">
        <f t="shared" si="18"/>
        <v>363.93063999999998</v>
      </c>
      <c r="J130" s="115">
        <f t="shared" si="18"/>
        <v>302.20483200000001</v>
      </c>
      <c r="K130" s="115">
        <f t="shared" si="18"/>
        <v>305.99322599999999</v>
      </c>
      <c r="L130" s="115">
        <f t="shared" si="18"/>
        <v>322.739238</v>
      </c>
      <c r="M130" s="115">
        <f t="shared" si="18"/>
        <v>292.19124699999998</v>
      </c>
      <c r="N130" s="115">
        <f t="shared" si="18"/>
        <v>317.70156900000001</v>
      </c>
      <c r="O130" s="125">
        <f t="shared" si="18"/>
        <v>321.54675300000002</v>
      </c>
    </row>
    <row r="131" spans="1:15">
      <c r="A131" s="203"/>
      <c r="B131" s="105" t="s">
        <v>21</v>
      </c>
      <c r="C131" s="116">
        <f>HLOOKUP(C$117,$86:$102,15,FALSE)</f>
        <v>98.033413999999993</v>
      </c>
      <c r="D131" s="116">
        <f t="shared" ref="D131:O131" si="19">HLOOKUP(D$117,$86:$102,15,FALSE)</f>
        <v>118.762416</v>
      </c>
      <c r="E131" s="116">
        <f t="shared" si="19"/>
        <v>124.350134</v>
      </c>
      <c r="F131" s="116">
        <f t="shared" si="19"/>
        <v>168.54782399999999</v>
      </c>
      <c r="G131" s="116">
        <f t="shared" si="19"/>
        <v>175.00929099999999</v>
      </c>
      <c r="H131" s="116">
        <f t="shared" si="19"/>
        <v>130.854702</v>
      </c>
      <c r="I131" s="116">
        <f t="shared" si="19"/>
        <v>131.44748999999999</v>
      </c>
      <c r="J131" s="116">
        <f t="shared" si="19"/>
        <v>70.735690000000005</v>
      </c>
      <c r="K131" s="116">
        <f t="shared" si="19"/>
        <v>112.440268</v>
      </c>
      <c r="L131" s="116">
        <f t="shared" si="19"/>
        <v>122.760274</v>
      </c>
      <c r="M131" s="116">
        <f t="shared" si="19"/>
        <v>114.74408200000001</v>
      </c>
      <c r="N131" s="116">
        <f t="shared" si="19"/>
        <v>110.667727</v>
      </c>
      <c r="O131" s="116">
        <f t="shared" si="19"/>
        <v>109.36235000000001</v>
      </c>
    </row>
    <row r="132" spans="1:15">
      <c r="A132" s="203"/>
      <c r="B132" s="117" t="s">
        <v>1</v>
      </c>
      <c r="C132" s="118">
        <f>HLOOKUP(C$117,$86:$102,16,FALSE)</f>
        <v>405.7724</v>
      </c>
      <c r="D132" s="118">
        <f t="shared" ref="D132:O132" si="20">HLOOKUP(D$117,$86:$102,16,FALSE)</f>
        <v>460.10353199999997</v>
      </c>
      <c r="E132" s="118">
        <f t="shared" si="20"/>
        <v>546.69477300000005</v>
      </c>
      <c r="F132" s="118">
        <f t="shared" si="20"/>
        <v>734.53116199999999</v>
      </c>
      <c r="G132" s="118">
        <f t="shared" si="20"/>
        <v>704.63011500000005</v>
      </c>
      <c r="H132" s="118">
        <f t="shared" si="20"/>
        <v>566.26396099999999</v>
      </c>
      <c r="I132" s="118">
        <f t="shared" si="20"/>
        <v>495.37813</v>
      </c>
      <c r="J132" s="118">
        <f t="shared" si="20"/>
        <v>372.94052199999999</v>
      </c>
      <c r="K132" s="118">
        <f t="shared" si="20"/>
        <v>418.433494</v>
      </c>
      <c r="L132" s="118">
        <f t="shared" si="20"/>
        <v>445.49951199999998</v>
      </c>
      <c r="M132" s="118">
        <f t="shared" si="20"/>
        <v>406.93532900000002</v>
      </c>
      <c r="N132" s="118">
        <f t="shared" si="20"/>
        <v>428.36929600000002</v>
      </c>
      <c r="O132" s="118">
        <f t="shared" si="20"/>
        <v>430.90910300000002</v>
      </c>
    </row>
    <row r="133" spans="1:15" ht="14.25">
      <c r="A133" s="204"/>
      <c r="B133" s="126" t="s">
        <v>75</v>
      </c>
      <c r="C133" s="127">
        <f>C120+C121+C123</f>
        <v>36.577028999999996</v>
      </c>
      <c r="D133" s="127">
        <f>D120+D121+D123</f>
        <v>47.925082000000003</v>
      </c>
      <c r="E133" s="127">
        <f t="shared" ref="E133:O133" si="21">E120+E121+E123</f>
        <v>77.204378999999989</v>
      </c>
      <c r="F133" s="127">
        <f t="shared" si="21"/>
        <v>124.68270699999999</v>
      </c>
      <c r="G133" s="127">
        <f t="shared" si="21"/>
        <v>118.33977300000001</v>
      </c>
      <c r="H133" s="127">
        <f t="shared" si="21"/>
        <v>82.054295999999994</v>
      </c>
      <c r="I133" s="127">
        <f t="shared" si="21"/>
        <v>61.254111000000002</v>
      </c>
      <c r="J133" s="127">
        <f t="shared" si="21"/>
        <v>30.185099999999998</v>
      </c>
      <c r="K133" s="127">
        <f t="shared" si="21"/>
        <v>28.871046999999997</v>
      </c>
      <c r="L133" s="127">
        <f t="shared" si="21"/>
        <v>30.443576</v>
      </c>
      <c r="M133" s="127">
        <f t="shared" si="21"/>
        <v>28.621776999999998</v>
      </c>
      <c r="N133" s="127">
        <f t="shared" si="21"/>
        <v>30.374336</v>
      </c>
      <c r="O133" s="127">
        <f t="shared" si="21"/>
        <v>47.711207999999999</v>
      </c>
    </row>
    <row r="134" spans="1:15">
      <c r="A134" s="202" t="s">
        <v>77</v>
      </c>
      <c r="B134" s="128" t="s">
        <v>73</v>
      </c>
      <c r="C134" s="111" t="str">
        <f>TEXT(EDATE($A$2,-12),"mmm")&amp;".-"&amp;TEXT(EDATE($A$2,-12),"aa")</f>
        <v>abr.-23</v>
      </c>
      <c r="D134" s="111" t="str">
        <f>TEXT(EDATE($A$2,-11),"mmm")&amp;".-"&amp;TEXT(EDATE($A$2,-11),"aa")</f>
        <v>may.-23</v>
      </c>
      <c r="E134" s="111" t="str">
        <f>TEXT(EDATE($A$2,-10),"mmm")&amp;".-"&amp;TEXT(EDATE($A$2,-10),"aa")</f>
        <v>jun.-23</v>
      </c>
      <c r="F134" s="111" t="str">
        <f>TEXT(EDATE($A$2,-9),"mmm")&amp;".-"&amp;TEXT(EDATE($A$2,-9),"aa")</f>
        <v>jul.-23</v>
      </c>
      <c r="G134" s="111" t="str">
        <f>TEXT(EDATE($A$2,-8),"mmm")&amp;".-"&amp;TEXT(EDATE($A$2,-8),"aa")</f>
        <v>ago.-23</v>
      </c>
      <c r="H134" s="111" t="str">
        <f>TEXT(EDATE($A$2,-7),"mmm")&amp;".-"&amp;TEXT(EDATE($A$2,-7),"aa")</f>
        <v>sep.-23</v>
      </c>
      <c r="I134" s="111" t="str">
        <f>TEXT(EDATE($A$2,-6),"mmm")&amp;".-"&amp;TEXT(EDATE($A$2,-6),"aa")</f>
        <v>oct.-23</v>
      </c>
      <c r="J134" s="111" t="str">
        <f>TEXT(EDATE($A$2,-5),"mmm")&amp;".-"&amp;TEXT(EDATE($A$2,-5),"aa")</f>
        <v>nov.-23</v>
      </c>
      <c r="K134" s="111" t="str">
        <f>TEXT(EDATE($A$2,-4),"mmm")&amp;".-"&amp;TEXT(EDATE($A$2,-4),"aa")</f>
        <v>dic.-23</v>
      </c>
      <c r="L134" s="111" t="str">
        <f>TEXT(EDATE($A$2,-3),"mmm")&amp;".-"&amp;TEXT(EDATE($A$2,-3),"aa")</f>
        <v>ene.-24</v>
      </c>
      <c r="M134" s="111" t="str">
        <f>TEXT(EDATE($A$2,-2),"mmm")&amp;".-"&amp;TEXT(EDATE($A$2,-2),"aa")</f>
        <v>feb.-24</v>
      </c>
      <c r="N134" s="111" t="str">
        <f>TEXT(EDATE($A$2,-1),"mmm")&amp;".-"&amp;TEXT(EDATE($A$2,-1),"aa")</f>
        <v>mar.-24</v>
      </c>
      <c r="O134" s="112" t="str">
        <f>TEXT($A$2,"mmm")&amp;".-"&amp;TEXT($A$2,"aa")</f>
        <v>abr.-24</v>
      </c>
    </row>
    <row r="135" spans="1:15" ht="15" customHeight="1">
      <c r="A135" s="203"/>
      <c r="B135" s="105" t="s">
        <v>12</v>
      </c>
      <c r="C135" s="107">
        <f>HLOOKUP(C$117,$86:$115,17,FALSE)</f>
        <v>0.27580700000000002</v>
      </c>
      <c r="D135" s="107">
        <f t="shared" ref="D135:N135" si="22">HLOOKUP(D$117,$86:$115,17,FALSE)</f>
        <v>0.29760599999999998</v>
      </c>
      <c r="E135" s="107">
        <f t="shared" si="22"/>
        <v>0.28353699999999998</v>
      </c>
      <c r="F135" s="107">
        <f t="shared" si="22"/>
        <v>0.30186600000000002</v>
      </c>
      <c r="G135" s="107">
        <f t="shared" si="22"/>
        <v>0.289545</v>
      </c>
      <c r="H135" s="107">
        <f t="shared" si="22"/>
        <v>0.28924100000000003</v>
      </c>
      <c r="I135" s="107">
        <f t="shared" si="22"/>
        <v>0.30332900000000002</v>
      </c>
      <c r="J135" s="107">
        <f t="shared" si="22"/>
        <v>0.28045300000000001</v>
      </c>
      <c r="K135" s="107">
        <f t="shared" si="22"/>
        <v>0.30560300000000001</v>
      </c>
      <c r="L135" s="107">
        <f t="shared" si="22"/>
        <v>0.29624200000000001</v>
      </c>
      <c r="M135" s="107">
        <f t="shared" si="22"/>
        <v>0.28508299999999998</v>
      </c>
      <c r="N135" s="107">
        <f t="shared" si="22"/>
        <v>0.272924</v>
      </c>
      <c r="O135" s="144">
        <f>HLOOKUP(O$117,$86:$115,17,FALSE)</f>
        <v>0.258407</v>
      </c>
    </row>
    <row r="136" spans="1:15">
      <c r="A136" s="203"/>
      <c r="B136" s="105" t="s">
        <v>10</v>
      </c>
      <c r="C136" s="107">
        <f>HLOOKUP(C$117,$86:$115,18,FALSE)+HLOOKUP(C$117,$86:$115,22,FALSE)</f>
        <v>149.84285</v>
      </c>
      <c r="D136" s="107">
        <f>HLOOKUP(D$117,$86:$115,18,FALSE)+HLOOKUP(D$117,$86:$115,22,FALSE)</f>
        <v>152.65921599999999</v>
      </c>
      <c r="E136" s="107">
        <f t="shared" ref="E136:N136" si="23">HLOOKUP(E$117,$86:$115,18,FALSE)+HLOOKUP(E$117,$86:$115,22,FALSE)</f>
        <v>159.42586699999998</v>
      </c>
      <c r="F136" s="107">
        <f t="shared" si="23"/>
        <v>147.371253</v>
      </c>
      <c r="G136" s="107">
        <f t="shared" si="23"/>
        <v>158.13818499999999</v>
      </c>
      <c r="H136" s="107">
        <f t="shared" si="23"/>
        <v>154.76962499999999</v>
      </c>
      <c r="I136" s="107">
        <f t="shared" si="23"/>
        <v>179.17001500000001</v>
      </c>
      <c r="J136" s="107">
        <f t="shared" si="23"/>
        <v>168.212242</v>
      </c>
      <c r="K136" s="107">
        <f t="shared" si="23"/>
        <v>171.03571600000001</v>
      </c>
      <c r="L136" s="107">
        <f t="shared" si="23"/>
        <v>166.77709300000001</v>
      </c>
      <c r="M136" s="107">
        <f t="shared" si="23"/>
        <v>147.58979299999999</v>
      </c>
      <c r="N136" s="107">
        <f t="shared" si="23"/>
        <v>156.05254400000001</v>
      </c>
      <c r="O136" s="124">
        <f>HLOOKUP(O$117,$86:$115,18,FALSE)+HLOOKUP(O$117,$86:$115,22,FALSE)</f>
        <v>143.99597600000001</v>
      </c>
    </row>
    <row r="137" spans="1:15">
      <c r="A137" s="203"/>
      <c r="B137" s="105" t="s">
        <v>9</v>
      </c>
      <c r="C137" s="107">
        <f>HLOOKUP(C$117,$86:$115,19,FALSE)</f>
        <v>21.092299000000001</v>
      </c>
      <c r="D137" s="107">
        <f t="shared" ref="D137:O137" si="24">HLOOKUP(D$117,$86:$115,19,FALSE)</f>
        <v>23.467611000000002</v>
      </c>
      <c r="E137" s="107">
        <f t="shared" si="24"/>
        <v>20.997603000000002</v>
      </c>
      <c r="F137" s="107">
        <f t="shared" si="24"/>
        <v>15.379733999999999</v>
      </c>
      <c r="G137" s="107">
        <f t="shared" si="24"/>
        <v>16.795183000000002</v>
      </c>
      <c r="H137" s="107">
        <f t="shared" si="24"/>
        <v>18.188441000000001</v>
      </c>
      <c r="I137" s="107">
        <f t="shared" si="24"/>
        <v>30.707764999999998</v>
      </c>
      <c r="J137" s="107">
        <f t="shared" si="24"/>
        <v>24.331886999999998</v>
      </c>
      <c r="K137" s="107">
        <f t="shared" si="24"/>
        <v>26.447642999999999</v>
      </c>
      <c r="L137" s="107">
        <f t="shared" si="24"/>
        <v>28.032011000000001</v>
      </c>
      <c r="M137" s="107">
        <f t="shared" si="24"/>
        <v>23.301389</v>
      </c>
      <c r="N137" s="107">
        <f t="shared" si="24"/>
        <v>22.780221000000001</v>
      </c>
      <c r="O137" s="124">
        <f t="shared" si="24"/>
        <v>15.018001</v>
      </c>
    </row>
    <row r="138" spans="1:15">
      <c r="A138" s="203"/>
      <c r="B138" s="105" t="s">
        <v>8</v>
      </c>
      <c r="C138" s="107">
        <f>HLOOKUP(C$117,$86:$115,20,FALSE)</f>
        <v>89.164951000000002</v>
      </c>
      <c r="D138" s="107">
        <f t="shared" ref="D138:O138" si="25">HLOOKUP(D$117,$86:$115,20,FALSE)</f>
        <v>84.880949000000001</v>
      </c>
      <c r="E138" s="107">
        <f t="shared" si="25"/>
        <v>84.905440999999996</v>
      </c>
      <c r="F138" s="107">
        <f t="shared" si="25"/>
        <v>101.065799</v>
      </c>
      <c r="G138" s="107">
        <f t="shared" si="25"/>
        <v>105.31614999999999</v>
      </c>
      <c r="H138" s="107">
        <f t="shared" si="25"/>
        <v>105.510948</v>
      </c>
      <c r="I138" s="107">
        <f t="shared" si="25"/>
        <v>119.677701</v>
      </c>
      <c r="J138" s="107">
        <f t="shared" si="25"/>
        <v>90.916317000000006</v>
      </c>
      <c r="K138" s="107">
        <f t="shared" si="25"/>
        <v>96.450059999999993</v>
      </c>
      <c r="L138" s="107">
        <f t="shared" si="25"/>
        <v>118.36447</v>
      </c>
      <c r="M138" s="107">
        <f t="shared" si="25"/>
        <v>100.186932</v>
      </c>
      <c r="N138" s="107">
        <f t="shared" si="25"/>
        <v>116.04889799999999</v>
      </c>
      <c r="O138" s="124">
        <f t="shared" si="25"/>
        <v>98.285223000000002</v>
      </c>
    </row>
    <row r="139" spans="1:15" ht="14.25">
      <c r="A139" s="203"/>
      <c r="B139" s="105" t="s">
        <v>74</v>
      </c>
      <c r="C139" s="107">
        <f>HLOOKUP(C$117,$86:$115,21,FALSE)</f>
        <v>279.54366599999997</v>
      </c>
      <c r="D139" s="107">
        <f t="shared" ref="D139:O139" si="26">HLOOKUP(D$117,$86:$115,21,FALSE)</f>
        <v>275.34098399999999</v>
      </c>
      <c r="E139" s="107">
        <f t="shared" si="26"/>
        <v>351.45923099999999</v>
      </c>
      <c r="F139" s="107">
        <f t="shared" si="26"/>
        <v>250.52108799999999</v>
      </c>
      <c r="G139" s="107">
        <f t="shared" si="26"/>
        <v>306.93109600000003</v>
      </c>
      <c r="H139" s="107">
        <f t="shared" si="26"/>
        <v>329.65078499999998</v>
      </c>
      <c r="I139" s="107">
        <f t="shared" si="26"/>
        <v>385.37423100000001</v>
      </c>
      <c r="J139" s="107">
        <f t="shared" si="26"/>
        <v>320.60776499999997</v>
      </c>
      <c r="K139" s="107">
        <f t="shared" si="26"/>
        <v>343.70541600000001</v>
      </c>
      <c r="L139" s="107">
        <f t="shared" si="26"/>
        <v>348.60822999999999</v>
      </c>
      <c r="M139" s="107">
        <f t="shared" si="26"/>
        <v>282.95672999999999</v>
      </c>
      <c r="N139" s="107">
        <f t="shared" si="26"/>
        <v>305.966994</v>
      </c>
      <c r="O139" s="124">
        <f t="shared" si="26"/>
        <v>315.19474500000001</v>
      </c>
    </row>
    <row r="140" spans="1:15">
      <c r="A140" s="203"/>
      <c r="B140" s="105" t="s">
        <v>6</v>
      </c>
      <c r="C140" s="107">
        <f>HLOOKUP(C$117,$86:$115,23,FALSE)</f>
        <v>1.573337</v>
      </c>
      <c r="D140" s="107">
        <f t="shared" ref="D140:O140" si="27">HLOOKUP(D$117,$86:$115,23,FALSE)</f>
        <v>2.0671949999999999</v>
      </c>
      <c r="E140" s="107">
        <f t="shared" si="27"/>
        <v>0.80873799999999996</v>
      </c>
      <c r="F140" s="107">
        <f t="shared" si="27"/>
        <v>2.7590569999999999</v>
      </c>
      <c r="G140" s="107">
        <f t="shared" si="27"/>
        <v>2.6998280000000001</v>
      </c>
      <c r="H140" s="107">
        <f t="shared" si="27"/>
        <v>1.3149919999999999</v>
      </c>
      <c r="I140" s="107">
        <f t="shared" si="27"/>
        <v>0.44324000000000002</v>
      </c>
      <c r="J140" s="107">
        <f t="shared" si="27"/>
        <v>1.0899650000000001</v>
      </c>
      <c r="K140" s="107">
        <f t="shared" si="27"/>
        <v>0.66913</v>
      </c>
      <c r="L140" s="107">
        <f t="shared" si="27"/>
        <v>0.66808100000000004</v>
      </c>
      <c r="M140" s="107">
        <f t="shared" si="27"/>
        <v>1.414679</v>
      </c>
      <c r="N140" s="107">
        <f t="shared" si="27"/>
        <v>1.5891550000000001</v>
      </c>
      <c r="O140" s="124">
        <f t="shared" si="27"/>
        <v>1.2945469999999999</v>
      </c>
    </row>
    <row r="141" spans="1:15">
      <c r="A141" s="203"/>
      <c r="B141" s="105" t="s">
        <v>5</v>
      </c>
      <c r="C141" s="107">
        <f>HLOOKUP(C$117,$86:$115,24,FALSE)</f>
        <v>103.784149</v>
      </c>
      <c r="D141" s="107">
        <f t="shared" ref="D141:O141" si="28">HLOOKUP(D$117,$86:$115,24,FALSE)</f>
        <v>131.928437</v>
      </c>
      <c r="E141" s="107">
        <f t="shared" si="28"/>
        <v>64.374502000000007</v>
      </c>
      <c r="F141" s="107">
        <f t="shared" si="28"/>
        <v>209.601507</v>
      </c>
      <c r="G141" s="107">
        <f t="shared" si="28"/>
        <v>178.40540899999999</v>
      </c>
      <c r="H141" s="107">
        <f t="shared" si="28"/>
        <v>103.255752</v>
      </c>
      <c r="I141" s="107">
        <f t="shared" si="28"/>
        <v>57.760353000000002</v>
      </c>
      <c r="J141" s="107">
        <f t="shared" si="28"/>
        <v>99.230602000000005</v>
      </c>
      <c r="K141" s="107">
        <f t="shared" si="28"/>
        <v>70.608433000000005</v>
      </c>
      <c r="L141" s="107">
        <f t="shared" si="28"/>
        <v>53.195207000000003</v>
      </c>
      <c r="M141" s="107">
        <f t="shared" si="28"/>
        <v>108.751811</v>
      </c>
      <c r="N141" s="107">
        <f t="shared" si="28"/>
        <v>89.282236999999995</v>
      </c>
      <c r="O141" s="124">
        <f t="shared" si="28"/>
        <v>94.671288000000004</v>
      </c>
    </row>
    <row r="142" spans="1:15">
      <c r="A142" s="203"/>
      <c r="B142" s="105" t="s">
        <v>4</v>
      </c>
      <c r="C142" s="107">
        <f>HLOOKUP(C$117,$86:$115,25,FALSE)</f>
        <v>30.082971000000001</v>
      </c>
      <c r="D142" s="107">
        <f t="shared" ref="D142:O142" si="29">HLOOKUP(D$117,$86:$115,25,FALSE)</f>
        <v>30.799336</v>
      </c>
      <c r="E142" s="107">
        <f t="shared" si="29"/>
        <v>30.793143000000001</v>
      </c>
      <c r="F142" s="107">
        <f t="shared" si="29"/>
        <v>35.178874</v>
      </c>
      <c r="G142" s="107">
        <f t="shared" si="29"/>
        <v>33.707680000000003</v>
      </c>
      <c r="H142" s="107">
        <f t="shared" si="29"/>
        <v>31.407260000000001</v>
      </c>
      <c r="I142" s="107">
        <f t="shared" si="29"/>
        <v>29.906251000000001</v>
      </c>
      <c r="J142" s="107">
        <f t="shared" si="29"/>
        <v>25.097702999999999</v>
      </c>
      <c r="K142" s="107">
        <f t="shared" si="29"/>
        <v>23.682936000000002</v>
      </c>
      <c r="L142" s="107">
        <f t="shared" si="29"/>
        <v>24.559023</v>
      </c>
      <c r="M142" s="107">
        <f t="shared" si="29"/>
        <v>26.306543000000001</v>
      </c>
      <c r="N142" s="107">
        <f t="shared" si="29"/>
        <v>31.905954000000001</v>
      </c>
      <c r="O142" s="124">
        <f t="shared" si="29"/>
        <v>35.838096999999998</v>
      </c>
    </row>
    <row r="143" spans="1:15">
      <c r="A143" s="203"/>
      <c r="B143" s="105" t="s">
        <v>22</v>
      </c>
      <c r="C143" s="107">
        <f>HLOOKUP(C$117,$86:$115,26,FALSE)</f>
        <v>0.63095199999999996</v>
      </c>
      <c r="D143" s="107">
        <f t="shared" ref="D143:O143" si="30">HLOOKUP(D$117,$86:$115,26,FALSE)</f>
        <v>0.65055600000000002</v>
      </c>
      <c r="E143" s="107">
        <f t="shared" si="30"/>
        <v>0.66513100000000003</v>
      </c>
      <c r="F143" s="107">
        <f t="shared" si="30"/>
        <v>0.64607300000000001</v>
      </c>
      <c r="G143" s="107">
        <f t="shared" si="30"/>
        <v>0.37482700000000002</v>
      </c>
      <c r="H143" s="107">
        <f t="shared" si="30"/>
        <v>0.37211699999999998</v>
      </c>
      <c r="I143" s="107">
        <f t="shared" si="30"/>
        <v>0.524733</v>
      </c>
      <c r="J143" s="107">
        <f t="shared" si="30"/>
        <v>0.42454199999999997</v>
      </c>
      <c r="K143" s="107">
        <f t="shared" si="30"/>
        <v>0.44537900000000002</v>
      </c>
      <c r="L143" s="107">
        <f t="shared" si="30"/>
        <v>0.50013399999999997</v>
      </c>
      <c r="M143" s="107">
        <f t="shared" si="30"/>
        <v>0.49944300000000003</v>
      </c>
      <c r="N143" s="107">
        <f t="shared" si="30"/>
        <v>0.57839200000000002</v>
      </c>
      <c r="O143" s="124">
        <f t="shared" si="30"/>
        <v>0.26424700000000001</v>
      </c>
    </row>
    <row r="144" spans="1:15">
      <c r="A144" s="203"/>
      <c r="B144" s="117" t="s">
        <v>1</v>
      </c>
      <c r="C144" s="118">
        <f>HLOOKUP(C$117,$86:$115,28,FALSE)</f>
        <v>675.99098200000003</v>
      </c>
      <c r="D144" s="118">
        <f t="shared" ref="D144:O144" si="31">HLOOKUP(D$117,$86:$115,28,FALSE)</f>
        <v>702.09189000000003</v>
      </c>
      <c r="E144" s="118">
        <f t="shared" si="31"/>
        <v>713.71319300000005</v>
      </c>
      <c r="F144" s="118">
        <f t="shared" si="31"/>
        <v>762.82525099999998</v>
      </c>
      <c r="G144" s="118">
        <f t="shared" si="31"/>
        <v>802.65790300000003</v>
      </c>
      <c r="H144" s="118">
        <f t="shared" si="31"/>
        <v>744.75916099999995</v>
      </c>
      <c r="I144" s="118">
        <f t="shared" si="31"/>
        <v>803.86761799999999</v>
      </c>
      <c r="J144" s="118">
        <f t="shared" si="31"/>
        <v>730.19147599999997</v>
      </c>
      <c r="K144" s="118">
        <f t="shared" si="31"/>
        <v>733.35031600000002</v>
      </c>
      <c r="L144" s="118">
        <f t="shared" si="31"/>
        <v>741.00049100000001</v>
      </c>
      <c r="M144" s="118">
        <f t="shared" si="31"/>
        <v>691.29240300000004</v>
      </c>
      <c r="N144" s="118">
        <f t="shared" si="31"/>
        <v>724.47731899999997</v>
      </c>
      <c r="O144" s="118">
        <f t="shared" si="31"/>
        <v>704.82053099999996</v>
      </c>
    </row>
    <row r="145" spans="1:26">
      <c r="A145" s="203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4"/>
      <c r="B146" s="126" t="s">
        <v>75</v>
      </c>
      <c r="C146" s="130">
        <f>SUM(C136:C138)</f>
        <v>260.1001</v>
      </c>
      <c r="D146" s="130">
        <f t="shared" ref="D146:N146" si="32">SUM(D136:D138)</f>
        <v>261.00777599999998</v>
      </c>
      <c r="E146" s="130">
        <f t="shared" si="32"/>
        <v>265.32891099999995</v>
      </c>
      <c r="F146" s="130">
        <f t="shared" si="32"/>
        <v>263.81678599999998</v>
      </c>
      <c r="G146" s="130">
        <f t="shared" si="32"/>
        <v>280.24951799999997</v>
      </c>
      <c r="H146" s="130">
        <f t="shared" si="32"/>
        <v>278.46901400000002</v>
      </c>
      <c r="I146" s="130">
        <f t="shared" si="32"/>
        <v>329.55548099999999</v>
      </c>
      <c r="J146" s="130">
        <f t="shared" si="32"/>
        <v>283.46044599999999</v>
      </c>
      <c r="K146" s="130">
        <f t="shared" si="32"/>
        <v>293.93341900000001</v>
      </c>
      <c r="L146" s="130">
        <f t="shared" si="32"/>
        <v>313.17357400000003</v>
      </c>
      <c r="M146" s="130">
        <f t="shared" si="32"/>
        <v>271.07811399999997</v>
      </c>
      <c r="N146" s="130">
        <f t="shared" si="32"/>
        <v>294.881663</v>
      </c>
      <c r="O146" s="131">
        <f>SUM(O136:O138)</f>
        <v>257.29920000000004</v>
      </c>
    </row>
    <row r="149" spans="1:26" ht="15">
      <c r="A149" s="157"/>
      <c r="B149" s="157" t="s">
        <v>68</v>
      </c>
      <c r="C149" s="201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121</v>
      </c>
      <c r="B152" s="159" t="s">
        <v>122</v>
      </c>
      <c r="C152" s="175">
        <v>6.1949999999999998E-2</v>
      </c>
      <c r="D152" s="175">
        <v>3.82E-3</v>
      </c>
      <c r="E152" s="175">
        <v>7.9500000000000005E-3</v>
      </c>
      <c r="F152" s="175">
        <v>5.0180000000000002E-2</v>
      </c>
      <c r="G152" s="175">
        <v>4.8799999999999998E-3</v>
      </c>
      <c r="H152" s="175">
        <v>-2.49E-3</v>
      </c>
      <c r="I152" s="175">
        <v>-3.2300000000000002E-2</v>
      </c>
      <c r="J152" s="175">
        <v>3.9669999999999997E-2</v>
      </c>
      <c r="K152" s="175">
        <v>9.7999999999999997E-4</v>
      </c>
      <c r="L152" s="175">
        <v>-1.65E-3</v>
      </c>
      <c r="M152" s="175">
        <v>-4.2999999999999999E-4</v>
      </c>
      <c r="N152" s="175">
        <v>3.0599999999999998E-3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1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121</v>
      </c>
      <c r="B158" s="159" t="s">
        <v>122</v>
      </c>
      <c r="C158" s="175">
        <v>4.265E-2</v>
      </c>
      <c r="D158" s="175">
        <v>1.193E-2</v>
      </c>
      <c r="E158" s="175">
        <v>4.0999999999999999E-4</v>
      </c>
      <c r="F158" s="175">
        <v>3.031E-2</v>
      </c>
      <c r="G158" s="175">
        <v>3.7039999999999997E-2</v>
      </c>
      <c r="H158" s="175">
        <v>1.15E-3</v>
      </c>
      <c r="I158" s="175">
        <v>-1.7099999999999999E-3</v>
      </c>
      <c r="J158" s="175">
        <v>3.7600000000000001E-2</v>
      </c>
      <c r="K158" s="175">
        <v>3.6020000000000003E-2</v>
      </c>
      <c r="L158" s="175">
        <v>5.4000000000000001E-4</v>
      </c>
      <c r="M158" s="175">
        <v>1.98E-3</v>
      </c>
      <c r="N158" s="175">
        <v>3.3500000000000002E-2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S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Abril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Abril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430.90910300000002</v>
      </c>
      <c r="G9" s="147">
        <f>Dat_01!T24*100</f>
        <v>6.1947789000000002</v>
      </c>
      <c r="H9" s="75">
        <f>Dat_01!U24/1000</f>
        <v>1711.71324</v>
      </c>
      <c r="I9" s="147">
        <f>Dat_01!W24*100</f>
        <v>0.48846627000000004</v>
      </c>
      <c r="J9" s="75">
        <f>Dat_01!X24/1000</f>
        <v>6010.6889289999999</v>
      </c>
      <c r="K9" s="147">
        <f>Dat_01!Y24*100</f>
        <v>9.7669919999999993E-2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0.38200000000000001</v>
      </c>
      <c r="H12" s="94"/>
      <c r="I12" s="94">
        <f>Dat_01!H152*100</f>
        <v>-0.249</v>
      </c>
      <c r="J12" s="94"/>
      <c r="K12" s="94">
        <f>Dat_01!L152*100</f>
        <v>-0.16500000000000001</v>
      </c>
    </row>
    <row r="13" spans="3:12">
      <c r="E13" s="77" t="s">
        <v>42</v>
      </c>
      <c r="F13" s="76"/>
      <c r="G13" s="94">
        <f>Dat_01!E152*100</f>
        <v>0.79500000000000004</v>
      </c>
      <c r="H13" s="94"/>
      <c r="I13" s="94">
        <f>Dat_01!I152*100</f>
        <v>-3.2300000000000004</v>
      </c>
      <c r="J13" s="94"/>
      <c r="K13" s="94">
        <f>Dat_01!M152*100</f>
        <v>-4.2999999999999997E-2</v>
      </c>
    </row>
    <row r="14" spans="3:12">
      <c r="E14" s="78" t="s">
        <v>43</v>
      </c>
      <c r="F14" s="79"/>
      <c r="G14" s="95">
        <f>Dat_01!F152*100</f>
        <v>5.0180000000000007</v>
      </c>
      <c r="H14" s="95"/>
      <c r="I14" s="95">
        <f>Dat_01!J152*100</f>
        <v>3.9669999999999996</v>
      </c>
      <c r="J14" s="95"/>
      <c r="K14" s="95">
        <f>Dat_01!N152*100</f>
        <v>0.30599999999999999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J9" sqref="J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Abril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Abril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704.82053099999996</v>
      </c>
      <c r="G9" s="147">
        <f>Dat_01!AB24*100</f>
        <v>4.2647830799999999</v>
      </c>
      <c r="H9" s="75">
        <f>Dat_01!AC24/1000</f>
        <v>2861.5907440000001</v>
      </c>
      <c r="I9" s="147">
        <f>Dat_01!AE24*100</f>
        <v>3.70385747</v>
      </c>
      <c r="J9" s="75">
        <f>Dat_01!AF24/1000</f>
        <v>8855.047552</v>
      </c>
      <c r="K9" s="147">
        <f>Dat_01!AG24*100</f>
        <v>3.6016800299999998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1.1930000000000001</v>
      </c>
      <c r="H12" s="94"/>
      <c r="I12" s="94">
        <f>Dat_01!H158*100</f>
        <v>0.11499999999999999</v>
      </c>
      <c r="J12" s="94"/>
      <c r="K12" s="94">
        <f>Dat_01!L158*100</f>
        <v>5.3999999999999999E-2</v>
      </c>
    </row>
    <row r="13" spans="3:12">
      <c r="E13" s="77" t="s">
        <v>42</v>
      </c>
      <c r="F13" s="76"/>
      <c r="G13" s="94">
        <f>Dat_01!E158*100</f>
        <v>4.1000000000000002E-2</v>
      </c>
      <c r="H13" s="94"/>
      <c r="I13" s="94">
        <f>Dat_01!I158*100</f>
        <v>-0.17099999999999999</v>
      </c>
      <c r="J13" s="94"/>
      <c r="K13" s="94">
        <f>Dat_01!M158*100</f>
        <v>0.19800000000000001</v>
      </c>
    </row>
    <row r="14" spans="3:12">
      <c r="E14" s="78" t="s">
        <v>43</v>
      </c>
      <c r="F14" s="79"/>
      <c r="G14" s="95">
        <f>Dat_01!F158*100</f>
        <v>3.0310000000000001</v>
      </c>
      <c r="H14" s="95"/>
      <c r="I14" s="95">
        <f>Dat_01!J158*100</f>
        <v>3.7600000000000002</v>
      </c>
      <c r="J14" s="95"/>
      <c r="K14" s="95">
        <f>Dat_01!N158*100</f>
        <v>3.35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128</v>
      </c>
    </row>
    <row r="2" spans="1:2">
      <c r="A2" t="s">
        <v>123</v>
      </c>
    </row>
    <row r="3" spans="1:2">
      <c r="A3" t="s">
        <v>124</v>
      </c>
    </row>
    <row r="4" spans="1:2">
      <c r="A4" t="s">
        <v>126</v>
      </c>
    </row>
    <row r="5" spans="1:2">
      <c r="A5" t="s">
        <v>127</v>
      </c>
    </row>
    <row r="6" spans="1:2">
      <c r="A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Abril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0.258407</v>
      </c>
      <c r="I9" s="14">
        <f>IF(Dat_01!AB8*100=-100,"-",Dat_01!AB8*100)</f>
        <v>-6.3087593900000005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1.2945470000000001</v>
      </c>
      <c r="I10" s="14">
        <f>Dat_01!AB15*100</f>
        <v>-17.71966209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94.671288000000004</v>
      </c>
      <c r="I11" s="14">
        <f>Dat_01!AB16*100</f>
        <v>-8.7805903799999996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44.520406000000001</v>
      </c>
      <c r="G12" s="14">
        <f>Dat_01!T17*100</f>
        <v>14.459260769999998</v>
      </c>
      <c r="H12" s="138">
        <f>Dat_01!Z17/1000</f>
        <v>35.838097000000005</v>
      </c>
      <c r="I12" s="14">
        <f>Dat_01!AB17*100</f>
        <v>19.130843159999998</v>
      </c>
      <c r="J12" s="138" t="s">
        <v>3</v>
      </c>
      <c r="K12" s="14" t="s">
        <v>3</v>
      </c>
      <c r="L12" s="138">
        <f>Dat_01!J17/1000</f>
        <v>7.3710000000000008E-3</v>
      </c>
      <c r="M12" s="14">
        <f>IF(Dat_01!L17*100=-100,"-",Dat_01!L17*100)</f>
        <v>-7.0257315799999995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1.5544000000000001E-2</v>
      </c>
      <c r="G13" s="14">
        <f>IF(Dat_01!T18=-100%,"-",Dat_01!T18*100)</f>
        <v>-84.081599210000007</v>
      </c>
      <c r="H13" s="138">
        <f>Dat_01!Z18/1000</f>
        <v>0.26424700000000001</v>
      </c>
      <c r="I13" s="14">
        <f>IF(Dat_01!AB18*100=-100,"-",Dat_01!AB18*100)</f>
        <v>-58.119318109999995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11.323399</v>
      </c>
      <c r="G14" s="14">
        <f>Dat_01!T21*100</f>
        <v>6.2498674599999999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0.51811549999999995</v>
      </c>
      <c r="M14" s="14">
        <f>Dat_01!L21*100</f>
        <v>-1.1472377499999999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55.859349000000002</v>
      </c>
      <c r="G15" s="156">
        <f>((SUM(Dat_01!R8,Dat_01!R15:R18,Dat_01!R20)/SUM(Dat_01!S8,Dat_01!S15:S18,Dat_01!S20))-1)*100</f>
        <v>12.215559320626301</v>
      </c>
      <c r="H15" s="155">
        <f>SUM(H9:H14)</f>
        <v>132.32658600000002</v>
      </c>
      <c r="I15" s="156">
        <f>((SUM(Dat_01!Z8,Dat_01!Z15:Z18,Dat_01!Z20)/SUM(Dat_01!AA8,Dat_01!AA15:AA18,Dat_01!AA20))-1)*100</f>
        <v>-2.9488170847580597</v>
      </c>
      <c r="J15" s="155" t="s">
        <v>3</v>
      </c>
      <c r="K15" s="156" t="s">
        <v>3</v>
      </c>
      <c r="L15" s="156">
        <f>SUM(L9:L14)</f>
        <v>0.52548649999999997</v>
      </c>
      <c r="M15" s="156">
        <f>((SUM(Dat_01!J8,Dat_01!J15:J18,Dat_01!J21)/SUM(Dat_01!K8,Dat_01!K15:K18,Dat_01!K20))-1)*100</f>
        <v>-1.2348312632211145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-0.939218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18.212437000000001</v>
      </c>
      <c r="G17" s="20">
        <f>((SUM(Dat_01!R10,Dat_01!R14)/SUM(Dat_01!S10,Dat_01!S14))-1)*100</f>
        <v>155.27461195671876</v>
      </c>
      <c r="H17" s="139">
        <f>SUM(Dat_01!Z10,Dat_01!Z14)/1000</f>
        <v>143.99597599999998</v>
      </c>
      <c r="I17" s="20">
        <f>((SUM(Dat_01!Z10,Dat_01!Z14)/SUM(Dat_01!AA10,Dat_01!AA14))-1)*100</f>
        <v>-3.9020039995235067</v>
      </c>
      <c r="J17" s="139">
        <f>Dat_01!B10/1000</f>
        <v>14.339791</v>
      </c>
      <c r="K17" s="20">
        <f>Dat_01!D10*100</f>
        <v>4.0911767799999996</v>
      </c>
      <c r="L17" s="139">
        <f>Dat_01!J10/1000</f>
        <v>13.738512</v>
      </c>
      <c r="M17" s="20">
        <f>Dat_01!L10*100</f>
        <v>2.4994902400000001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29.498771000000001</v>
      </c>
      <c r="G18" s="20">
        <f>Dat_01!T11*100</f>
        <v>0.19084944000000001</v>
      </c>
      <c r="H18" s="139">
        <f>Dat_01!Z11/1000</f>
        <v>15.018001</v>
      </c>
      <c r="I18" s="20">
        <f>Dat_01!AB11*100</f>
        <v>-28.798653010000002</v>
      </c>
      <c r="J18" s="139">
        <f>Dat_01!B11/1000</f>
        <v>2.0204999999999997E-2</v>
      </c>
      <c r="K18" s="20">
        <f>IF(Dat_01!D11=-100%,"-",Dat_01!D11*100)</f>
        <v>323.40737636</v>
      </c>
      <c r="L18" s="139">
        <f>Dat_01!J11/1000</f>
        <v>2.9140000000000004E-3</v>
      </c>
      <c r="M18" s="20">
        <f>IF(Dat_01!L11*100=-100,"-",Dat_01!L11*100)</f>
        <v>74.909963989999994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98.285223000000002</v>
      </c>
      <c r="I19" s="20">
        <f>Dat_01!AB12*100</f>
        <v>10.22853924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47.711207999999999</v>
      </c>
      <c r="G20" s="14">
        <f>((SUM(Dat_01!R10:R12,Dat_01!R14)/SUM(Dat_01!S10:S12,Dat_01!S14))-1)*100</f>
        <v>30.440359166404683</v>
      </c>
      <c r="H20" s="138">
        <f>SUM(H17:H19)</f>
        <v>257.29919999999998</v>
      </c>
      <c r="I20" s="14">
        <f>(H20/(H17/(I17/100+1)+H18/(I18/100+1)+H19/(I19/100+1))-1)*100</f>
        <v>-1.0768546417119107</v>
      </c>
      <c r="J20" s="138">
        <f>SUM(J17:J19)</f>
        <v>14.359996000000001</v>
      </c>
      <c r="K20" s="14">
        <f>((SUM(Dat_01!B10:B12)/SUM(Dat_01!C10:C12))-1)*100</f>
        <v>4.2017479920658518</v>
      </c>
      <c r="L20" s="138">
        <f>SUM(L17:L19)</f>
        <v>13.741426000000001</v>
      </c>
      <c r="M20" s="14">
        <f>((SUM(Dat_01!J10:J12)/SUM(Dat_01!K10:K12))-1)*100</f>
        <v>2.5084894554402659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205.68247399999998</v>
      </c>
      <c r="G21" s="14">
        <f>Dat_01!T13*100</f>
        <v>-0.98957676999999999</v>
      </c>
      <c r="H21" s="138">
        <f>Dat_01!Z13/1000</f>
        <v>315.19474500000001</v>
      </c>
      <c r="I21" s="14">
        <f>Dat_01!AB13*100</f>
        <v>12.753313110000001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1.9095409999999999</v>
      </c>
      <c r="G22" s="14">
        <f>Dat_01!T19*100</f>
        <v>-46.905146739999999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11.323399</v>
      </c>
      <c r="G23" s="14">
        <f>Dat_01!T20*100</f>
        <v>6.2498674599999999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0.51811549999999995</v>
      </c>
      <c r="M23" s="14">
        <f>Dat_01!L20*100</f>
        <v>-1.1472377499999999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265.68740399999996</v>
      </c>
      <c r="G24" s="156">
        <f>((SUM(Dat_01!R9:R14,Dat_01!R19,Dat_01!R21)/SUM(Dat_01!S9:S14,Dat_01!S19,Dat_01!S21))-1)*100</f>
        <v>2.9954333334756056</v>
      </c>
      <c r="H24" s="140">
        <f>SUM(H16,H20:H23)</f>
        <v>572.49394499999994</v>
      </c>
      <c r="I24" s="156">
        <f>((SUM(Dat_01!Z9:Z14,Dat_01!Z19,Dat_01!Z21)/SUM(Dat_01!AA9:AA14,Dat_01!AA19,Dat_01!AA21))-1)*100</f>
        <v>6.0873822824815127</v>
      </c>
      <c r="J24" s="140">
        <f>SUM(J16,J20:J23)</f>
        <v>14.359996000000001</v>
      </c>
      <c r="K24" s="156">
        <f>((SUM(Dat_01!B9:B14,Dat_01!B19,Dat_01!B21)/SUM(Dat_01!C9:C14,Dat_01!C19,Dat_01!C21))-1)*100</f>
        <v>4.2017479920658518</v>
      </c>
      <c r="L24" s="140">
        <f>SUM(L16,L20:L23)</f>
        <v>14.259541500000001</v>
      </c>
      <c r="M24" s="156">
        <f>((SUM(Dat_01!J9:J14,Dat_01!J19,Dat_01!J21)/SUM(Dat_01!K9:K14,Dat_01!K19,Dat_01!K21))-1)*100</f>
        <v>2.3709324687282152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109.36235000000001</v>
      </c>
      <c r="G25" s="11">
        <f>Dat_01!T23*100</f>
        <v>11.55619858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430.90910300000002</v>
      </c>
      <c r="G26" s="8">
        <f>Dat_01!T24*100</f>
        <v>6.1947789000000002</v>
      </c>
      <c r="H26" s="142">
        <f>Dat_01!Z24/1000</f>
        <v>704.82053099999996</v>
      </c>
      <c r="I26" s="8">
        <f>Dat_01!AB24*100</f>
        <v>4.2647830799999999</v>
      </c>
      <c r="J26" s="142">
        <f>Dat_01!B24/1000</f>
        <v>14.359995999999999</v>
      </c>
      <c r="K26" s="8">
        <f>Dat_01!D24*100</f>
        <v>4.2017479900000003</v>
      </c>
      <c r="L26" s="142">
        <f>Dat_01!J24/1000</f>
        <v>14.785028000000001</v>
      </c>
      <c r="M26" s="8">
        <f>Dat_01!L24*100</f>
        <v>2.2382705199999999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26" sqref="H26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Abril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Abril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N21" sqref="N21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Abril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Abril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2024-05-20T11:34:45Z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