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SEP\INF_ELABORADA\"/>
    </mc:Choice>
  </mc:AlternateContent>
  <xr:revisionPtr revIDLastSave="0" documentId="13_ncr:1_{2E62F1D9-7B9B-43C0-9BA2-87809ACE1D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Dat_01!$A$85:$X$112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2" l="1"/>
  <c r="C47" i="18" l="1"/>
  <c r="C68" i="18" l="1"/>
  <c r="K18" i="22" l="1"/>
  <c r="K20" i="22"/>
  <c r="M12" i="22" l="1"/>
  <c r="I13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<sst xmlns="http://schemas.openxmlformats.org/spreadsheetml/2006/main" count="428" uniqueCount="134">
  <si>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</si>
  <si>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</si>
  <si>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</si>
  <si>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</si>
  <si>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</si>
  <si>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</si>
  <si>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</si>
  <si>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</si>
  <si>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</si>
  <si>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</si>
  <si>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</si>
  <si>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</si>
  <si>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</si>
  <si>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</si>
  <si>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</si>
  <si>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</si>
  <si>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</si>
  <si>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</si>
  <si>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</si>
  <si>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</si>
  <si>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</si>
  <si>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</si>
  <si>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</si>
  <si>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</si>
  <si>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</si>
  <si>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</si>
  <si>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</si>
  <si>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</si>
  <si>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</si>
  <si>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</si>
  <si>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</si>
  <si>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</si>
  <si>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</si>
  <si>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</si>
  <si>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</si>
  <si>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</si>
  <si>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</si>
  <si>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</si>
  <si>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</si>
  <si>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</si>
  <si>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</si>
  <si>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</si>
  <si>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</si>
  <si>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</si>
  <si>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</si>
  <si>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</si>
  <si>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</si>
  <si>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</si>
  <si>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</si>
  <si>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</si>
  <si>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</si>
  <si>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</si>
  <si>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</si>
  <si>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</si>
  <si>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</si>
  <si>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</si>
  <si>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</si>
  <si>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</si>
  <si>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</si>
  <si>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</si>
  <si>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</si>
  <si>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</si>
  <si>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</si>
  <si>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</si>
  <si>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</si>
  <si>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</si>
  <si>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</si>
  <si>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</si>
  <si>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</si>
  <si>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</si>
  <si>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</si>
  <si>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</si>
  <si>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</si>
  <si>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</si>
  <si>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</si>
  <si>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</si>
  <si>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</si>
  <si>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</si>
  <si>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</si>
  <si>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</si>
  <si>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</si>
  <si>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</si>
  <si>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</si>
  <si>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</si>
  <si>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</si>
  <si>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</si>
  <si>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</si>
  <si>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</si>
  <si>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</si>
  <si>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</si>
  <si>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</si>
  <si>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</si>
  <si>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</si>
  <si>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</si>
  <si>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</si>
  <si>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</si>
  <si>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</si>
  <si>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</si>
  <si>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</si>
  <si>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</si>
  <si>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</si>
  <si>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</si>
  <si>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</si>
  <si>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</si>
  <si>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</si>
  <si>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</si>
  <si>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</si>
  <si>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</si>
  <si>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</si>
  <si>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</si>
  <si>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</si>
  <si>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</si>
  <si>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</si>
  <si>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</si>
  <si>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</si>
  <si>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</si>
  <si>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</si>
  <si>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</si>
  <si>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</si>
  <si>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</si>
  <si>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</si>
  <si>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</si>
  <si>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</si>
  <si>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</si>
  <si>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</si>
  <si>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</si>
  <si>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</si>
  <si>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30/09/2021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</si>
  <si>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ut="10/11/2021 13:56:43" si="2.0000000196671d6b3311d6f48124b71d7523d046f6640eb42642116d0baee34be27c45eb1d52135d279ba03414ff09979829d985495008556a453eaf35d8bf3ceece59ee7299d36e86258ca830d9929cc5747e181866f8a7b0071313084b00832ca51c30de253d482db48631ee520ffa39fbc0836f8384b3a0347167fcb07a69d27a96fdae3727011ccbcb365722be188d91390245b98ac8e8cfed1ef9cfb1855f09.p.3082.0.1.Europe/Madrid.upriv*_1*_pidn2*_56*_session*-lat*_1.00000001705cd6fb12206ebee6748c1d840a2e24b5ee3e722c881be44b25c1b6d1fa8ffd80696530134c55323abd70fe3c9a852bf798b9a2.00000001565112639c14554ce0947a55374a5966b5ee3e728f47a6ae10c7d1cfcaf82455db90a4ced78b43105ac7ae9c2c0d35d5f8f49981.0.1.1.BDEbi.D066E1C611E6257C10D00080EF253B44.0-3082.1.1_-0.1.0_-3082.1.1_5.5.0.*0.00000001b3a49936db8ece7eaac0b6aca942d0bac911585a8c0bc4b93bbf48ea0896c37b8ee1a5b3.0.23.11*.2*.0400*.31152J.e.0000000171504201d73c382428b899d18d7c1f7bc911585a74516ea7714d952247179f1a8a296af0.0.10*.131*.122*.122.0.0" msgID="01E7BCA611EC2A9B432A0080EF55229E"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nrr="80" nrc="396"&gt;&lt;pg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</si>
  <si>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ut="10/11/2021 13:59:03" si="2.0000000196671d6b3311d6f48124b71d7523d046f6640eb42642116d0baee34be27c45eb1d52135d279ba03414ff09979829d985495008556a453eaf35d8bf3ceece59ee7299d36e86258ca830d9929cc5747e181866f8a7b0071313084b00832ca51c30de253d482db48631ee520ffa39fbc0836f8384b3a0347167fcb07a69d27a96fdae3727011ccbcb365722be188d91390245b98ac8e8cfed1ef9cfb1855f09.p.3082.0.1.Europe/Madrid.upriv*_1*_pidn2*_56*_session*-lat*_1.00000001705cd6fb12206ebee6748c1d840a2e24b5ee3e722c881be44b25c1b6d1fa8ffd80696530134c55323abd70fe3c9a852bf798b9a2.00000001565112639c14554ce0947a55374a5966b5ee3e728f47a6ae10c7d1cfcaf82455db90a4ced78b43105ac7ae9c2c0d35d5f8f49981.0.1.1.BDEbi.D066E1C611E6257C10D00080EF253B44.0-3082.1.1_-0.1.0_-3082.1.1_5.5.0.*0.00000001b3a49936db8ece7eaac0b6aca942d0bac911585a8c0bc4b93bbf48ea0896c37b8ee1a5b3.0.23.11*.2*.0400*.31152J.e.0000000171504201d73c382428b899d18d7c1f7bc911585a74516ea7714d952247179f1a8a296af0.0.10*.131*.122*.122.0.0" msgID="5DFA828A11EC2A9B432A0080EFC5029D"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nrr="35" nrc="432"&gt;&lt;pg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</si>
  <si>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14:21:08" si="2.00000001e3a8899e3471041043a83955f58d09a58d5106415f5a53ea4dd8dd689dd0536ace69184a7ba02bf0bea541e3179fef7be2f2158c605e5ea89ae5e5cd5969ca3171538e90423cb03a5bcb0f1f72630e645090028a1d84e3923b5478fb1ac33b270b09acad65e3e32ff24f953d01ba0ba0be609f7cc6546e6afe787b2570a2ae68df97b85c72274cfaa141334818228a334e120dffcd5a166bcd332aceca37.p.3082.0.1.Europe/Madrid.upriv*_1*_pidn2*_44*_session*-lat*_1.00000001d92058564ad28e6e998007044935f52cb5ee3e72ab096b93131439a0236c759be2a32c5fe3e14ef484c3f1223fe06c8bcd7e12fb.000000010371a5577f766b499901d12a5bf11726b5ee3e72b73454b16e2ccc4422d460a8970a96a1c9da770de4a4497c0a817fb750efef20.0.1.1.BDEbi.D066E1C611E6257C10D00080EF253B44.0-3082.1.1_-0.1.0_-3082.1.1_5.5.0.*0.00000001b09a9978b0cf852145f5d41978cb1a4fc911585abaaa9b6ca42cce355229515a0680c806.0.23.11*.2*.0400*.31152J.e.000000013936b94be36a85b75cff9b34b5e95e98c911585a0e79b49602e61df3ae9fd52954569928.0.10*.131*.122*.122.0.0" msgID="71D77D2911EC2A9E432A0080EFC5029D"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</si>
  <si>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ut="10/11/2021 14:28:13" si="2.00000001e3a8899e3471041043a83955f58d09a58d5106415f5a53ea4dd8dd689dd0536ace69184a7ba02bf0bea541e3179fef7be2f2158c605e5ea89ae5e5cd5969ca3171538e90423cb03a5bcb0f1f72630e645090028a1d84e3923b5478fb1ac33b270b09acad65e3e32ff24f953d01ba0ba0be609f7cc6546e6afe787b2570a2ae68df97b85c72274cfaa141334818228a334e120dffcd5a166bcd332aceca37.p.3082.0.1.Europe/Madrid.upriv*_1*_pidn2*_44*_session*-lat*_1.00000001d92058564ad28e6e998007044935f52cb5ee3e72ab096b93131439a0236c759be2a32c5fe3e14ef484c3f1223fe06c8bcd7e12fb.000000010371a5577f766b499901d12a5bf11726b5ee3e72b73454b16e2ccc4422d460a8970a96a1c9da770de4a4497c0a817fb750efef20.0.1.1.BDEbi.D066E1C611E6257C10D00080EF253B44.0-3082.1.1_-0.1.0_-3082.1.1_5.5.0.*0.00000001b09a9978b0cf852145f5d41978cb1a4fc911585abaaa9b6ca42cce355229515a0680c806.0.23.11*.2*.0400*.31152J.e.000000013936b94be36a85b75cff9b34b5e95e98c911585a0e79b49602e61df3ae9fd52954569928.0.10*.131*.122*.122.0.0" msgID="9AABA43611EC2A9E432A0080EFF5629D"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nrr="918" nrc="1728"&gt;&lt;pg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</si>
  <si>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a2645995a7574f759b2d9ddbc31e98fa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</si>
  <si>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ut="10/14/2021 19:18:41" si="2.00000001af54687459927a5b6c1fcd77a3272c3e43a7e55e80f8653b4531c66a9a80400c45e41dfb500275218f508fade17775f9b27ad4f2a9c1d467fa778fa03e42a772ccd2b7b42c62a16a2aa04ccbbaf05d0bce1672a91b94ed334aa21e5136fc8e5be0df1cf114fabb761fe2a59be8ff0dc714407a1da74e85fdb482a7e76105c6e48b51853fd6dbe5b47f392e1b38fa85a2cdc1f67d13e8dc9e7741a95673a3.p.3082.0.1.Europe/Madrid.upriv*_1*_pidn2*_17*_session*-lat*_1.000000010315111c9bb4ca37bb4fd4a7472875c3b5ee3e7222521f87fb7474018b75344943f58c28cabb05a416bc3ef59d9c99d9a32481f1.00000001b48792e70108f454bd41e5f55a3a4238b5ee3e72ffde5ec7eeb4060e52552f157f0fd8b1d3b2554be29ce20a65a7758aea32ff4d.0.1.1.BDEbi.D066E1C611E6257C10D00080EF253B44.0-3082.1.1_-0.1.0_-3082.1.1_5.5.0.*0.00000001d3a30cadfbe9b4bcfcccda841a6e52a0c911585aa21441c1f80b1404463a9749733011a6.0.23.11*.2*.0400*.31152J.e.0000000159b360f927ba675fb5a9191ce2841479c911585a9deb75c469c274db6344e38b2d0f754d.0.10*.131*.122*.122.0.0" msgID="0FAC0BD211EC2D23432A0080EF95A3A1"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cols="24" /&gt;&lt;esdo ews="" ece="" ptn="" /&gt;&lt;/excel&gt;&lt;pgs&gt;&lt;pg rows="25" cols="22" nrr="1302" nrc="1018"&gt;&lt;pg /&gt;&lt;bls&gt;&lt;bl sr="1" sc="1" rfetch="25" cfetch="22" posid="1" darows="0" dacols="1"&gt;&lt;excel&gt;&lt;epo ews="Dat_01" ece="A85" enr="MSTR.Serie_Balance_B.C._Mensual_Baleares_y_Canarias" ptn="" qtn="" rows="28" cols="24" /&gt;&lt;esdo ews="" ece="" ptn="" /&gt;&lt;/excel&gt;&lt;gridRng&gt;&lt;sect id="TITLE_AREA" rngprop="1:1:3:2" /&gt;&lt;sect id="ROWHEADERS_AREA" rngprop="4:1:25:2" /&gt;&lt;sect id="COLUMNHEADERS_AREA" rngprop="1:3:3:22" /&gt;&lt;sect id="DATA_AREA" rngprop="4:3:25:22"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</si>
</sst>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3" fillId="7" borderId="10" xfId="19" quotePrefix="1" applyAlignment="1">
      <alignment vertical="center"/>
    </xf>
    <xf numFmtId="0" fontId="0" fillId="0" borderId="9" xfId="0" applyBorder="1" applyAlignment="1">
      <alignment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18"/>
                  <c:y val="4.11571715300284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31219512195121951"/>
                  <c:y val="0.210784313725490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0421061391716281"/>
                  <c:y val="6.4215686274509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0731707317073171"/>
                  <c:y val="-0.154419870310328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1138211382113822"/>
                  <c:y val="-5.4367376872008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9.7086196223310903</c:v>
                </c:pt>
                <c:pt idx="2">
                  <c:v>7.1138788317125989</c:v>
                </c:pt>
                <c:pt idx="3">
                  <c:v>67.507720994776548</c:v>
                </c:pt>
                <c:pt idx="4">
                  <c:v>0.38465492730618833</c:v>
                </c:pt>
                <c:pt idx="5">
                  <c:v>0.67625127994212186</c:v>
                </c:pt>
                <c:pt idx="6">
                  <c:v>2.2008351898482554</c:v>
                </c:pt>
                <c:pt idx="7">
                  <c:v>2.2008351898482554</c:v>
                </c:pt>
                <c:pt idx="8">
                  <c:v>5.0450164055772455E-2</c:v>
                </c:pt>
                <c:pt idx="9">
                  <c:v>3.239308695472578</c:v>
                </c:pt>
                <c:pt idx="10">
                  <c:v>1.4959975118007326E-2</c:v>
                </c:pt>
                <c:pt idx="11">
                  <c:v>6.9024851295885927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11.778978572150507</c:v>
                </c:pt>
                <c:pt idx="1">
                  <c:v>6.8075854600239669</c:v>
                </c:pt>
                <c:pt idx="2">
                  <c:v>29.452329920663228</c:v>
                </c:pt>
                <c:pt idx="3">
                  <c:v>40.186241571404032</c:v>
                </c:pt>
                <c:pt idx="4">
                  <c:v>0</c:v>
                </c:pt>
                <c:pt idx="5">
                  <c:v>0.56272458576654349</c:v>
                </c:pt>
                <c:pt idx="6">
                  <c:v>1.8264253673235031</c:v>
                </c:pt>
                <c:pt idx="7">
                  <c:v>1.8264253673235031</c:v>
                </c:pt>
                <c:pt idx="8">
                  <c:v>0.17617191210212668</c:v>
                </c:pt>
                <c:pt idx="9">
                  <c:v>7.2790989001303057</c:v>
                </c:pt>
                <c:pt idx="10">
                  <c:v>0.10401834311227437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68.615076999999999</c:v>
                </c:pt>
                <c:pt idx="1">
                  <c:v>69.531803999999994</c:v>
                </c:pt>
                <c:pt idx="2">
                  <c:v>18.689830000000001</c:v>
                </c:pt>
                <c:pt idx="3">
                  <c:v>78.075038000000006</c:v>
                </c:pt>
                <c:pt idx="4">
                  <c:v>-0.63269200000000003</c:v>
                </c:pt>
                <c:pt idx="5">
                  <c:v>-0.606159</c:v>
                </c:pt>
                <c:pt idx="6">
                  <c:v>-0.651559</c:v>
                </c:pt>
                <c:pt idx="7">
                  <c:v>-0.59136100000000003</c:v>
                </c:pt>
                <c:pt idx="8">
                  <c:v>-1.103416</c:v>
                </c:pt>
                <c:pt idx="9">
                  <c:v>41.953423999999998</c:v>
                </c:pt>
                <c:pt idx="10">
                  <c:v>9.292719</c:v>
                </c:pt>
                <c:pt idx="11">
                  <c:v>-0.72875599999999996</c:v>
                </c:pt>
                <c:pt idx="12">
                  <c:v>-0.54997399999999996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41.727269</c:v>
                </c:pt>
                <c:pt idx="1">
                  <c:v>26.56035</c:v>
                </c:pt>
                <c:pt idx="2">
                  <c:v>29.083095999999998</c:v>
                </c:pt>
                <c:pt idx="3">
                  <c:v>33.649616000000002</c:v>
                </c:pt>
                <c:pt idx="4">
                  <c:v>45.739437000000002</c:v>
                </c:pt>
                <c:pt idx="5">
                  <c:v>26.606086999999999</c:v>
                </c:pt>
                <c:pt idx="6">
                  <c:v>27.369999999999997</c:v>
                </c:pt>
                <c:pt idx="7">
                  <c:v>26.434747999999999</c:v>
                </c:pt>
                <c:pt idx="8">
                  <c:v>28.996893</c:v>
                </c:pt>
                <c:pt idx="9">
                  <c:v>60.343260999999998</c:v>
                </c:pt>
                <c:pt idx="10">
                  <c:v>87.100239000000002</c:v>
                </c:pt>
                <c:pt idx="11">
                  <c:v>103.041223</c:v>
                </c:pt>
                <c:pt idx="12">
                  <c:v>93.606610000000003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135.30891800000001</c:v>
                </c:pt>
                <c:pt idx="1">
                  <c:v>141.13588200000001</c:v>
                </c:pt>
                <c:pt idx="2">
                  <c:v>185.01504499999999</c:v>
                </c:pt>
                <c:pt idx="3">
                  <c:v>159.35356899999999</c:v>
                </c:pt>
                <c:pt idx="4">
                  <c:v>260.27204499999999</c:v>
                </c:pt>
                <c:pt idx="5">
                  <c:v>187.465463</c:v>
                </c:pt>
                <c:pt idx="6">
                  <c:v>217.47864799999999</c:v>
                </c:pt>
                <c:pt idx="7">
                  <c:v>208.53059300000001</c:v>
                </c:pt>
                <c:pt idx="8">
                  <c:v>203.81251599999999</c:v>
                </c:pt>
                <c:pt idx="9">
                  <c:v>240.57820899999999</c:v>
                </c:pt>
                <c:pt idx="10">
                  <c:v>408.79444899999999</c:v>
                </c:pt>
                <c:pt idx="11">
                  <c:v>437.91378300000002</c:v>
                </c:pt>
                <c:pt idx="12">
                  <c:v>367.24080800000002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0.189775</c:v>
                </c:pt>
                <c:pt idx="1">
                  <c:v>0.32789299999999999</c:v>
                </c:pt>
                <c:pt idx="2">
                  <c:v>0.34884399999999999</c:v>
                </c:pt>
                <c:pt idx="3">
                  <c:v>0.28645399999999999</c:v>
                </c:pt>
                <c:pt idx="4">
                  <c:v>0.27796300000000002</c:v>
                </c:pt>
                <c:pt idx="5">
                  <c:v>0.15948300000000001</c:v>
                </c:pt>
                <c:pt idx="6">
                  <c:v>0.30611500000000003</c:v>
                </c:pt>
                <c:pt idx="7">
                  <c:v>0.29466900000000001</c:v>
                </c:pt>
                <c:pt idx="8">
                  <c:v>0.189554</c:v>
                </c:pt>
                <c:pt idx="9">
                  <c:v>9.4216999999999995E-2</c:v>
                </c:pt>
                <c:pt idx="10">
                  <c:v>0.106017</c:v>
                </c:pt>
                <c:pt idx="11">
                  <c:v>0.20128099999999999</c:v>
                </c:pt>
                <c:pt idx="12">
                  <c:v>0.27444800000000003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10.538423999999999</c:v>
                </c:pt>
                <c:pt idx="1">
                  <c:v>9.627974</c:v>
                </c:pt>
                <c:pt idx="2">
                  <c:v>6.7521509999999996</c:v>
                </c:pt>
                <c:pt idx="3">
                  <c:v>6.7092029999999996</c:v>
                </c:pt>
                <c:pt idx="4">
                  <c:v>8.4045810000000003</c:v>
                </c:pt>
                <c:pt idx="5">
                  <c:v>9.5098800000000008</c:v>
                </c:pt>
                <c:pt idx="6">
                  <c:v>13.274073</c:v>
                </c:pt>
                <c:pt idx="7">
                  <c:v>14.709775</c:v>
                </c:pt>
                <c:pt idx="8">
                  <c:v>22.195191000000001</c:v>
                </c:pt>
                <c:pt idx="9">
                  <c:v>21.167138000000001</c:v>
                </c:pt>
                <c:pt idx="10">
                  <c:v>22.975413</c:v>
                </c:pt>
                <c:pt idx="11">
                  <c:v>21.349046000000001</c:v>
                </c:pt>
                <c:pt idx="12">
                  <c:v>17.621782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2.81E-3</c:v>
                </c:pt>
                <c:pt idx="1">
                  <c:v>2.7317000000000001E-2</c:v>
                </c:pt>
                <c:pt idx="2">
                  <c:v>6.9145999999999999E-2</c:v>
                </c:pt>
                <c:pt idx="3">
                  <c:v>3.986E-2</c:v>
                </c:pt>
                <c:pt idx="4">
                  <c:v>5.7757000000000003E-2</c:v>
                </c:pt>
                <c:pt idx="5">
                  <c:v>7.6887999999999998E-2</c:v>
                </c:pt>
                <c:pt idx="6">
                  <c:v>0.13778699999999999</c:v>
                </c:pt>
                <c:pt idx="7">
                  <c:v>0.10574</c:v>
                </c:pt>
                <c:pt idx="8">
                  <c:v>0.118546</c:v>
                </c:pt>
                <c:pt idx="9">
                  <c:v>9.8640000000000005E-2</c:v>
                </c:pt>
                <c:pt idx="10">
                  <c:v>9.6151E-2</c:v>
                </c:pt>
                <c:pt idx="11">
                  <c:v>8.4413000000000002E-2</c:v>
                </c:pt>
                <c:pt idx="12">
                  <c:v>8.1381999999999996E-2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2.047806</c:v>
                </c:pt>
                <c:pt idx="1">
                  <c:v>2.3333560000000002</c:v>
                </c:pt>
                <c:pt idx="2">
                  <c:v>2.521382</c:v>
                </c:pt>
                <c:pt idx="3">
                  <c:v>3.3692880000000001</c:v>
                </c:pt>
                <c:pt idx="4">
                  <c:v>4.0659429999999999</c:v>
                </c:pt>
                <c:pt idx="5">
                  <c:v>3.641699</c:v>
                </c:pt>
                <c:pt idx="6">
                  <c:v>3.9954990000000001</c:v>
                </c:pt>
                <c:pt idx="7">
                  <c:v>3.2208809999999999</c:v>
                </c:pt>
                <c:pt idx="8">
                  <c:v>2.5715810000000001</c:v>
                </c:pt>
                <c:pt idx="9">
                  <c:v>3.062163</c:v>
                </c:pt>
                <c:pt idx="10">
                  <c:v>3.6905410000000001</c:v>
                </c:pt>
                <c:pt idx="11">
                  <c:v>3.5683280000000002</c:v>
                </c:pt>
                <c:pt idx="12">
                  <c:v>3.678795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14.376298</c:v>
                </c:pt>
                <c:pt idx="1">
                  <c:v>6.2387214999999996</c:v>
                </c:pt>
                <c:pt idx="2">
                  <c:v>12.812825</c:v>
                </c:pt>
                <c:pt idx="3">
                  <c:v>8.6052265000000006</c:v>
                </c:pt>
                <c:pt idx="4">
                  <c:v>7.1515275000000003</c:v>
                </c:pt>
                <c:pt idx="5">
                  <c:v>10.723705000000001</c:v>
                </c:pt>
                <c:pt idx="6">
                  <c:v>10.093087499999999</c:v>
                </c:pt>
                <c:pt idx="7">
                  <c:v>7.5393055000000002</c:v>
                </c:pt>
                <c:pt idx="8">
                  <c:v>6.0236640000000001</c:v>
                </c:pt>
                <c:pt idx="9">
                  <c:v>13.481942</c:v>
                </c:pt>
                <c:pt idx="10">
                  <c:v>11.473026000000001</c:v>
                </c:pt>
                <c:pt idx="11">
                  <c:v>13.3199895</c:v>
                </c:pt>
                <c:pt idx="12">
                  <c:v>11.972504499999999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14.376298</c:v>
                </c:pt>
                <c:pt idx="1">
                  <c:v>6.2387214999999996</c:v>
                </c:pt>
                <c:pt idx="2">
                  <c:v>12.812825</c:v>
                </c:pt>
                <c:pt idx="3">
                  <c:v>8.6052265000000006</c:v>
                </c:pt>
                <c:pt idx="4">
                  <c:v>7.1515275000000003</c:v>
                </c:pt>
                <c:pt idx="5">
                  <c:v>10.723705000000001</c:v>
                </c:pt>
                <c:pt idx="6">
                  <c:v>10.093087499999999</c:v>
                </c:pt>
                <c:pt idx="7">
                  <c:v>7.5393055000000002</c:v>
                </c:pt>
                <c:pt idx="8">
                  <c:v>6.0236640000000001</c:v>
                </c:pt>
                <c:pt idx="9">
                  <c:v>13.481942</c:v>
                </c:pt>
                <c:pt idx="10">
                  <c:v>11.473026000000001</c:v>
                </c:pt>
                <c:pt idx="11">
                  <c:v>13.3199895</c:v>
                </c:pt>
                <c:pt idx="12">
                  <c:v>11.972504499999999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116.274961</c:v>
                </c:pt>
                <c:pt idx="1">
                  <c:v>105.943506</c:v>
                </c:pt>
                <c:pt idx="2">
                  <c:v>96.327618999999999</c:v>
                </c:pt>
                <c:pt idx="3">
                  <c:v>138.26159999999999</c:v>
                </c:pt>
                <c:pt idx="4">
                  <c:v>138.25041200000001</c:v>
                </c:pt>
                <c:pt idx="5">
                  <c:v>113.412009</c:v>
                </c:pt>
                <c:pt idx="6">
                  <c:v>127.985573</c:v>
                </c:pt>
                <c:pt idx="7">
                  <c:v>111.02179700000001</c:v>
                </c:pt>
                <c:pt idx="8">
                  <c:v>111.601713</c:v>
                </c:pt>
                <c:pt idx="9">
                  <c:v>65.429468</c:v>
                </c:pt>
                <c:pt idx="10">
                  <c:v>45.879221000000001</c:v>
                </c:pt>
                <c:pt idx="11">
                  <c:v>40.107311000000003</c:v>
                </c:pt>
                <c:pt idx="12">
                  <c:v>37.549396999999999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15.838725140220944</c:v>
                </c:pt>
                <c:pt idx="1">
                  <c:v>16.91415002208608</c:v>
                </c:pt>
                <c:pt idx="2">
                  <c:v>15.676323315716994</c:v>
                </c:pt>
                <c:pt idx="3">
                  <c:v>28.108507785143143</c:v>
                </c:pt>
                <c:pt idx="4">
                  <c:v>1.2407499392101551</c:v>
                </c:pt>
                <c:pt idx="5">
                  <c:v>4.9370154649199895E-2</c:v>
                </c:pt>
                <c:pt idx="6">
                  <c:v>0.36767773067693604</c:v>
                </c:pt>
                <c:pt idx="7">
                  <c:v>16.230925546397977</c:v>
                </c:pt>
                <c:pt idx="8">
                  <c:v>5.4535229372252525</c:v>
                </c:pt>
                <c:pt idx="9">
                  <c:v>0.12004742867331762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6097560975609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3170744510594712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23.243999637404414</c:v>
                </c:pt>
                <c:pt idx="1">
                  <c:v>4.514535310387922</c:v>
                </c:pt>
                <c:pt idx="2">
                  <c:v>15.665365317887384</c:v>
                </c:pt>
                <c:pt idx="3">
                  <c:v>38.590927325475235</c:v>
                </c:pt>
                <c:pt idx="4">
                  <c:v>0</c:v>
                </c:pt>
                <c:pt idx="5">
                  <c:v>3.8403388860060179E-2</c:v>
                </c:pt>
                <c:pt idx="6">
                  <c:v>0.19650621636807994</c:v>
                </c:pt>
                <c:pt idx="7">
                  <c:v>14.725155965293055</c:v>
                </c:pt>
                <c:pt idx="8">
                  <c:v>2.9697387804902045</c:v>
                </c:pt>
                <c:pt idx="9">
                  <c:v>5.5368057833635846E-2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0.29165099999999999</c:v>
                </c:pt>
                <c:pt idx="1">
                  <c:v>0.299369</c:v>
                </c:pt>
                <c:pt idx="2">
                  <c:v>0.28527599999999997</c:v>
                </c:pt>
                <c:pt idx="3">
                  <c:v>0.29958099999999999</c:v>
                </c:pt>
                <c:pt idx="4">
                  <c:v>0.29762100000000002</c:v>
                </c:pt>
                <c:pt idx="5">
                  <c:v>0.25852999999999998</c:v>
                </c:pt>
                <c:pt idx="6">
                  <c:v>0.28226499999999999</c:v>
                </c:pt>
                <c:pt idx="7">
                  <c:v>0.13780600000000001</c:v>
                </c:pt>
                <c:pt idx="8">
                  <c:v>0.26783600000000002</c:v>
                </c:pt>
                <c:pt idx="9">
                  <c:v>0.28217700000000001</c:v>
                </c:pt>
                <c:pt idx="10">
                  <c:v>0.28972599999999998</c:v>
                </c:pt>
                <c:pt idx="11">
                  <c:v>0.28065899999999999</c:v>
                </c:pt>
                <c:pt idx="12">
                  <c:v>0.27753299999999997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271.16308099999998</c:v>
                </c:pt>
                <c:pt idx="1">
                  <c:v>301.03426400000001</c:v>
                </c:pt>
                <c:pt idx="2">
                  <c:v>287.12516499999998</c:v>
                </c:pt>
                <c:pt idx="3">
                  <c:v>272.274542</c:v>
                </c:pt>
                <c:pt idx="4">
                  <c:v>267.49094000000002</c:v>
                </c:pt>
                <c:pt idx="5">
                  <c:v>227.675399</c:v>
                </c:pt>
                <c:pt idx="6">
                  <c:v>244.02209900000003</c:v>
                </c:pt>
                <c:pt idx="7">
                  <c:v>226.89470900000001</c:v>
                </c:pt>
                <c:pt idx="8">
                  <c:v>205.95798300000001</c:v>
                </c:pt>
                <c:pt idx="9">
                  <c:v>182.21304600000002</c:v>
                </c:pt>
                <c:pt idx="10">
                  <c:v>222.63896800000001</c:v>
                </c:pt>
                <c:pt idx="11">
                  <c:v>266.14883300000002</c:v>
                </c:pt>
                <c:pt idx="12">
                  <c:v>313.81515200000001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297.07835399999999</c:v>
                </c:pt>
                <c:pt idx="1">
                  <c:v>252.83072899999999</c:v>
                </c:pt>
                <c:pt idx="2">
                  <c:v>292.22053799999998</c:v>
                </c:pt>
                <c:pt idx="3">
                  <c:v>314.37255499999998</c:v>
                </c:pt>
                <c:pt idx="4">
                  <c:v>280.66014899999999</c:v>
                </c:pt>
                <c:pt idx="5">
                  <c:v>269.76136200000002</c:v>
                </c:pt>
                <c:pt idx="6">
                  <c:v>284.19602200000003</c:v>
                </c:pt>
                <c:pt idx="7">
                  <c:v>311.21022299999998</c:v>
                </c:pt>
                <c:pt idx="8">
                  <c:v>236.28277700000001</c:v>
                </c:pt>
                <c:pt idx="9">
                  <c:v>276.61590899999999</c:v>
                </c:pt>
                <c:pt idx="10">
                  <c:v>284.60979800000001</c:v>
                </c:pt>
                <c:pt idx="11">
                  <c:v>284.30052499999999</c:v>
                </c:pt>
                <c:pt idx="12">
                  <c:v>278.88830000000002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1.9118980000000001</c:v>
                </c:pt>
                <c:pt idx="1">
                  <c:v>1.456723</c:v>
                </c:pt>
                <c:pt idx="2">
                  <c:v>0.821801</c:v>
                </c:pt>
                <c:pt idx="3">
                  <c:v>0.95850199999999997</c:v>
                </c:pt>
                <c:pt idx="4">
                  <c:v>0.99317</c:v>
                </c:pt>
                <c:pt idx="5">
                  <c:v>1.226483</c:v>
                </c:pt>
                <c:pt idx="6">
                  <c:v>1.921443</c:v>
                </c:pt>
                <c:pt idx="7">
                  <c:v>0.83590799999999998</c:v>
                </c:pt>
                <c:pt idx="8">
                  <c:v>3.227077</c:v>
                </c:pt>
                <c:pt idx="9">
                  <c:v>3.0020419999999999</c:v>
                </c:pt>
                <c:pt idx="10">
                  <c:v>3.5782180000000001</c:v>
                </c:pt>
                <c:pt idx="11">
                  <c:v>2.663478</c:v>
                </c:pt>
                <c:pt idx="12">
                  <c:v>1.4201079999999999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92.772315000000006</c:v>
                </c:pt>
                <c:pt idx="1">
                  <c:v>98.400535000000005</c:v>
                </c:pt>
                <c:pt idx="2">
                  <c:v>54.804782000000003</c:v>
                </c:pt>
                <c:pt idx="3">
                  <c:v>61.442059999999998</c:v>
                </c:pt>
                <c:pt idx="4">
                  <c:v>81.695520000000002</c:v>
                </c:pt>
                <c:pt idx="5">
                  <c:v>58.505417000000001</c:v>
                </c:pt>
                <c:pt idx="6">
                  <c:v>83.922415999999998</c:v>
                </c:pt>
                <c:pt idx="7">
                  <c:v>52.700510000000001</c:v>
                </c:pt>
                <c:pt idx="8">
                  <c:v>162.60342700000001</c:v>
                </c:pt>
                <c:pt idx="9">
                  <c:v>148.01756800000001</c:v>
                </c:pt>
                <c:pt idx="10">
                  <c:v>159.262687</c:v>
                </c:pt>
                <c:pt idx="11">
                  <c:v>145.85740200000001</c:v>
                </c:pt>
                <c:pt idx="12">
                  <c:v>106.41552299999999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20.951909000000001</c:v>
                </c:pt>
                <c:pt idx="1">
                  <c:v>19.852456</c:v>
                </c:pt>
                <c:pt idx="2">
                  <c:v>15.933180999999999</c:v>
                </c:pt>
                <c:pt idx="3">
                  <c:v>15.284926</c:v>
                </c:pt>
                <c:pt idx="4">
                  <c:v>16.464936000000002</c:v>
                </c:pt>
                <c:pt idx="5">
                  <c:v>17.884999000000001</c:v>
                </c:pt>
                <c:pt idx="6">
                  <c:v>24.228294999999999</c:v>
                </c:pt>
                <c:pt idx="7">
                  <c:v>22.565013</c:v>
                </c:pt>
                <c:pt idx="8">
                  <c:v>27.019202</c:v>
                </c:pt>
                <c:pt idx="9">
                  <c:v>24.71088</c:v>
                </c:pt>
                <c:pt idx="10">
                  <c:v>27.918244000000001</c:v>
                </c:pt>
                <c:pt idx="11">
                  <c:v>26.100961999999999</c:v>
                </c:pt>
                <c:pt idx="12">
                  <c:v>21.461660999999999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sep.-20</c:v>
                </c:pt>
                <c:pt idx="1">
                  <c:v>oct.-20</c:v>
                </c:pt>
                <c:pt idx="2">
                  <c:v>nov.-20</c:v>
                </c:pt>
                <c:pt idx="3">
                  <c:v>dic.-20</c:v>
                </c:pt>
                <c:pt idx="4">
                  <c:v>ene.-21</c:v>
                </c:pt>
                <c:pt idx="5">
                  <c:v>feb.-21</c:v>
                </c:pt>
                <c:pt idx="6">
                  <c:v>mar.-21</c:v>
                </c:pt>
                <c:pt idx="7">
                  <c:v>abr.-21</c:v>
                </c:pt>
                <c:pt idx="8">
                  <c:v>may.-21</c:v>
                </c:pt>
                <c:pt idx="9">
                  <c:v>jun.-21</c:v>
                </c:pt>
                <c:pt idx="10">
                  <c:v>jul.-21</c:v>
                </c:pt>
                <c:pt idx="11">
                  <c:v>ago.-21</c:v>
                </c:pt>
                <c:pt idx="12">
                  <c:v>sep.-21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0.64958000000000005</c:v>
                </c:pt>
                <c:pt idx="1">
                  <c:v>0.78250799999999998</c:v>
                </c:pt>
                <c:pt idx="2">
                  <c:v>0.74310299999999996</c:v>
                </c:pt>
                <c:pt idx="3">
                  <c:v>0.75252699999999995</c:v>
                </c:pt>
                <c:pt idx="4">
                  <c:v>0.35872300000000001</c:v>
                </c:pt>
                <c:pt idx="5">
                  <c:v>0.69978200000000002</c:v>
                </c:pt>
                <c:pt idx="6">
                  <c:v>0.79178499999999996</c:v>
                </c:pt>
                <c:pt idx="7">
                  <c:v>0.72202100000000002</c:v>
                </c:pt>
                <c:pt idx="8">
                  <c:v>0.72256799999999999</c:v>
                </c:pt>
                <c:pt idx="9">
                  <c:v>0.72395900000000002</c:v>
                </c:pt>
                <c:pt idx="10">
                  <c:v>0.73402900000000004</c:v>
                </c:pt>
                <c:pt idx="11">
                  <c:v>0.56980699999999995</c:v>
                </c:pt>
                <c:pt idx="12">
                  <c:v>0.40013300000000002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Septiembre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R80" zoomScaleNormal="100" workbookViewId="0">
      <selection activeCell="X86" sqref="X86:X112"/>
    </sheetView>
  </sheetViews>
  <sheetFormatPr baseColWidth="10" defaultColWidth="11.42578125" defaultRowHeight="12"/>
  <cols>
    <col min="1" max="1" width="20.42578125" style="111" customWidth="1"/>
    <col min="2" max="2" width="26" style="111" customWidth="1"/>
    <col min="3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126</v>
      </c>
      <c r="B2" s="144" t="s">
        <v>127</v>
      </c>
    </row>
    <row r="4" spans="1:33" ht="15">
      <c r="A4" s="145" t="s">
        <v>67</v>
      </c>
      <c r="B4" s="206" t="s">
        <v>126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0" t="s">
        <v>15</v>
      </c>
      <c r="C5" s="221"/>
      <c r="D5" s="221"/>
      <c r="E5" s="221"/>
      <c r="F5" s="221"/>
      <c r="G5" s="221"/>
      <c r="H5" s="221"/>
      <c r="I5" s="222"/>
      <c r="J5" s="220" t="s">
        <v>14</v>
      </c>
      <c r="K5" s="221"/>
      <c r="L5" s="221"/>
      <c r="M5" s="221"/>
      <c r="N5" s="221"/>
      <c r="O5" s="221"/>
      <c r="P5" s="221"/>
      <c r="Q5" s="222"/>
      <c r="R5" s="220" t="s">
        <v>57</v>
      </c>
      <c r="S5" s="221"/>
      <c r="T5" s="221"/>
      <c r="U5" s="221"/>
      <c r="V5" s="221"/>
      <c r="W5" s="221"/>
      <c r="X5" s="221"/>
      <c r="Y5" s="222"/>
      <c r="Z5" s="220" t="s">
        <v>58</v>
      </c>
      <c r="AA5" s="221"/>
      <c r="AB5" s="221"/>
      <c r="AC5" s="221"/>
      <c r="AD5" s="221"/>
      <c r="AE5" s="221"/>
      <c r="AF5" s="221"/>
      <c r="AG5" s="221"/>
    </row>
    <row r="6" spans="1:33">
      <c r="A6" s="145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277.53300000000002</v>
      </c>
      <c r="AA8" s="158">
        <v>291.65100000000001</v>
      </c>
      <c r="AB8" s="151">
        <v>-4.84071716E-2</v>
      </c>
      <c r="AC8" s="158">
        <v>2374.1529999999998</v>
      </c>
      <c r="AD8" s="158">
        <v>2596.59</v>
      </c>
      <c r="AE8" s="151">
        <v>-8.5665045300000006E-2</v>
      </c>
      <c r="AF8" s="158">
        <v>3258.3789999999999</v>
      </c>
      <c r="AG8" s="151">
        <v>-6.6421886400000005E-2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-549.97400000000005</v>
      </c>
      <c r="S9" s="158">
        <v>68615.077000000005</v>
      </c>
      <c r="T9" s="151">
        <v>-1.0080153520999999</v>
      </c>
      <c r="U9" s="158">
        <v>46382.226000000002</v>
      </c>
      <c r="V9" s="158">
        <v>55364.819000000003</v>
      </c>
      <c r="W9" s="151">
        <v>-0.16224369850000001</v>
      </c>
      <c r="X9" s="158">
        <v>212678.89799999999</v>
      </c>
      <c r="Y9" s="151">
        <v>-0.58498063759999996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16828.294999999998</v>
      </c>
      <c r="C10" s="158">
        <v>16798.12</v>
      </c>
      <c r="D10" s="151">
        <v>1.7963320000000001E-3</v>
      </c>
      <c r="E10" s="158">
        <v>147386.04399999999</v>
      </c>
      <c r="F10" s="158">
        <v>150197.79</v>
      </c>
      <c r="G10" s="151">
        <v>-1.8720288799999998E-2</v>
      </c>
      <c r="H10" s="158">
        <v>196217.109</v>
      </c>
      <c r="I10" s="151">
        <v>-3.1779806700000003E-2</v>
      </c>
      <c r="J10" s="158">
        <v>17261.555</v>
      </c>
      <c r="K10" s="158">
        <v>17755.965</v>
      </c>
      <c r="L10" s="151">
        <v>-2.7844727100000001E-2</v>
      </c>
      <c r="M10" s="158">
        <v>146966.61900000001</v>
      </c>
      <c r="N10" s="158">
        <v>150246.04699999999</v>
      </c>
      <c r="O10" s="151">
        <v>-2.1827050099999998E-2</v>
      </c>
      <c r="P10" s="158">
        <v>193507.114</v>
      </c>
      <c r="Q10" s="151">
        <v>-2.4261735E-2</v>
      </c>
      <c r="R10" s="158">
        <v>52814.718999999997</v>
      </c>
      <c r="S10" s="158">
        <v>25914.613000000001</v>
      </c>
      <c r="T10" s="151">
        <v>1.0380284667999999</v>
      </c>
      <c r="U10" s="158">
        <v>309825.63799999998</v>
      </c>
      <c r="V10" s="158">
        <v>224708.554</v>
      </c>
      <c r="W10" s="151">
        <v>0.37878880209999999</v>
      </c>
      <c r="X10" s="158">
        <v>367426.745</v>
      </c>
      <c r="Y10" s="151">
        <v>0.17723826200000001</v>
      </c>
      <c r="Z10" s="158">
        <v>167979.367</v>
      </c>
      <c r="AA10" s="158">
        <v>151155.63500000001</v>
      </c>
      <c r="AB10" s="151">
        <v>0.1113007266</v>
      </c>
      <c r="AC10" s="158">
        <v>1249793.334</v>
      </c>
      <c r="AD10" s="158">
        <v>1283241.8060000001</v>
      </c>
      <c r="AE10" s="151">
        <v>-2.6065603400000002E-2</v>
      </c>
      <c r="AF10" s="158">
        <v>1683960.6710000001</v>
      </c>
      <c r="AG10" s="151">
        <v>-5.0673525900000002E-2</v>
      </c>
    </row>
    <row r="11" spans="1:33">
      <c r="A11" s="144" t="s">
        <v>9</v>
      </c>
      <c r="B11" s="158">
        <v>93.298000000000002</v>
      </c>
      <c r="C11" s="158">
        <v>31.934000000000001</v>
      </c>
      <c r="D11" s="151">
        <v>1.9215882758</v>
      </c>
      <c r="E11" s="158">
        <v>166.685</v>
      </c>
      <c r="F11" s="158">
        <v>57.863</v>
      </c>
      <c r="G11" s="151">
        <v>1.8806836839000001</v>
      </c>
      <c r="H11" s="158">
        <v>278.06900000000002</v>
      </c>
      <c r="I11" s="151">
        <v>1.0471990517</v>
      </c>
      <c r="J11" s="158">
        <v>1.149</v>
      </c>
      <c r="K11" s="158">
        <v>5.1820000000000004</v>
      </c>
      <c r="L11" s="151">
        <v>-0.77827093790000001</v>
      </c>
      <c r="M11" s="158">
        <v>90.411000000000001</v>
      </c>
      <c r="N11" s="158">
        <v>87.122</v>
      </c>
      <c r="O11" s="151">
        <v>3.7751658600000002E-2</v>
      </c>
      <c r="P11" s="158">
        <v>99.191999999999993</v>
      </c>
      <c r="Q11" s="151">
        <v>0.1011912031</v>
      </c>
      <c r="R11" s="158">
        <v>38699.375</v>
      </c>
      <c r="S11" s="158">
        <v>15232.726000000001</v>
      </c>
      <c r="T11" s="151">
        <v>1.5405416600999999</v>
      </c>
      <c r="U11" s="158">
        <v>178378.011</v>
      </c>
      <c r="V11" s="158">
        <v>179607.94500000001</v>
      </c>
      <c r="W11" s="151">
        <v>-6.8478819E-3</v>
      </c>
      <c r="X11" s="158">
        <v>209330.212</v>
      </c>
      <c r="Y11" s="151">
        <v>-0.18458395380000001</v>
      </c>
      <c r="Z11" s="158">
        <v>32625.572</v>
      </c>
      <c r="AA11" s="158">
        <v>21610.752</v>
      </c>
      <c r="AB11" s="151">
        <v>0.50969165719999998</v>
      </c>
      <c r="AC11" s="158">
        <v>139517.33499999999</v>
      </c>
      <c r="AD11" s="158">
        <v>129055.86500000001</v>
      </c>
      <c r="AE11" s="151">
        <v>8.1061562000000004E-2</v>
      </c>
      <c r="AF11" s="158">
        <v>206222.163</v>
      </c>
      <c r="AG11" s="151">
        <v>0.13852652930000001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113210.213</v>
      </c>
      <c r="AA12" s="158">
        <v>98396.694000000003</v>
      </c>
      <c r="AB12" s="151">
        <v>0.15054895039999999</v>
      </c>
      <c r="AC12" s="158">
        <v>767546.46</v>
      </c>
      <c r="AD12" s="158">
        <v>1028044.884</v>
      </c>
      <c r="AE12" s="151">
        <v>-0.25339207270000003</v>
      </c>
      <c r="AF12" s="158">
        <v>1127108.2660000001</v>
      </c>
      <c r="AG12" s="151">
        <v>-0.27406252850000001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367240.80800000002</v>
      </c>
      <c r="S13" s="158">
        <v>135308.91800000001</v>
      </c>
      <c r="T13" s="151">
        <v>1.7140916758</v>
      </c>
      <c r="U13" s="158">
        <v>2532086.514</v>
      </c>
      <c r="V13" s="158">
        <v>1926632.15</v>
      </c>
      <c r="W13" s="151">
        <v>0.31425529990000001</v>
      </c>
      <c r="X13" s="158">
        <v>3017591.01</v>
      </c>
      <c r="Y13" s="151">
        <v>0.3894392102</v>
      </c>
      <c r="Z13" s="158">
        <v>278888.3</v>
      </c>
      <c r="AA13" s="158">
        <v>297078.35399999999</v>
      </c>
      <c r="AB13" s="151">
        <v>-6.1229819499999998E-2</v>
      </c>
      <c r="AC13" s="158">
        <v>2506525.0649999999</v>
      </c>
      <c r="AD13" s="158">
        <v>2394846.0729999999</v>
      </c>
      <c r="AE13" s="151">
        <v>4.6633056399999998E-2</v>
      </c>
      <c r="AF13" s="158">
        <v>3365948.8870000001</v>
      </c>
      <c r="AG13" s="151">
        <v>4.0266561200000002E-2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2092.5160000000001</v>
      </c>
      <c r="S14" s="158">
        <v>579.92999999999995</v>
      </c>
      <c r="T14" s="151">
        <v>2.6082216818999999</v>
      </c>
      <c r="U14" s="158">
        <v>11034.849</v>
      </c>
      <c r="V14" s="158">
        <v>3164.0569999999998</v>
      </c>
      <c r="W14" s="151">
        <v>2.4875632771</v>
      </c>
      <c r="X14" s="158">
        <v>11774.602999999999</v>
      </c>
      <c r="Y14" s="151">
        <v>1.3871335348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1420.1079999999999</v>
      </c>
      <c r="AA15" s="158">
        <v>1911.8979999999999</v>
      </c>
      <c r="AB15" s="151">
        <v>-0.25722606539999998</v>
      </c>
      <c r="AC15" s="158">
        <v>18867.927</v>
      </c>
      <c r="AD15" s="158">
        <v>16303.200999999999</v>
      </c>
      <c r="AE15" s="151">
        <v>0.1573142599</v>
      </c>
      <c r="AF15" s="158">
        <v>22104.953000000001</v>
      </c>
      <c r="AG15" s="151">
        <v>4.5535546599999997E-2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274.44799999999998</v>
      </c>
      <c r="S16" s="158">
        <v>189.77500000000001</v>
      </c>
      <c r="T16" s="151">
        <v>0.44617573440000002</v>
      </c>
      <c r="U16" s="158">
        <v>1903.7470000000001</v>
      </c>
      <c r="V16" s="158">
        <v>2677.732</v>
      </c>
      <c r="W16" s="151">
        <v>-0.28904498280000002</v>
      </c>
      <c r="X16" s="158">
        <v>2866.9380000000001</v>
      </c>
      <c r="Y16" s="151">
        <v>-0.2868875763</v>
      </c>
      <c r="Z16" s="158">
        <v>106415.523</v>
      </c>
      <c r="AA16" s="158">
        <v>92772.315000000002</v>
      </c>
      <c r="AB16" s="151">
        <v>0.1470612003</v>
      </c>
      <c r="AC16" s="158">
        <v>998980.47</v>
      </c>
      <c r="AD16" s="158">
        <v>885783.23300000001</v>
      </c>
      <c r="AE16" s="151">
        <v>0.1277933842</v>
      </c>
      <c r="AF16" s="158">
        <v>1213627.8470000001</v>
      </c>
      <c r="AG16" s="151">
        <v>3.82746105E-2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6.0979999999999999</v>
      </c>
      <c r="K17" s="158">
        <v>6.8330000000000002</v>
      </c>
      <c r="L17" s="151">
        <v>-0.10756622270000001</v>
      </c>
      <c r="M17" s="158">
        <v>48.901000000000003</v>
      </c>
      <c r="N17" s="158">
        <v>61.851999999999997</v>
      </c>
      <c r="O17" s="151">
        <v>-0.2093869236</v>
      </c>
      <c r="P17" s="158">
        <v>63.756</v>
      </c>
      <c r="Q17" s="151">
        <v>-0.17125736050000001</v>
      </c>
      <c r="R17" s="158">
        <v>17621.781999999999</v>
      </c>
      <c r="S17" s="158">
        <v>10538.424000000001</v>
      </c>
      <c r="T17" s="151">
        <v>0.67214585410000005</v>
      </c>
      <c r="U17" s="158">
        <v>151206.87899999999</v>
      </c>
      <c r="V17" s="158">
        <v>95217.312000000005</v>
      </c>
      <c r="W17" s="151">
        <v>0.58801877329999996</v>
      </c>
      <c r="X17" s="158">
        <v>174296.20699999999</v>
      </c>
      <c r="Y17" s="151">
        <v>0.49540520100000002</v>
      </c>
      <c r="Z17" s="158">
        <v>21461.661</v>
      </c>
      <c r="AA17" s="158">
        <v>20951.909</v>
      </c>
      <c r="AB17" s="151">
        <v>2.43296208E-2</v>
      </c>
      <c r="AC17" s="158">
        <v>208354.19200000001</v>
      </c>
      <c r="AD17" s="158">
        <v>207023.54699999999</v>
      </c>
      <c r="AE17" s="151">
        <v>6.4275056000000002E-3</v>
      </c>
      <c r="AF17" s="158">
        <v>259424.755</v>
      </c>
      <c r="AG17" s="151">
        <v>-1.53844629E-2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81.382000000000005</v>
      </c>
      <c r="S18" s="158">
        <v>2.81</v>
      </c>
      <c r="T18" s="151">
        <v>27.9615658363</v>
      </c>
      <c r="U18" s="158">
        <v>857.30399999999997</v>
      </c>
      <c r="V18" s="158">
        <v>493.077</v>
      </c>
      <c r="W18" s="151">
        <v>0.73868178799999995</v>
      </c>
      <c r="X18" s="158">
        <v>993.62699999999995</v>
      </c>
      <c r="Y18" s="151">
        <v>0.14692234709999999</v>
      </c>
      <c r="Z18" s="158">
        <v>400.13299999999998</v>
      </c>
      <c r="AA18" s="158">
        <v>649.58000000000004</v>
      </c>
      <c r="AB18" s="151">
        <v>-0.38401274670000002</v>
      </c>
      <c r="AC18" s="158">
        <v>5722.8069999999998</v>
      </c>
      <c r="AD18" s="158">
        <v>6908.8429999999998</v>
      </c>
      <c r="AE18" s="151">
        <v>-0.17166926499999999</v>
      </c>
      <c r="AF18" s="158">
        <v>8000.9449999999997</v>
      </c>
      <c r="AG18" s="151">
        <v>-0.1363665164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3678.7950000000001</v>
      </c>
      <c r="S19" s="158">
        <v>2047.806</v>
      </c>
      <c r="T19" s="151">
        <v>0.79645679329999997</v>
      </c>
      <c r="U19" s="158">
        <v>31495.43</v>
      </c>
      <c r="V19" s="158">
        <v>25599.156999999999</v>
      </c>
      <c r="W19" s="151">
        <v>0.23033074880000001</v>
      </c>
      <c r="X19" s="158">
        <v>39719.455999999998</v>
      </c>
      <c r="Y19" s="151">
        <v>0.1183731086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463.6515</v>
      </c>
      <c r="K20" s="158">
        <v>512.95950000000005</v>
      </c>
      <c r="L20" s="151">
        <v>-9.6124547800000001E-2</v>
      </c>
      <c r="M20" s="158">
        <v>4617.9449999999997</v>
      </c>
      <c r="N20" s="158">
        <v>4130.558</v>
      </c>
      <c r="O20" s="151">
        <v>0.1179954379</v>
      </c>
      <c r="P20" s="158">
        <v>6012.9425000000001</v>
      </c>
      <c r="Q20" s="151">
        <v>0.1298748398</v>
      </c>
      <c r="R20" s="158">
        <v>11972.504499999999</v>
      </c>
      <c r="S20" s="158">
        <v>14376.298000000001</v>
      </c>
      <c r="T20" s="151">
        <v>-0.1672053195</v>
      </c>
      <c r="U20" s="158">
        <v>91778.751499999998</v>
      </c>
      <c r="V20" s="158">
        <v>86345.074999999997</v>
      </c>
      <c r="W20" s="151">
        <v>6.29297791E-2</v>
      </c>
      <c r="X20" s="158">
        <v>119435.5245</v>
      </c>
      <c r="Y20" s="151">
        <v>-3.46495634E-2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463.6515</v>
      </c>
      <c r="K21" s="158">
        <v>512.95950000000005</v>
      </c>
      <c r="L21" s="151">
        <v>-9.6124547800000001E-2</v>
      </c>
      <c r="M21" s="158">
        <v>4617.9449999999997</v>
      </c>
      <c r="N21" s="158">
        <v>4130.558</v>
      </c>
      <c r="O21" s="151">
        <v>0.1179954379</v>
      </c>
      <c r="P21" s="158">
        <v>6012.9425000000001</v>
      </c>
      <c r="Q21" s="151">
        <v>0.1298748398</v>
      </c>
      <c r="R21" s="158">
        <v>11972.504499999999</v>
      </c>
      <c r="S21" s="158">
        <v>14376.298000000001</v>
      </c>
      <c r="T21" s="151">
        <v>-0.1672053195</v>
      </c>
      <c r="U21" s="158">
        <v>91778.751499999998</v>
      </c>
      <c r="V21" s="158">
        <v>86345.074999999997</v>
      </c>
      <c r="W21" s="151">
        <v>6.29297791E-2</v>
      </c>
      <c r="X21" s="158">
        <v>119435.5245</v>
      </c>
      <c r="Y21" s="151">
        <v>-3.46495634E-2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16921.593000000001</v>
      </c>
      <c r="C22" s="159">
        <v>16830.054</v>
      </c>
      <c r="D22" s="152">
        <v>5.4390200000000001E-3</v>
      </c>
      <c r="E22" s="159">
        <v>147552.72899999999</v>
      </c>
      <c r="F22" s="159">
        <v>150255.65299999999</v>
      </c>
      <c r="G22" s="152">
        <v>-1.7988833999999999E-2</v>
      </c>
      <c r="H22" s="159">
        <v>196495.17800000001</v>
      </c>
      <c r="I22" s="152">
        <v>-3.1057117200000001E-2</v>
      </c>
      <c r="J22" s="159">
        <v>18196.105</v>
      </c>
      <c r="K22" s="159">
        <v>18793.899000000001</v>
      </c>
      <c r="L22" s="152">
        <v>-3.1807875499999999E-2</v>
      </c>
      <c r="M22" s="159">
        <v>156341.821</v>
      </c>
      <c r="N22" s="159">
        <v>158656.13699999999</v>
      </c>
      <c r="O22" s="152">
        <v>-1.45869933E-2</v>
      </c>
      <c r="P22" s="159">
        <v>205695.94699999999</v>
      </c>
      <c r="Q22" s="152">
        <v>-1.6417049699999998E-2</v>
      </c>
      <c r="R22" s="159">
        <v>505898.86</v>
      </c>
      <c r="S22" s="159">
        <v>287182.67499999999</v>
      </c>
      <c r="T22" s="152">
        <v>0.76159254730000003</v>
      </c>
      <c r="U22" s="159">
        <v>3446728.1009999998</v>
      </c>
      <c r="V22" s="159">
        <v>2686154.9530000002</v>
      </c>
      <c r="W22" s="152">
        <v>0.28314567149999997</v>
      </c>
      <c r="X22" s="159">
        <v>4275548.7450000001</v>
      </c>
      <c r="Y22" s="152">
        <v>0.1674110623</v>
      </c>
      <c r="Z22" s="159">
        <v>722678.41</v>
      </c>
      <c r="AA22" s="159">
        <v>684818.78799999994</v>
      </c>
      <c r="AB22" s="152">
        <v>5.5284146200000002E-2</v>
      </c>
      <c r="AC22" s="159">
        <v>5897681.7429999998</v>
      </c>
      <c r="AD22" s="159">
        <v>5953804.0420000004</v>
      </c>
      <c r="AE22" s="152">
        <v>-9.4262926000000004E-3</v>
      </c>
      <c r="AF22" s="159">
        <v>7889656.8660000004</v>
      </c>
      <c r="AG22" s="152">
        <v>-3.89632834E-2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37549.396999999997</v>
      </c>
      <c r="S23" s="158">
        <v>116274.961</v>
      </c>
      <c r="T23" s="151">
        <v>-0.67706377470000001</v>
      </c>
      <c r="U23" s="158">
        <v>791236.90099999995</v>
      </c>
      <c r="V23" s="158">
        <v>1086004.8</v>
      </c>
      <c r="W23" s="151">
        <v>-0.27142412170000002</v>
      </c>
      <c r="X23" s="158">
        <v>1131769.6259999999</v>
      </c>
      <c r="Y23" s="151">
        <v>-0.2111352658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16921.593000000001</v>
      </c>
      <c r="C24" s="159">
        <v>16830.054</v>
      </c>
      <c r="D24" s="152">
        <v>5.4390200000000001E-3</v>
      </c>
      <c r="E24" s="159">
        <v>147552.72899999999</v>
      </c>
      <c r="F24" s="159">
        <v>150255.65299999999</v>
      </c>
      <c r="G24" s="152">
        <v>-1.7988833999999999E-2</v>
      </c>
      <c r="H24" s="159">
        <v>196495.17800000001</v>
      </c>
      <c r="I24" s="152">
        <v>-3.1057117200000001E-2</v>
      </c>
      <c r="J24" s="159">
        <v>18196.105</v>
      </c>
      <c r="K24" s="159">
        <v>18793.899000000001</v>
      </c>
      <c r="L24" s="152">
        <v>-3.1807875499999999E-2</v>
      </c>
      <c r="M24" s="159">
        <v>156341.821</v>
      </c>
      <c r="N24" s="159">
        <v>158656.13699999999</v>
      </c>
      <c r="O24" s="152">
        <v>-1.45869933E-2</v>
      </c>
      <c r="P24" s="159">
        <v>205695.94699999999</v>
      </c>
      <c r="Q24" s="152">
        <v>-1.6417049699999998E-2</v>
      </c>
      <c r="R24" s="159">
        <v>543448.25699999998</v>
      </c>
      <c r="S24" s="159">
        <v>403457.636</v>
      </c>
      <c r="T24" s="152">
        <v>0.34697724990000001</v>
      </c>
      <c r="U24" s="159">
        <v>4237965.0020000003</v>
      </c>
      <c r="V24" s="159">
        <v>3772159.753</v>
      </c>
      <c r="W24" s="152">
        <v>0.123485027</v>
      </c>
      <c r="X24" s="159">
        <v>5407318.3710000003</v>
      </c>
      <c r="Y24" s="152">
        <v>6.0861587299999999E-2</v>
      </c>
      <c r="Z24" s="159">
        <v>722678.41</v>
      </c>
      <c r="AA24" s="159">
        <v>684818.78799999994</v>
      </c>
      <c r="AB24" s="152">
        <v>5.5284146200000002E-2</v>
      </c>
      <c r="AC24" s="159">
        <v>5897681.7429999998</v>
      </c>
      <c r="AD24" s="159">
        <v>5953804.0420000004</v>
      </c>
      <c r="AE24" s="152">
        <v>-9.4262926000000004E-3</v>
      </c>
      <c r="AF24" s="159">
        <v>7889656.8660000004</v>
      </c>
      <c r="AG24" s="152">
        <v>-3.89632834E-2</v>
      </c>
    </row>
    <row r="26" spans="1:33">
      <c r="A26" s="111" t="s">
        <v>103</v>
      </c>
      <c r="B26" s="179">
        <f>SUM(B24,J24,R24,Z24)</f>
        <v>1301244.365</v>
      </c>
      <c r="C26" s="179">
        <f>SUM(C24,K24,S24,AA24)</f>
        <v>1123900.3769999999</v>
      </c>
      <c r="D26" s="180">
        <f>((B26/C26)-1)*100</f>
        <v>15.779333438198506</v>
      </c>
      <c r="R26" s="180"/>
    </row>
    <row r="29" spans="1:33" ht="15">
      <c r="A29" s="145" t="s">
        <v>67</v>
      </c>
      <c r="B29" s="206" t="str">
        <f>A2</f>
        <v>Septiembre 2021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499.71499999999997</v>
      </c>
      <c r="D41" s="186"/>
    </row>
    <row r="42" spans="1:4">
      <c r="A42" s="144" t="s">
        <v>4</v>
      </c>
      <c r="B42" s="147">
        <v>149.05525499999999</v>
      </c>
      <c r="C42" s="147">
        <v>167.90214499999999</v>
      </c>
      <c r="D42" s="186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4">
        <f>SUM(B33:B46)</f>
        <v>2047.7157550000002</v>
      </c>
      <c r="C47" s="184">
        <f>SUM(C33:C46)</f>
        <v>3078.7831449999999</v>
      </c>
    </row>
    <row r="48" spans="1:4" ht="15">
      <c r="A48"/>
      <c r="C48"/>
      <c r="D48" s="185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11.778978572150507</v>
      </c>
      <c r="D52" s="182"/>
      <c r="F52" s="114" t="s">
        <v>10</v>
      </c>
      <c r="G52" s="115">
        <f>C35</f>
        <v>487.64</v>
      </c>
      <c r="H52" s="116">
        <f>G52/$G$62*100</f>
        <v>15.838725140220944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6.8075854600239669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16.91415002208608</v>
      </c>
    </row>
    <row r="54" spans="1:8">
      <c r="A54" s="114" t="s">
        <v>9</v>
      </c>
      <c r="B54" s="115">
        <f t="shared" si="1"/>
        <v>603.1</v>
      </c>
      <c r="C54" s="116">
        <f t="shared" si="0"/>
        <v>29.452329920663228</v>
      </c>
      <c r="D54" s="182"/>
      <c r="F54" s="114" t="s">
        <v>8</v>
      </c>
      <c r="G54" s="115">
        <f>C37</f>
        <v>482.64</v>
      </c>
      <c r="H54" s="116">
        <f t="shared" si="2"/>
        <v>15.676323315716994</v>
      </c>
    </row>
    <row r="55" spans="1:8">
      <c r="A55" s="114" t="s">
        <v>25</v>
      </c>
      <c r="B55" s="115">
        <f>B38</f>
        <v>822.9</v>
      </c>
      <c r="C55" s="116">
        <f t="shared" si="0"/>
        <v>40.186241571404032</v>
      </c>
      <c r="D55" s="182"/>
      <c r="F55" s="114" t="s">
        <v>25</v>
      </c>
      <c r="G55" s="115">
        <f>C38</f>
        <v>865.4</v>
      </c>
      <c r="H55" s="116">
        <f t="shared" si="2"/>
        <v>28.108507785143143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1.2407499392101551</v>
      </c>
    </row>
    <row r="57" spans="1:8">
      <c r="A57" s="114" t="s">
        <v>23</v>
      </c>
      <c r="B57" s="115">
        <f>B44</f>
        <v>11.523</v>
      </c>
      <c r="C57" s="116">
        <f t="shared" si="0"/>
        <v>0.56272458576654349</v>
      </c>
      <c r="D57" s="182"/>
      <c r="F57" s="114" t="s">
        <v>12</v>
      </c>
      <c r="G57" s="116">
        <f>C33</f>
        <v>1.52</v>
      </c>
      <c r="H57" s="116">
        <f t="shared" si="2"/>
        <v>4.9370154649199895E-2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1.8264253673235031</v>
      </c>
      <c r="D58" s="182"/>
      <c r="F58" s="114" t="s">
        <v>6</v>
      </c>
      <c r="G58" s="115">
        <f>C40</f>
        <v>11.32</v>
      </c>
      <c r="H58" s="116">
        <f t="shared" si="2"/>
        <v>0.36767773067693604</v>
      </c>
    </row>
    <row r="59" spans="1:8">
      <c r="A59" s="114" t="s">
        <v>54</v>
      </c>
      <c r="B59" s="115">
        <f>B45</f>
        <v>37.4</v>
      </c>
      <c r="C59" s="116">
        <f t="shared" si="3"/>
        <v>1.8264253673235031</v>
      </c>
      <c r="D59" s="182"/>
      <c r="F59" s="114" t="s">
        <v>5</v>
      </c>
      <c r="G59" s="115">
        <f>C41</f>
        <v>499.71499999999997</v>
      </c>
      <c r="H59" s="116">
        <f t="shared" si="2"/>
        <v>16.230925546397977</v>
      </c>
    </row>
    <row r="60" spans="1:8">
      <c r="A60" s="114" t="s">
        <v>5</v>
      </c>
      <c r="B60" s="115">
        <f>B41</f>
        <v>3.6074999999999999</v>
      </c>
      <c r="C60" s="116">
        <f t="shared" si="3"/>
        <v>0.17617191210212668</v>
      </c>
      <c r="D60" s="182"/>
      <c r="F60" s="114" t="s">
        <v>4</v>
      </c>
      <c r="G60" s="115">
        <f>C42</f>
        <v>167.90214499999999</v>
      </c>
      <c r="H60" s="116">
        <f t="shared" si="2"/>
        <v>5.4535229372252525</v>
      </c>
    </row>
    <row r="61" spans="1:8">
      <c r="A61" s="114" t="s">
        <v>4</v>
      </c>
      <c r="B61" s="115">
        <f>B42</f>
        <v>149.05525499999999</v>
      </c>
      <c r="C61" s="116">
        <f t="shared" si="3"/>
        <v>7.2790989001303057</v>
      </c>
      <c r="D61" s="182"/>
      <c r="F61" s="114" t="s">
        <v>22</v>
      </c>
      <c r="G61" s="115">
        <f>C43</f>
        <v>3.6960000000000002</v>
      </c>
      <c r="H61" s="116">
        <f t="shared" si="2"/>
        <v>0.12004742867331762</v>
      </c>
    </row>
    <row r="62" spans="1:8">
      <c r="A62" s="114" t="s">
        <v>22</v>
      </c>
      <c r="B62" s="115">
        <f>B43</f>
        <v>2.13</v>
      </c>
      <c r="C62" s="116">
        <f t="shared" si="3"/>
        <v>0.10401834311227437</v>
      </c>
      <c r="D62" s="182"/>
      <c r="F62" s="117" t="s">
        <v>20</v>
      </c>
      <c r="G62" s="118">
        <f>SUM(G52:G61)</f>
        <v>3078.7831449999999</v>
      </c>
      <c r="H62" s="119">
        <f>SUM(H52:H61)</f>
        <v>100</v>
      </c>
    </row>
    <row r="63" spans="1:8">
      <c r="A63" s="117" t="s">
        <v>20</v>
      </c>
      <c r="B63" s="118">
        <f>SUM(B52:B62)</f>
        <v>2047.7157550000002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7">
        <f>(C68/SUM($C$68:$C$78))*100</f>
        <v>0</v>
      </c>
      <c r="F68" s="114" t="s">
        <v>10</v>
      </c>
      <c r="G68" s="116">
        <f>Z10/Z$24*100</f>
        <v>23.243999637404414</v>
      </c>
    </row>
    <row r="69" spans="1:7">
      <c r="A69" s="114" t="s">
        <v>10</v>
      </c>
      <c r="B69" s="116">
        <f t="shared" ref="B69:B78" si="4">C69/$C$80*100</f>
        <v>9.7086196223310903</v>
      </c>
      <c r="C69" s="115">
        <f>R10</f>
        <v>52814.718999999997</v>
      </c>
      <c r="D69" s="187">
        <f t="shared" ref="D69:D78" si="5">(C69/SUM($C$68:$C$78))*100</f>
        <v>10.428441227292867</v>
      </c>
      <c r="F69" s="114" t="s">
        <v>9</v>
      </c>
      <c r="G69" s="116">
        <f>Z11/Z$24*100</f>
        <v>4.514535310387922</v>
      </c>
    </row>
    <row r="70" spans="1:7">
      <c r="A70" s="114" t="s">
        <v>9</v>
      </c>
      <c r="B70" s="116">
        <f t="shared" si="4"/>
        <v>7.1138788317125989</v>
      </c>
      <c r="C70" s="115">
        <f>R11</f>
        <v>38699.375</v>
      </c>
      <c r="D70" s="187">
        <f t="shared" si="5"/>
        <v>7.6413197942124214</v>
      </c>
      <c r="F70" s="114" t="s">
        <v>8</v>
      </c>
      <c r="G70" s="116">
        <f>Z12/Z$24*100</f>
        <v>15.665365317887384</v>
      </c>
    </row>
    <row r="71" spans="1:7">
      <c r="A71" s="114" t="s">
        <v>25</v>
      </c>
      <c r="B71" s="116">
        <f t="shared" si="4"/>
        <v>67.507720994776548</v>
      </c>
      <c r="C71" s="115">
        <f>R13</f>
        <v>367240.80800000002</v>
      </c>
      <c r="D71" s="187">
        <f>(C71/SUM($C$68:$C$78))*100</f>
        <v>72.512914108120953</v>
      </c>
      <c r="F71" s="114" t="s">
        <v>25</v>
      </c>
      <c r="G71" s="116">
        <f>Z13/Z$24*100</f>
        <v>38.590927325475235</v>
      </c>
    </row>
    <row r="72" spans="1:7">
      <c r="A72" s="114" t="s">
        <v>24</v>
      </c>
      <c r="B72" s="116">
        <f t="shared" si="4"/>
        <v>0.38465492730618833</v>
      </c>
      <c r="C72" s="115">
        <f>R14</f>
        <v>2092.5160000000001</v>
      </c>
      <c r="D72" s="188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0.67625127994212186</v>
      </c>
      <c r="C73" s="115">
        <f>R19</f>
        <v>3678.7950000000001</v>
      </c>
      <c r="D73" s="187">
        <f t="shared" si="5"/>
        <v>0.72639025959333159</v>
      </c>
      <c r="F73" s="114" t="s">
        <v>12</v>
      </c>
      <c r="G73" s="116">
        <f>Z8/Z$24*100</f>
        <v>3.8403388860060179E-2</v>
      </c>
    </row>
    <row r="74" spans="1:7">
      <c r="A74" s="114" t="s">
        <v>55</v>
      </c>
      <c r="B74" s="116">
        <f t="shared" si="4"/>
        <v>2.2008351898482554</v>
      </c>
      <c r="C74" s="115">
        <f>R21</f>
        <v>11972.504499999999</v>
      </c>
      <c r="D74" s="187">
        <f t="shared" si="5"/>
        <v>2.3640106751632883</v>
      </c>
      <c r="F74" s="114" t="s">
        <v>6</v>
      </c>
      <c r="G74" s="116">
        <f>Z15/Z$24*100</f>
        <v>0.19650621636807994</v>
      </c>
    </row>
    <row r="75" spans="1:7">
      <c r="A75" s="114" t="s">
        <v>54</v>
      </c>
      <c r="B75" s="116">
        <f t="shared" si="4"/>
        <v>2.2008351898482554</v>
      </c>
      <c r="C75" s="115">
        <f>R20</f>
        <v>11972.504499999999</v>
      </c>
      <c r="D75" s="187">
        <f t="shared" si="5"/>
        <v>2.3640106751632883</v>
      </c>
      <c r="F75" s="114" t="s">
        <v>5</v>
      </c>
      <c r="G75" s="116">
        <f>Z16/Z$24*100</f>
        <v>14.725155965293055</v>
      </c>
    </row>
    <row r="76" spans="1:7">
      <c r="A76" s="114" t="s">
        <v>5</v>
      </c>
      <c r="B76" s="116">
        <f t="shared" si="4"/>
        <v>5.0450164055772455E-2</v>
      </c>
      <c r="C76" s="115">
        <f>R16</f>
        <v>274.44799999999998</v>
      </c>
      <c r="D76" s="187">
        <f t="shared" si="5"/>
        <v>5.4190666771285333E-2</v>
      </c>
      <c r="F76" s="114" t="s">
        <v>4</v>
      </c>
      <c r="G76" s="116">
        <f>Z17/Z$24*100</f>
        <v>2.9697387804902045</v>
      </c>
    </row>
    <row r="77" spans="1:7">
      <c r="A77" s="114" t="s">
        <v>4</v>
      </c>
      <c r="B77" s="116">
        <f t="shared" si="4"/>
        <v>3.239308695472578</v>
      </c>
      <c r="C77" s="115">
        <f>R17</f>
        <v>17621.781999999999</v>
      </c>
      <c r="D77" s="187">
        <f t="shared" si="5"/>
        <v>3.4794792320520975</v>
      </c>
      <c r="F77" s="114" t="s">
        <v>22</v>
      </c>
      <c r="G77" s="116">
        <f>Z18/Z$24*100</f>
        <v>5.5368057833635846E-2</v>
      </c>
    </row>
    <row r="78" spans="1:7">
      <c r="A78" s="114" t="s">
        <v>22</v>
      </c>
      <c r="B78" s="116">
        <f t="shared" si="4"/>
        <v>1.4959975118007326E-2</v>
      </c>
      <c r="C78" s="115">
        <f>R18</f>
        <v>81.382000000000005</v>
      </c>
      <c r="D78" s="187">
        <f t="shared" si="5"/>
        <v>1.6069145496344459E-2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C79/$C$80*100</f>
        <v>6.9024851295885927</v>
      </c>
      <c r="C79" s="115">
        <f>R23</f>
        <v>37549.396999999997</v>
      </c>
      <c r="D79" s="182"/>
    </row>
    <row r="80" spans="1:7">
      <c r="A80" s="117" t="s">
        <v>20</v>
      </c>
      <c r="B80" s="119">
        <f>SUM(B68:B79)</f>
        <v>99.999999999999986</v>
      </c>
      <c r="C80" s="118">
        <f>SUM(C68:C79)</f>
        <v>543998.23099999991</v>
      </c>
      <c r="D80" s="182"/>
    </row>
    <row r="85" spans="1:26" ht="15">
      <c r="A85" s="145"/>
      <c r="B85" s="145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/>
      <c r="Z85"/>
    </row>
    <row r="86" spans="1:26" ht="15">
      <c r="A86" s="145"/>
      <c r="B86" s="143" t="s">
        <v>67</v>
      </c>
      <c r="C86" s="191" t="s">
        <v>104</v>
      </c>
      <c r="D86" s="191" t="s">
        <v>105</v>
      </c>
      <c r="E86" s="191" t="s">
        <v>107</v>
      </c>
      <c r="F86" s="191" t="s">
        <v>109</v>
      </c>
      <c r="G86" s="191" t="s">
        <v>110</v>
      </c>
      <c r="H86" s="191" t="s">
        <v>111</v>
      </c>
      <c r="I86" s="191" t="s">
        <v>112</v>
      </c>
      <c r="J86" s="191" t="s">
        <v>113</v>
      </c>
      <c r="K86" s="191" t="s">
        <v>114</v>
      </c>
      <c r="L86" s="191" t="s">
        <v>115</v>
      </c>
      <c r="M86" s="191" t="s">
        <v>116</v>
      </c>
      <c r="N86" s="191" t="s">
        <v>117</v>
      </c>
      <c r="O86" s="191" t="s">
        <v>118</v>
      </c>
      <c r="P86" s="191" t="s">
        <v>119</v>
      </c>
      <c r="Q86" s="191" t="s">
        <v>120</v>
      </c>
      <c r="R86" s="191" t="s">
        <v>121</v>
      </c>
      <c r="S86" s="191" t="s">
        <v>122</v>
      </c>
      <c r="T86" s="191" t="s">
        <v>123</v>
      </c>
      <c r="U86" s="191" t="s">
        <v>124</v>
      </c>
      <c r="V86" s="191" t="s">
        <v>125</v>
      </c>
      <c r="W86" s="191" t="s">
        <v>126</v>
      </c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/>
      <c r="Y87"/>
      <c r="Z87"/>
    </row>
    <row r="88" spans="1:26" ht="15">
      <c r="A88" s="217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 s="147">
        <v>-0.72875599999999996</v>
      </c>
      <c r="W88" s="147">
        <v>-0.54997399999999996</v>
      </c>
      <c r="X88"/>
      <c r="Y88"/>
      <c r="Z88"/>
    </row>
    <row r="89" spans="1:26" ht="15">
      <c r="A89" s="215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 s="147">
        <v>61.091033000000003</v>
      </c>
      <c r="W89" s="147">
        <v>52.814718999999997</v>
      </c>
      <c r="X89"/>
      <c r="Y89"/>
      <c r="Z89"/>
    </row>
    <row r="90" spans="1:26" ht="15">
      <c r="A90" s="215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 s="147">
        <v>38.115422000000002</v>
      </c>
      <c r="W90" s="147">
        <v>38.699375000000003</v>
      </c>
      <c r="X90"/>
      <c r="Y90"/>
      <c r="Z90"/>
    </row>
    <row r="91" spans="1:26" ht="15">
      <c r="A91" s="215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 s="147">
        <v>437.91378300000002</v>
      </c>
      <c r="W91" s="147">
        <v>367.24080800000002</v>
      </c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 s="147">
        <v>3.834768</v>
      </c>
      <c r="W92" s="147">
        <v>2.0925159999999998</v>
      </c>
      <c r="X92"/>
      <c r="Y92"/>
      <c r="Z92"/>
    </row>
    <row r="93" spans="1:26" ht="15">
      <c r="A93" s="215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 s="147">
        <v>0.20128099999999999</v>
      </c>
      <c r="W93" s="147">
        <v>0.27444800000000003</v>
      </c>
      <c r="X93"/>
      <c r="Y93"/>
      <c r="Z93"/>
    </row>
    <row r="94" spans="1:26" ht="15">
      <c r="A94" s="215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8.4045810000000003</v>
      </c>
      <c r="P94" s="147">
        <v>9.5098800000000008</v>
      </c>
      <c r="Q94" s="147">
        <v>13.274073</v>
      </c>
      <c r="R94" s="147">
        <v>14.709775</v>
      </c>
      <c r="S94" s="147">
        <v>22.195191000000001</v>
      </c>
      <c r="T94" s="147">
        <v>21.167138000000001</v>
      </c>
      <c r="U94" s="147">
        <v>22.975413</v>
      </c>
      <c r="V94" s="147">
        <v>21.349046000000001</v>
      </c>
      <c r="W94" s="147">
        <v>17.621782</v>
      </c>
      <c r="X94"/>
      <c r="Y94"/>
      <c r="Z94"/>
    </row>
    <row r="95" spans="1:26" ht="15">
      <c r="A95" s="215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 s="147">
        <v>8.4413000000000002E-2</v>
      </c>
      <c r="W95" s="147">
        <v>8.1381999999999996E-2</v>
      </c>
      <c r="X95"/>
      <c r="Y95"/>
      <c r="Z95"/>
    </row>
    <row r="96" spans="1:26" ht="15">
      <c r="A96" s="215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 s="147">
        <v>3.5683280000000002</v>
      </c>
      <c r="W96" s="147">
        <v>3.678795</v>
      </c>
      <c r="X96"/>
      <c r="Y96"/>
      <c r="Z96"/>
    </row>
    <row r="97" spans="1:26" ht="15">
      <c r="A97" s="215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 s="147">
        <v>13.3199895</v>
      </c>
      <c r="W97" s="147">
        <v>11.972504499999999</v>
      </c>
      <c r="X97"/>
      <c r="Y97"/>
      <c r="Z97"/>
    </row>
    <row r="98" spans="1:26" ht="15">
      <c r="A98" s="215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 s="147">
        <v>13.3199895</v>
      </c>
      <c r="W98" s="147">
        <v>11.972504499999999</v>
      </c>
      <c r="X98"/>
      <c r="Y98"/>
      <c r="Z98"/>
    </row>
    <row r="99" spans="1:26" ht="15">
      <c r="A99" s="215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332.488089</v>
      </c>
      <c r="P99" s="150">
        <v>248.30075099999999</v>
      </c>
      <c r="Q99" s="150">
        <v>282.09673800000002</v>
      </c>
      <c r="R99" s="150">
        <v>267.78365600000001</v>
      </c>
      <c r="S99" s="150">
        <v>268.828193</v>
      </c>
      <c r="T99" s="150">
        <v>394.26093600000002</v>
      </c>
      <c r="U99" s="150">
        <v>555.00158099999999</v>
      </c>
      <c r="V99" s="150">
        <v>592.06929700000001</v>
      </c>
      <c r="W99" s="150">
        <v>505.89886000000001</v>
      </c>
      <c r="X99"/>
      <c r="Y99"/>
      <c r="Z99"/>
    </row>
    <row r="100" spans="1:26" ht="15">
      <c r="A100" s="215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 s="147">
        <v>40.107311000000003</v>
      </c>
      <c r="W100" s="147">
        <v>37.549396999999999</v>
      </c>
      <c r="X100"/>
      <c r="Y100"/>
      <c r="Z100"/>
    </row>
    <row r="101" spans="1:26" ht="15">
      <c r="A101" s="216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470.73850099999999</v>
      </c>
      <c r="P101" s="150">
        <v>361.71276</v>
      </c>
      <c r="Q101" s="150">
        <v>410.082311</v>
      </c>
      <c r="R101" s="150">
        <v>378.805453</v>
      </c>
      <c r="S101" s="150">
        <v>380.42990600000002</v>
      </c>
      <c r="T101" s="150">
        <v>459.690404</v>
      </c>
      <c r="U101" s="150">
        <v>600.88080200000002</v>
      </c>
      <c r="V101" s="150">
        <v>632.17660799999999</v>
      </c>
      <c r="W101" s="150">
        <v>543.44825700000001</v>
      </c>
      <c r="X101"/>
      <c r="Y101"/>
      <c r="Z101"/>
    </row>
    <row r="102" spans="1:26" ht="15">
      <c r="A102" s="214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 s="147">
        <v>0.28065899999999999</v>
      </c>
      <c r="W102" s="147">
        <v>0.27753299999999997</v>
      </c>
      <c r="X102"/>
      <c r="Y102"/>
      <c r="Z102"/>
    </row>
    <row r="103" spans="1:26" ht="15">
      <c r="A103" s="215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 s="147">
        <v>156.76769400000001</v>
      </c>
      <c r="W103" s="147">
        <v>167.979367</v>
      </c>
      <c r="X103"/>
      <c r="Y103"/>
      <c r="Z103"/>
    </row>
    <row r="104" spans="1:26" ht="15">
      <c r="A104" s="215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 s="147">
        <v>9.7369489999999992</v>
      </c>
      <c r="W104" s="147">
        <v>32.625571999999998</v>
      </c>
      <c r="X104"/>
      <c r="Y104"/>
      <c r="Z104"/>
    </row>
    <row r="105" spans="1:26" ht="15">
      <c r="A105" s="215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 s="147">
        <v>99.644189999999995</v>
      </c>
      <c r="W105" s="147">
        <v>113.210213</v>
      </c>
      <c r="X105"/>
      <c r="Y105"/>
      <c r="Z105"/>
    </row>
    <row r="106" spans="1:26" ht="15">
      <c r="A106" s="215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 s="147">
        <v>284.30052499999999</v>
      </c>
      <c r="W106" s="147">
        <v>278.88830000000002</v>
      </c>
      <c r="X106"/>
      <c r="Y106"/>
      <c r="Z106"/>
    </row>
    <row r="107" spans="1:26" ht="15">
      <c r="A107" s="215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 s="147">
        <v>2.663478</v>
      </c>
      <c r="W107" s="147">
        <v>1.4201079999999999</v>
      </c>
      <c r="X107"/>
      <c r="Y107"/>
      <c r="Z107"/>
    </row>
    <row r="108" spans="1:26" ht="15">
      <c r="A108" s="215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81.695520000000002</v>
      </c>
      <c r="P108" s="147">
        <v>58.505417000000001</v>
      </c>
      <c r="Q108" s="147">
        <v>83.922415999999998</v>
      </c>
      <c r="R108" s="147">
        <v>52.700510000000001</v>
      </c>
      <c r="S108" s="147">
        <v>162.60342700000001</v>
      </c>
      <c r="T108" s="147">
        <v>148.01756800000001</v>
      </c>
      <c r="U108" s="147">
        <v>159.262687</v>
      </c>
      <c r="V108" s="147">
        <v>145.85740200000001</v>
      </c>
      <c r="W108" s="147">
        <v>106.41552299999999</v>
      </c>
      <c r="X108"/>
      <c r="Y108"/>
      <c r="Z108"/>
    </row>
    <row r="109" spans="1:26" ht="15">
      <c r="A109" s="215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16.464936000000002</v>
      </c>
      <c r="P109" s="147">
        <v>17.884999000000001</v>
      </c>
      <c r="Q109" s="147">
        <v>24.228294999999999</v>
      </c>
      <c r="R109" s="147">
        <v>22.565013</v>
      </c>
      <c r="S109" s="147">
        <v>27.019202</v>
      </c>
      <c r="T109" s="147">
        <v>24.71088</v>
      </c>
      <c r="U109" s="147">
        <v>27.918244000000001</v>
      </c>
      <c r="V109" s="147">
        <v>26.100961999999999</v>
      </c>
      <c r="W109" s="147">
        <v>21.461660999999999</v>
      </c>
      <c r="X109"/>
      <c r="Y109"/>
      <c r="Z109"/>
    </row>
    <row r="110" spans="1:26" ht="15">
      <c r="A110" s="215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 s="147">
        <v>0.56980699999999995</v>
      </c>
      <c r="W110" s="147">
        <v>0.40013300000000002</v>
      </c>
      <c r="X110"/>
      <c r="Y110"/>
      <c r="Z110"/>
    </row>
    <row r="111" spans="1:26" ht="15">
      <c r="A111" s="215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647.96105899999998</v>
      </c>
      <c r="P111" s="150">
        <v>576.01197200000001</v>
      </c>
      <c r="Q111" s="150">
        <v>639.36432500000001</v>
      </c>
      <c r="R111" s="150">
        <v>615.06619000000001</v>
      </c>
      <c r="S111" s="150">
        <v>636.08087</v>
      </c>
      <c r="T111" s="150">
        <v>635.56558099999995</v>
      </c>
      <c r="U111" s="150">
        <v>699.03166999999996</v>
      </c>
      <c r="V111" s="150">
        <v>725.92166599999996</v>
      </c>
      <c r="W111" s="150">
        <v>722.67840999999999</v>
      </c>
      <c r="X111"/>
      <c r="Y111"/>
      <c r="Z111"/>
    </row>
    <row r="112" spans="1:26" ht="15">
      <c r="A112" s="216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647.96105899999998</v>
      </c>
      <c r="P112" s="150">
        <v>576.01197200000001</v>
      </c>
      <c r="Q112" s="150">
        <v>639.36432500000001</v>
      </c>
      <c r="R112" s="150">
        <v>615.06619000000001</v>
      </c>
      <c r="S112" s="150">
        <v>636.08087</v>
      </c>
      <c r="T112" s="150">
        <v>635.56558099999995</v>
      </c>
      <c r="U112" s="150">
        <v>699.03166999999996</v>
      </c>
      <c r="V112" s="150">
        <v>725.92166599999996</v>
      </c>
      <c r="W112" s="150">
        <v>722.67840999999999</v>
      </c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septiembre 2020</v>
      </c>
      <c r="D117" s="120" t="str">
        <f t="shared" ref="D117:M117" si="6">TEXT(EDATE(E117,-1),"mmmm aaaa")</f>
        <v>octubre 2020</v>
      </c>
      <c r="E117" s="120" t="str">
        <f t="shared" si="6"/>
        <v>noviembre 2020</v>
      </c>
      <c r="F117" s="120" t="str">
        <f t="shared" si="6"/>
        <v>diciembre 2020</v>
      </c>
      <c r="G117" s="120" t="str">
        <f t="shared" si="6"/>
        <v>enero 2021</v>
      </c>
      <c r="H117" s="120" t="str">
        <f t="shared" si="6"/>
        <v>febrero 2021</v>
      </c>
      <c r="I117" s="120" t="str">
        <f t="shared" si="6"/>
        <v>marzo 2021</v>
      </c>
      <c r="J117" s="120" t="str">
        <f t="shared" si="6"/>
        <v>abril 2021</v>
      </c>
      <c r="K117" s="120" t="str">
        <f t="shared" si="6"/>
        <v>mayo 2021</v>
      </c>
      <c r="L117" s="120" t="str">
        <f t="shared" si="6"/>
        <v>junio 2021</v>
      </c>
      <c r="M117" s="120" t="str">
        <f t="shared" si="6"/>
        <v>julio 2021</v>
      </c>
      <c r="N117" s="120" t="str">
        <f>TEXT(EDATE(O117,-1),"mmmm aaaa")</f>
        <v>agosto 2021</v>
      </c>
      <c r="O117" s="121" t="str">
        <f>A2</f>
        <v>Septiembre 2021</v>
      </c>
    </row>
    <row r="118" spans="1:19">
      <c r="B118" s="213"/>
      <c r="C118" s="131" t="str">
        <f>TEXT(EDATE($A$2,-12),"mmm")&amp;".-"&amp;TEXT(EDATE($A$2,-12),"aa")</f>
        <v>sep.-20</v>
      </c>
      <c r="D118" s="131" t="str">
        <f>TEXT(EDATE($A$2,-11),"mmm")&amp;".-"&amp;TEXT(EDATE($A$2,-11),"aa")</f>
        <v>oct.-20</v>
      </c>
      <c r="E118" s="131" t="str">
        <f>TEXT(EDATE($A$2,-10),"mmm")&amp;".-"&amp;TEXT(EDATE($A$2,-10),"aa")</f>
        <v>nov.-20</v>
      </c>
      <c r="F118" s="131" t="str">
        <f>TEXT(EDATE($A$2,-9),"mmm")&amp;".-"&amp;TEXT(EDATE($A$2,-9),"aa")</f>
        <v>dic.-20</v>
      </c>
      <c r="G118" s="131" t="str">
        <f>TEXT(EDATE($A$2,-8),"mmm")&amp;".-"&amp;TEXT(EDATE($A$2,-8),"aa")</f>
        <v>ene.-21</v>
      </c>
      <c r="H118" s="131" t="str">
        <f>TEXT(EDATE($A$2,-7),"mmm")&amp;".-"&amp;TEXT(EDATE($A$2,-7),"aa")</f>
        <v>feb.-21</v>
      </c>
      <c r="I118" s="131" t="str">
        <f>TEXT(EDATE($A$2,-6),"mmm")&amp;".-"&amp;TEXT(EDATE($A$2,-6),"aa")</f>
        <v>mar.-21</v>
      </c>
      <c r="J118" s="131" t="str">
        <f>TEXT(EDATE($A$2,-5),"mmm")&amp;".-"&amp;TEXT(EDATE($A$2,-5),"aa")</f>
        <v>abr.-21</v>
      </c>
      <c r="K118" s="131" t="str">
        <f>TEXT(EDATE($A$2,-4),"mmm")&amp;".-"&amp;TEXT(EDATE($A$2,-4),"aa")</f>
        <v>may.-21</v>
      </c>
      <c r="L118" s="131" t="str">
        <f>TEXT(EDATE($A$2,-3),"mmm")&amp;".-"&amp;TEXT(EDATE($A$2,-3),"aa")</f>
        <v>jun.-21</v>
      </c>
      <c r="M118" s="131" t="str">
        <f>TEXT(EDATE($A$2,-2),"mmm")&amp;".-"&amp;TEXT(EDATE($A$2,-2),"aa")</f>
        <v>jul.-21</v>
      </c>
      <c r="N118" s="131" t="str">
        <f>TEXT(EDATE($A$2,-1),"mmm")&amp;".-"&amp;TEXT(EDATE($A$2,-1),"aa")</f>
        <v>ago.-21</v>
      </c>
      <c r="O118" s="160" t="str">
        <f>TEXT($A$2,"mmm")&amp;".-"&amp;TEXT($A$2,"aa")</f>
        <v>sep.-21</v>
      </c>
    </row>
    <row r="119" spans="1:19">
      <c r="A119" s="209" t="s">
        <v>76</v>
      </c>
      <c r="B119" s="132" t="s">
        <v>11</v>
      </c>
      <c r="C119" s="133">
        <f>HLOOKUP(C$117,$86:$101,3,FALSE)</f>
        <v>68.615076999999999</v>
      </c>
      <c r="D119" s="133">
        <f t="shared" ref="D119:N119" si="7">HLOOKUP(D$117,$86:$101,3,FALSE)</f>
        <v>69.531803999999994</v>
      </c>
      <c r="E119" s="133">
        <f t="shared" si="7"/>
        <v>18.689830000000001</v>
      </c>
      <c r="F119" s="133">
        <f t="shared" si="7"/>
        <v>78.075038000000006</v>
      </c>
      <c r="G119" s="133">
        <f t="shared" si="7"/>
        <v>-0.63269200000000003</v>
      </c>
      <c r="H119" s="133">
        <f t="shared" si="7"/>
        <v>-0.606159</v>
      </c>
      <c r="I119" s="133">
        <f t="shared" si="7"/>
        <v>-0.651559</v>
      </c>
      <c r="J119" s="133">
        <f t="shared" si="7"/>
        <v>-0.59136100000000003</v>
      </c>
      <c r="K119" s="133">
        <f t="shared" si="7"/>
        <v>-1.103416</v>
      </c>
      <c r="L119" s="133">
        <f t="shared" si="7"/>
        <v>41.953423999999998</v>
      </c>
      <c r="M119" s="133">
        <f t="shared" si="7"/>
        <v>9.292719</v>
      </c>
      <c r="N119" s="133">
        <f t="shared" si="7"/>
        <v>-0.72875599999999996</v>
      </c>
      <c r="O119" s="134">
        <f>HLOOKUP(O$117,$86:$101,3,FALSE)</f>
        <v>-0.54997399999999996</v>
      </c>
    </row>
    <row r="120" spans="1:19">
      <c r="A120" s="210"/>
      <c r="B120" s="122" t="s">
        <v>10</v>
      </c>
      <c r="C120" s="116">
        <f>HLOOKUP(C$117,$86:$101,4,FALSE)</f>
        <v>25.914612999999999</v>
      </c>
      <c r="D120" s="116">
        <f t="shared" ref="D120:O120" si="8">HLOOKUP(D$117,$86:$101,4,FALSE)</f>
        <v>16.883790999999999</v>
      </c>
      <c r="E120" s="116">
        <f t="shared" si="8"/>
        <v>18.608250999999999</v>
      </c>
      <c r="F120" s="116">
        <f t="shared" si="8"/>
        <v>22.109065000000001</v>
      </c>
      <c r="G120" s="116">
        <f t="shared" si="8"/>
        <v>27.196950000000001</v>
      </c>
      <c r="H120" s="116">
        <f t="shared" si="8"/>
        <v>18.940327</v>
      </c>
      <c r="I120" s="116">
        <f t="shared" si="8"/>
        <v>14.240815</v>
      </c>
      <c r="J120" s="116">
        <f t="shared" si="8"/>
        <v>18.127455999999999</v>
      </c>
      <c r="K120" s="116">
        <f t="shared" si="8"/>
        <v>20.114982000000001</v>
      </c>
      <c r="L120" s="116">
        <f t="shared" si="8"/>
        <v>40.523569999999999</v>
      </c>
      <c r="M120" s="116">
        <f t="shared" si="8"/>
        <v>56.775785999999997</v>
      </c>
      <c r="N120" s="116">
        <f t="shared" si="8"/>
        <v>61.091033000000003</v>
      </c>
      <c r="O120" s="134">
        <f t="shared" si="8"/>
        <v>52.814718999999997</v>
      </c>
    </row>
    <row r="121" spans="1:19">
      <c r="A121" s="210"/>
      <c r="B121" s="122" t="s">
        <v>9</v>
      </c>
      <c r="C121" s="116">
        <f>HLOOKUP(C$117,$86:$101,5,FALSE)</f>
        <v>15.232726</v>
      </c>
      <c r="D121" s="116">
        <f t="shared" ref="D121:O121" si="9">HLOOKUP(D$117,$86:$101,5,FALSE)</f>
        <v>8.9368049999999997</v>
      </c>
      <c r="E121" s="116">
        <f t="shared" si="9"/>
        <v>10.474845</v>
      </c>
      <c r="F121" s="116">
        <f t="shared" si="9"/>
        <v>11.540551000000001</v>
      </c>
      <c r="G121" s="116">
        <f t="shared" si="9"/>
        <v>18.542487000000001</v>
      </c>
      <c r="H121" s="116">
        <f t="shared" si="9"/>
        <v>7.6657599999999997</v>
      </c>
      <c r="I121" s="116">
        <f t="shared" si="9"/>
        <v>13.131584999999999</v>
      </c>
      <c r="J121" s="116">
        <f t="shared" si="9"/>
        <v>8.3072920000000003</v>
      </c>
      <c r="K121" s="116">
        <f t="shared" si="9"/>
        <v>7.7047420000000004</v>
      </c>
      <c r="L121" s="116">
        <f t="shared" si="9"/>
        <v>18.862037999999998</v>
      </c>
      <c r="M121" s="116">
        <f t="shared" si="9"/>
        <v>27.349309999999999</v>
      </c>
      <c r="N121" s="116">
        <f t="shared" si="9"/>
        <v>38.115422000000002</v>
      </c>
      <c r="O121" s="134">
        <f t="shared" si="9"/>
        <v>38.699375000000003</v>
      </c>
    </row>
    <row r="122" spans="1:19" ht="14.25">
      <c r="A122" s="210"/>
      <c r="B122" s="122" t="s">
        <v>74</v>
      </c>
      <c r="C122" s="116">
        <f>HLOOKUP(C$117,$86:$101,6,FALSE)</f>
        <v>135.30891800000001</v>
      </c>
      <c r="D122" s="116">
        <f t="shared" ref="D122:O122" si="10">HLOOKUP(D$117,$86:$101,6,FALSE)</f>
        <v>141.13588200000001</v>
      </c>
      <c r="E122" s="116">
        <f t="shared" si="10"/>
        <v>185.01504499999999</v>
      </c>
      <c r="F122" s="116">
        <f t="shared" si="10"/>
        <v>159.35356899999999</v>
      </c>
      <c r="G122" s="116">
        <f t="shared" si="10"/>
        <v>260.27204499999999</v>
      </c>
      <c r="H122" s="116">
        <f t="shared" si="10"/>
        <v>187.465463</v>
      </c>
      <c r="I122" s="116">
        <f t="shared" si="10"/>
        <v>217.47864799999999</v>
      </c>
      <c r="J122" s="116">
        <f t="shared" si="10"/>
        <v>208.53059300000001</v>
      </c>
      <c r="K122" s="116">
        <f t="shared" si="10"/>
        <v>203.81251599999999</v>
      </c>
      <c r="L122" s="116">
        <f t="shared" si="10"/>
        <v>240.57820899999999</v>
      </c>
      <c r="M122" s="116">
        <f t="shared" si="10"/>
        <v>408.79444899999999</v>
      </c>
      <c r="N122" s="116">
        <f t="shared" si="10"/>
        <v>437.91378300000002</v>
      </c>
      <c r="O122" s="134">
        <f t="shared" si="10"/>
        <v>367.24080800000002</v>
      </c>
    </row>
    <row r="123" spans="1:19">
      <c r="A123" s="210"/>
      <c r="B123" s="122" t="s">
        <v>24</v>
      </c>
      <c r="C123" s="116">
        <f>HLOOKUP(C$117,$86:$101,7,FALSE)</f>
        <v>0.57992999999999995</v>
      </c>
      <c r="D123" s="116">
        <f t="shared" ref="D123:O123" si="11">HLOOKUP(D$117,$86:$101,7,FALSE)</f>
        <v>0.73975400000000002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-2.3999999999999998E-3</v>
      </c>
      <c r="J123" s="116">
        <f t="shared" si="11"/>
        <v>0</v>
      </c>
      <c r="K123" s="116">
        <f t="shared" si="11"/>
        <v>1.1771689999999999</v>
      </c>
      <c r="L123" s="116">
        <f t="shared" si="11"/>
        <v>0.95765299999999998</v>
      </c>
      <c r="M123" s="116">
        <f t="shared" si="11"/>
        <v>2.9751430000000001</v>
      </c>
      <c r="N123" s="116">
        <f t="shared" si="11"/>
        <v>3.834768</v>
      </c>
      <c r="O123" s="134">
        <f t="shared" si="11"/>
        <v>2.0925159999999998</v>
      </c>
    </row>
    <row r="124" spans="1:19">
      <c r="A124" s="210"/>
      <c r="B124" s="122" t="s">
        <v>5</v>
      </c>
      <c r="C124" s="116">
        <f>HLOOKUP(C$117,$86:$102,8,FALSE)</f>
        <v>0.189775</v>
      </c>
      <c r="D124" s="116">
        <f t="shared" ref="D124:O124" si="12">HLOOKUP(D$117,$86:$102,8,FALSE)</f>
        <v>0.32789299999999999</v>
      </c>
      <c r="E124" s="116">
        <f t="shared" si="12"/>
        <v>0.34884399999999999</v>
      </c>
      <c r="F124" s="116">
        <f t="shared" si="12"/>
        <v>0.28645399999999999</v>
      </c>
      <c r="G124" s="116">
        <f t="shared" si="12"/>
        <v>0.27796300000000002</v>
      </c>
      <c r="H124" s="116">
        <f t="shared" si="12"/>
        <v>0.15948300000000001</v>
      </c>
      <c r="I124" s="116">
        <f t="shared" si="12"/>
        <v>0.30611500000000003</v>
      </c>
      <c r="J124" s="116">
        <f t="shared" si="12"/>
        <v>0.29466900000000001</v>
      </c>
      <c r="K124" s="116">
        <f t="shared" si="12"/>
        <v>0.189554</v>
      </c>
      <c r="L124" s="116">
        <f t="shared" si="12"/>
        <v>9.4216999999999995E-2</v>
      </c>
      <c r="M124" s="116">
        <f t="shared" si="12"/>
        <v>0.106017</v>
      </c>
      <c r="N124" s="116">
        <f t="shared" si="12"/>
        <v>0.20128099999999999</v>
      </c>
      <c r="O124" s="134">
        <f t="shared" si="12"/>
        <v>0.27444800000000003</v>
      </c>
    </row>
    <row r="125" spans="1:19">
      <c r="A125" s="210"/>
      <c r="B125" s="122" t="s">
        <v>4</v>
      </c>
      <c r="C125" s="116">
        <f>HLOOKUP(C$117,$86:$102,9,FALSE)</f>
        <v>10.538423999999999</v>
      </c>
      <c r="D125" s="116">
        <f t="shared" ref="D125:O125" si="13">HLOOKUP(D$117,$86:$102,9,FALSE)</f>
        <v>9.627974</v>
      </c>
      <c r="E125" s="116">
        <f t="shared" si="13"/>
        <v>6.7521509999999996</v>
      </c>
      <c r="F125" s="116">
        <f t="shared" si="13"/>
        <v>6.7092029999999996</v>
      </c>
      <c r="G125" s="116">
        <f t="shared" si="13"/>
        <v>8.4045810000000003</v>
      </c>
      <c r="H125" s="116">
        <f t="shared" si="13"/>
        <v>9.5098800000000008</v>
      </c>
      <c r="I125" s="116">
        <f t="shared" si="13"/>
        <v>13.274073</v>
      </c>
      <c r="J125" s="116">
        <f t="shared" si="13"/>
        <v>14.709775</v>
      </c>
      <c r="K125" s="116">
        <f t="shared" si="13"/>
        <v>22.195191000000001</v>
      </c>
      <c r="L125" s="116">
        <f t="shared" si="13"/>
        <v>21.167138000000001</v>
      </c>
      <c r="M125" s="116">
        <f t="shared" si="13"/>
        <v>22.975413</v>
      </c>
      <c r="N125" s="116">
        <f t="shared" si="13"/>
        <v>21.349046000000001</v>
      </c>
      <c r="O125" s="134">
        <f t="shared" si="13"/>
        <v>17.621782</v>
      </c>
    </row>
    <row r="126" spans="1:19">
      <c r="A126" s="210"/>
      <c r="B126" s="123" t="s">
        <v>22</v>
      </c>
      <c r="C126" s="116">
        <f>HLOOKUP(C$117,$86:$102,10,FALSE)</f>
        <v>2.81E-3</v>
      </c>
      <c r="D126" s="116">
        <f t="shared" ref="D126:O126" si="14">HLOOKUP(D$117,$86:$102,10,FALSE)</f>
        <v>2.7317000000000001E-2</v>
      </c>
      <c r="E126" s="116">
        <f t="shared" si="14"/>
        <v>6.9145999999999999E-2</v>
      </c>
      <c r="F126" s="116">
        <f t="shared" si="14"/>
        <v>3.986E-2</v>
      </c>
      <c r="G126" s="116">
        <f t="shared" si="14"/>
        <v>5.7757000000000003E-2</v>
      </c>
      <c r="H126" s="116">
        <f t="shared" si="14"/>
        <v>7.6887999999999998E-2</v>
      </c>
      <c r="I126" s="116">
        <f t="shared" si="14"/>
        <v>0.13778699999999999</v>
      </c>
      <c r="J126" s="116">
        <f t="shared" si="14"/>
        <v>0.10574</v>
      </c>
      <c r="K126" s="116">
        <f t="shared" si="14"/>
        <v>0.118546</v>
      </c>
      <c r="L126" s="116">
        <f t="shared" si="14"/>
        <v>9.8640000000000005E-2</v>
      </c>
      <c r="M126" s="116">
        <f t="shared" si="14"/>
        <v>9.6151E-2</v>
      </c>
      <c r="N126" s="116">
        <f t="shared" si="14"/>
        <v>8.4413000000000002E-2</v>
      </c>
      <c r="O126" s="134">
        <f t="shared" si="14"/>
        <v>8.1381999999999996E-2</v>
      </c>
    </row>
    <row r="127" spans="1:19">
      <c r="A127" s="210"/>
      <c r="B127" s="123" t="s">
        <v>23</v>
      </c>
      <c r="C127" s="116">
        <f>HLOOKUP(C$117,$86:$102,11,FALSE)</f>
        <v>2.047806</v>
      </c>
      <c r="D127" s="116">
        <f t="shared" ref="D127:O127" si="15">HLOOKUP(D$117,$86:$102,11,FALSE)</f>
        <v>2.3333560000000002</v>
      </c>
      <c r="E127" s="116">
        <f t="shared" si="15"/>
        <v>2.521382</v>
      </c>
      <c r="F127" s="116">
        <f t="shared" si="15"/>
        <v>3.3692880000000001</v>
      </c>
      <c r="G127" s="116">
        <f t="shared" si="15"/>
        <v>4.0659429999999999</v>
      </c>
      <c r="H127" s="116">
        <f t="shared" si="15"/>
        <v>3.641699</v>
      </c>
      <c r="I127" s="116">
        <f t="shared" si="15"/>
        <v>3.9954990000000001</v>
      </c>
      <c r="J127" s="116">
        <f t="shared" si="15"/>
        <v>3.2208809999999999</v>
      </c>
      <c r="K127" s="116">
        <f t="shared" si="15"/>
        <v>2.5715810000000001</v>
      </c>
      <c r="L127" s="116">
        <f t="shared" si="15"/>
        <v>3.062163</v>
      </c>
      <c r="M127" s="116">
        <f t="shared" si="15"/>
        <v>3.6905410000000001</v>
      </c>
      <c r="N127" s="116">
        <f t="shared" si="15"/>
        <v>3.5683280000000002</v>
      </c>
      <c r="O127" s="134">
        <f t="shared" si="15"/>
        <v>3.678795</v>
      </c>
    </row>
    <row r="128" spans="1:19">
      <c r="A128" s="210"/>
      <c r="B128" s="122" t="s">
        <v>55</v>
      </c>
      <c r="C128" s="116">
        <f t="shared" ref="C128:O128" si="16">HLOOKUP(C$117,$86:$102,13,FALSE)</f>
        <v>14.376298</v>
      </c>
      <c r="D128" s="116">
        <f t="shared" si="16"/>
        <v>6.2387214999999996</v>
      </c>
      <c r="E128" s="116">
        <f t="shared" si="16"/>
        <v>12.812825</v>
      </c>
      <c r="F128" s="116">
        <f t="shared" si="16"/>
        <v>8.6052265000000006</v>
      </c>
      <c r="G128" s="116">
        <f t="shared" si="16"/>
        <v>7.1515275000000003</v>
      </c>
      <c r="H128" s="116">
        <f t="shared" si="16"/>
        <v>10.723705000000001</v>
      </c>
      <c r="I128" s="116">
        <f t="shared" si="16"/>
        <v>10.093087499999999</v>
      </c>
      <c r="J128" s="116">
        <f t="shared" si="16"/>
        <v>7.5393055000000002</v>
      </c>
      <c r="K128" s="116">
        <f t="shared" si="16"/>
        <v>6.0236640000000001</v>
      </c>
      <c r="L128" s="116">
        <f t="shared" si="16"/>
        <v>13.481942</v>
      </c>
      <c r="M128" s="116">
        <f t="shared" si="16"/>
        <v>11.473026000000001</v>
      </c>
      <c r="N128" s="116">
        <f t="shared" si="16"/>
        <v>13.3199895</v>
      </c>
      <c r="O128" s="134">
        <f t="shared" si="16"/>
        <v>11.972504499999999</v>
      </c>
    </row>
    <row r="129" spans="1:15">
      <c r="A129" s="210"/>
      <c r="B129" s="122" t="s">
        <v>54</v>
      </c>
      <c r="C129" s="116">
        <f>HLOOKUP(C$117,$86:$102,12,FALSE)</f>
        <v>14.376298</v>
      </c>
      <c r="D129" s="116">
        <f t="shared" ref="D129:O129" si="17">HLOOKUP(D$117,$86:$102,12,FALSE)</f>
        <v>6.2387214999999996</v>
      </c>
      <c r="E129" s="116">
        <f t="shared" si="17"/>
        <v>12.812825</v>
      </c>
      <c r="F129" s="116">
        <f t="shared" si="17"/>
        <v>8.6052265000000006</v>
      </c>
      <c r="G129" s="116">
        <f t="shared" si="17"/>
        <v>7.1515275000000003</v>
      </c>
      <c r="H129" s="116">
        <f t="shared" si="17"/>
        <v>10.723705000000001</v>
      </c>
      <c r="I129" s="116">
        <f t="shared" si="17"/>
        <v>10.093087499999999</v>
      </c>
      <c r="J129" s="116">
        <f t="shared" si="17"/>
        <v>7.5393055000000002</v>
      </c>
      <c r="K129" s="116">
        <f t="shared" si="17"/>
        <v>6.0236640000000001</v>
      </c>
      <c r="L129" s="116">
        <f t="shared" si="17"/>
        <v>13.481942</v>
      </c>
      <c r="M129" s="116">
        <f t="shared" si="17"/>
        <v>11.473026000000001</v>
      </c>
      <c r="N129" s="116">
        <f t="shared" si="17"/>
        <v>13.3199895</v>
      </c>
      <c r="O129" s="134">
        <f t="shared" si="17"/>
        <v>11.972504499999999</v>
      </c>
    </row>
    <row r="130" spans="1:15">
      <c r="A130" s="210"/>
      <c r="B130" s="124" t="s">
        <v>2</v>
      </c>
      <c r="C130" s="125">
        <f>HLOOKUP(C$117,$86:$102,14,FALSE)</f>
        <v>287.18267500000002</v>
      </c>
      <c r="D130" s="125">
        <f t="shared" ref="D130:O130" si="18">HLOOKUP(D$117,$86:$102,14,FALSE)</f>
        <v>262.022019</v>
      </c>
      <c r="E130" s="125">
        <f t="shared" si="18"/>
        <v>268.105144</v>
      </c>
      <c r="F130" s="125">
        <f t="shared" si="18"/>
        <v>298.69348100000002</v>
      </c>
      <c r="G130" s="125">
        <f t="shared" si="18"/>
        <v>332.488089</v>
      </c>
      <c r="H130" s="125">
        <f t="shared" si="18"/>
        <v>248.30075099999999</v>
      </c>
      <c r="I130" s="125">
        <f t="shared" si="18"/>
        <v>282.09673800000002</v>
      </c>
      <c r="J130" s="125">
        <f t="shared" si="18"/>
        <v>267.78365600000001</v>
      </c>
      <c r="K130" s="125">
        <f t="shared" si="18"/>
        <v>268.828193</v>
      </c>
      <c r="L130" s="125">
        <f t="shared" si="18"/>
        <v>394.26093600000002</v>
      </c>
      <c r="M130" s="125">
        <f t="shared" si="18"/>
        <v>555.00158099999999</v>
      </c>
      <c r="N130" s="125">
        <f t="shared" si="18"/>
        <v>592.06929700000001</v>
      </c>
      <c r="O130" s="135">
        <f t="shared" si="18"/>
        <v>505.89886000000001</v>
      </c>
    </row>
    <row r="131" spans="1:15">
      <c r="A131" s="210"/>
      <c r="B131" s="122" t="s">
        <v>21</v>
      </c>
      <c r="C131" s="126">
        <f>HLOOKUP(C$117,$86:$102,15,FALSE)</f>
        <v>116.274961</v>
      </c>
      <c r="D131" s="126">
        <f t="shared" ref="D131:O131" si="19">HLOOKUP(D$117,$86:$102,15,FALSE)</f>
        <v>105.943506</v>
      </c>
      <c r="E131" s="126">
        <f t="shared" si="19"/>
        <v>96.327618999999999</v>
      </c>
      <c r="F131" s="126">
        <f t="shared" si="19"/>
        <v>138.26159999999999</v>
      </c>
      <c r="G131" s="126">
        <f t="shared" si="19"/>
        <v>138.25041200000001</v>
      </c>
      <c r="H131" s="126">
        <f t="shared" si="19"/>
        <v>113.412009</v>
      </c>
      <c r="I131" s="126">
        <f t="shared" si="19"/>
        <v>127.985573</v>
      </c>
      <c r="J131" s="126">
        <f t="shared" si="19"/>
        <v>111.02179700000001</v>
      </c>
      <c r="K131" s="126">
        <f t="shared" si="19"/>
        <v>111.601713</v>
      </c>
      <c r="L131" s="126">
        <f t="shared" si="19"/>
        <v>65.429468</v>
      </c>
      <c r="M131" s="126">
        <f t="shared" si="19"/>
        <v>45.879221000000001</v>
      </c>
      <c r="N131" s="126">
        <f t="shared" si="19"/>
        <v>40.107311000000003</v>
      </c>
      <c r="O131" s="126">
        <f t="shared" si="19"/>
        <v>37.549396999999999</v>
      </c>
    </row>
    <row r="132" spans="1:15">
      <c r="A132" s="210"/>
      <c r="B132" s="127" t="s">
        <v>1</v>
      </c>
      <c r="C132" s="128">
        <f>HLOOKUP(C$117,$86:$102,16,FALSE)</f>
        <v>403.45763599999998</v>
      </c>
      <c r="D132" s="128">
        <f t="shared" ref="D132:O132" si="20">HLOOKUP(D$117,$86:$102,16,FALSE)</f>
        <v>367.96552500000001</v>
      </c>
      <c r="E132" s="128">
        <f t="shared" si="20"/>
        <v>364.43276300000002</v>
      </c>
      <c r="F132" s="128">
        <f t="shared" si="20"/>
        <v>436.95508100000001</v>
      </c>
      <c r="G132" s="128">
        <f t="shared" si="20"/>
        <v>470.73850099999999</v>
      </c>
      <c r="H132" s="128">
        <f t="shared" si="20"/>
        <v>361.71276</v>
      </c>
      <c r="I132" s="128">
        <f t="shared" si="20"/>
        <v>410.082311</v>
      </c>
      <c r="J132" s="128">
        <f t="shared" si="20"/>
        <v>378.805453</v>
      </c>
      <c r="K132" s="128">
        <f t="shared" si="20"/>
        <v>380.42990600000002</v>
      </c>
      <c r="L132" s="128">
        <f t="shared" si="20"/>
        <v>459.690404</v>
      </c>
      <c r="M132" s="128">
        <f t="shared" si="20"/>
        <v>600.88080200000002</v>
      </c>
      <c r="N132" s="128">
        <f t="shared" si="20"/>
        <v>632.17660799999999</v>
      </c>
      <c r="O132" s="128">
        <f t="shared" si="20"/>
        <v>543.44825700000001</v>
      </c>
    </row>
    <row r="133" spans="1:15" ht="14.25">
      <c r="A133" s="211"/>
      <c r="B133" s="137" t="s">
        <v>75</v>
      </c>
      <c r="C133" s="138">
        <f>C120+C121+C123</f>
        <v>41.727269</v>
      </c>
      <c r="D133" s="138">
        <f>D120+D121+D123</f>
        <v>26.56035</v>
      </c>
      <c r="E133" s="138">
        <f t="shared" ref="E133:O133" si="21">E120+E121+E123</f>
        <v>29.083095999999998</v>
      </c>
      <c r="F133" s="138">
        <f t="shared" si="21"/>
        <v>33.649616000000002</v>
      </c>
      <c r="G133" s="138">
        <f t="shared" si="21"/>
        <v>45.739437000000002</v>
      </c>
      <c r="H133" s="138">
        <f t="shared" si="21"/>
        <v>26.606086999999999</v>
      </c>
      <c r="I133" s="138">
        <f t="shared" si="21"/>
        <v>27.369999999999997</v>
      </c>
      <c r="J133" s="138">
        <f t="shared" si="21"/>
        <v>26.434747999999999</v>
      </c>
      <c r="K133" s="138">
        <f t="shared" si="21"/>
        <v>28.996893</v>
      </c>
      <c r="L133" s="138">
        <f t="shared" si="21"/>
        <v>60.343260999999998</v>
      </c>
      <c r="M133" s="138">
        <f t="shared" si="21"/>
        <v>87.100239000000002</v>
      </c>
      <c r="N133" s="138">
        <f t="shared" si="21"/>
        <v>103.041223</v>
      </c>
      <c r="O133" s="138">
        <f t="shared" si="21"/>
        <v>93.606610000000003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sep.-20</v>
      </c>
      <c r="D134" s="120" t="str">
        <f>TEXT(EDATE($A$2,-11),"mmm")&amp;".-"&amp;TEXT(EDATE($A$2,-11),"aa")</f>
        <v>oct.-20</v>
      </c>
      <c r="E134" s="120" t="str">
        <f>TEXT(EDATE($A$2,-10),"mmm")&amp;".-"&amp;TEXT(EDATE($A$2,-10),"aa")</f>
        <v>nov.-20</v>
      </c>
      <c r="F134" s="120" t="str">
        <f>TEXT(EDATE($A$2,-9),"mmm")&amp;".-"&amp;TEXT(EDATE($A$2,-9),"aa")</f>
        <v>dic.-20</v>
      </c>
      <c r="G134" s="120" t="str">
        <f>TEXT(EDATE($A$2,-8),"mmm")&amp;".-"&amp;TEXT(EDATE($A$2,-8),"aa")</f>
        <v>ene.-21</v>
      </c>
      <c r="H134" s="120" t="str">
        <f>TEXT(EDATE($A$2,-7),"mmm")&amp;".-"&amp;TEXT(EDATE($A$2,-7),"aa")</f>
        <v>feb.-21</v>
      </c>
      <c r="I134" s="120" t="str">
        <f>TEXT(EDATE($A$2,-6),"mmm")&amp;".-"&amp;TEXT(EDATE($A$2,-6),"aa")</f>
        <v>mar.-21</v>
      </c>
      <c r="J134" s="120" t="str">
        <f>TEXT(EDATE($A$2,-5),"mmm")&amp;".-"&amp;TEXT(EDATE($A$2,-5),"aa")</f>
        <v>abr.-21</v>
      </c>
      <c r="K134" s="120" t="str">
        <f>TEXT(EDATE($A$2,-4),"mmm")&amp;".-"&amp;TEXT(EDATE($A$2,-4),"aa")</f>
        <v>may.-21</v>
      </c>
      <c r="L134" s="120" t="str">
        <f>TEXT(EDATE($A$2,-3),"mmm")&amp;".-"&amp;TEXT(EDATE($A$2,-3),"aa")</f>
        <v>jun.-21</v>
      </c>
      <c r="M134" s="120" t="str">
        <f>TEXT(EDATE($A$2,-2),"mmm")&amp;".-"&amp;TEXT(EDATE($A$2,-2),"aa")</f>
        <v>jul.-21</v>
      </c>
      <c r="N134" s="120" t="str">
        <f>TEXT(EDATE($A$2,-1),"mmm")&amp;".-"&amp;TEXT(EDATE($A$2,-1),"aa")</f>
        <v>ago.-21</v>
      </c>
      <c r="O134" s="121" t="str">
        <f>TEXT($A$2,"mmm")&amp;".-"&amp;TEXT($A$2,"aa")</f>
        <v>sep.-21</v>
      </c>
    </row>
    <row r="135" spans="1:15" ht="15" customHeight="1">
      <c r="A135" s="210"/>
      <c r="B135" s="122" t="s">
        <v>12</v>
      </c>
      <c r="C135" s="116">
        <f>HLOOKUP(C$117,$86:$115,17,FALSE)</f>
        <v>0.29165099999999999</v>
      </c>
      <c r="D135" s="116">
        <f t="shared" ref="D135:O135" si="22">HLOOKUP(D$117,$86:$115,17,FALSE)</f>
        <v>0.299369</v>
      </c>
      <c r="E135" s="116">
        <f t="shared" si="22"/>
        <v>0.28527599999999997</v>
      </c>
      <c r="F135" s="116">
        <f t="shared" si="22"/>
        <v>0.29958099999999999</v>
      </c>
      <c r="G135" s="116">
        <f t="shared" si="22"/>
        <v>0.29762100000000002</v>
      </c>
      <c r="H135" s="116">
        <f t="shared" si="22"/>
        <v>0.25852999999999998</v>
      </c>
      <c r="I135" s="116">
        <f t="shared" si="22"/>
        <v>0.28226499999999999</v>
      </c>
      <c r="J135" s="116">
        <f t="shared" si="22"/>
        <v>0.13780600000000001</v>
      </c>
      <c r="K135" s="116">
        <f t="shared" si="22"/>
        <v>0.26783600000000002</v>
      </c>
      <c r="L135" s="116">
        <f t="shared" si="22"/>
        <v>0.28217700000000001</v>
      </c>
      <c r="M135" s="116">
        <f t="shared" si="22"/>
        <v>0.28972599999999998</v>
      </c>
      <c r="N135" s="116">
        <f t="shared" si="22"/>
        <v>0.28065899999999999</v>
      </c>
      <c r="O135" s="161">
        <f t="shared" si="22"/>
        <v>0.27753299999999997</v>
      </c>
    </row>
    <row r="136" spans="1:15">
      <c r="A136" s="210"/>
      <c r="B136" s="122" t="s">
        <v>10</v>
      </c>
      <c r="C136" s="116">
        <f>HLOOKUP(C$117,$86:$115,18,FALSE)</f>
        <v>151.15563499999999</v>
      </c>
      <c r="D136" s="116">
        <f t="shared" ref="D136:O136" si="23">HLOOKUP(D$117,$86:$115,18,FALSE)</f>
        <v>140.27562900000001</v>
      </c>
      <c r="E136" s="116">
        <f t="shared" si="23"/>
        <v>147.43617</v>
      </c>
      <c r="F136" s="116">
        <f t="shared" si="23"/>
        <v>146.45553799999999</v>
      </c>
      <c r="G136" s="116">
        <f t="shared" si="23"/>
        <v>141.05104299999999</v>
      </c>
      <c r="H136" s="116">
        <f t="shared" si="23"/>
        <v>112.359525</v>
      </c>
      <c r="I136" s="116">
        <f t="shared" si="23"/>
        <v>128.50312700000001</v>
      </c>
      <c r="J136" s="116">
        <f t="shared" si="23"/>
        <v>140.012246</v>
      </c>
      <c r="K136" s="116">
        <f t="shared" si="23"/>
        <v>126.338086</v>
      </c>
      <c r="L136" s="116">
        <f t="shared" si="23"/>
        <v>133.47633400000001</v>
      </c>
      <c r="M136" s="116">
        <f t="shared" si="23"/>
        <v>143.30591200000001</v>
      </c>
      <c r="N136" s="116">
        <f t="shared" si="23"/>
        <v>156.76769400000001</v>
      </c>
      <c r="O136" s="134">
        <f t="shared" si="23"/>
        <v>167.979367</v>
      </c>
    </row>
    <row r="137" spans="1:15">
      <c r="A137" s="210"/>
      <c r="B137" s="122" t="s">
        <v>9</v>
      </c>
      <c r="C137" s="116">
        <f>HLOOKUP(C$117,$86:$115,19,FALSE)</f>
        <v>21.610752000000002</v>
      </c>
      <c r="D137" s="116">
        <f t="shared" ref="D137:O137" si="24">HLOOKUP(D$117,$86:$115,19,FALSE)</f>
        <v>32.544134999999997</v>
      </c>
      <c r="E137" s="116">
        <f t="shared" si="24"/>
        <v>18.073917999999999</v>
      </c>
      <c r="F137" s="116">
        <f t="shared" si="24"/>
        <v>16.086774999999999</v>
      </c>
      <c r="G137" s="116">
        <f t="shared" si="24"/>
        <v>10.157844000000001</v>
      </c>
      <c r="H137" s="116">
        <f t="shared" si="24"/>
        <v>10.355027</v>
      </c>
      <c r="I137" s="116">
        <f t="shared" si="24"/>
        <v>14.760713000000001</v>
      </c>
      <c r="J137" s="116">
        <f t="shared" si="24"/>
        <v>16.229486999999999</v>
      </c>
      <c r="K137" s="116">
        <f t="shared" si="24"/>
        <v>17.203126999999999</v>
      </c>
      <c r="L137" s="116">
        <f t="shared" si="24"/>
        <v>15.24977</v>
      </c>
      <c r="M137" s="116">
        <f t="shared" si="24"/>
        <v>13.198846</v>
      </c>
      <c r="N137" s="116">
        <f t="shared" si="24"/>
        <v>9.7369489999999992</v>
      </c>
      <c r="O137" s="134">
        <f t="shared" si="24"/>
        <v>32.625571999999998</v>
      </c>
    </row>
    <row r="138" spans="1:15">
      <c r="A138" s="210"/>
      <c r="B138" s="122" t="s">
        <v>8</v>
      </c>
      <c r="C138" s="116">
        <f>HLOOKUP(C$117,$86:$115,20,FALSE)</f>
        <v>98.396693999999997</v>
      </c>
      <c r="D138" s="116">
        <f t="shared" ref="D138:O138" si="25">HLOOKUP(D$117,$86:$115,20,FALSE)</f>
        <v>128.21449999999999</v>
      </c>
      <c r="E138" s="116">
        <f t="shared" si="25"/>
        <v>121.615077</v>
      </c>
      <c r="F138" s="116">
        <f t="shared" si="25"/>
        <v>109.732229</v>
      </c>
      <c r="G138" s="116">
        <f t="shared" si="25"/>
        <v>116.282053</v>
      </c>
      <c r="H138" s="116">
        <f t="shared" si="25"/>
        <v>104.960847</v>
      </c>
      <c r="I138" s="116">
        <f t="shared" si="25"/>
        <v>100.758259</v>
      </c>
      <c r="J138" s="116">
        <f t="shared" si="25"/>
        <v>70.652975999999995</v>
      </c>
      <c r="K138" s="116">
        <f t="shared" si="25"/>
        <v>62.41677</v>
      </c>
      <c r="L138" s="116">
        <f t="shared" si="25"/>
        <v>33.486941999999999</v>
      </c>
      <c r="M138" s="116">
        <f t="shared" si="25"/>
        <v>66.134209999999996</v>
      </c>
      <c r="N138" s="116">
        <f t="shared" si="25"/>
        <v>99.644189999999995</v>
      </c>
      <c r="O138" s="134">
        <f t="shared" si="25"/>
        <v>113.210213</v>
      </c>
    </row>
    <row r="139" spans="1:15" ht="14.25">
      <c r="A139" s="210"/>
      <c r="B139" s="122" t="s">
        <v>74</v>
      </c>
      <c r="C139" s="116">
        <f>HLOOKUP(C$117,$86:$115,21,FALSE)</f>
        <v>297.07835399999999</v>
      </c>
      <c r="D139" s="116">
        <f t="shared" ref="D139:O139" si="26">HLOOKUP(D$117,$86:$115,21,FALSE)</f>
        <v>252.83072899999999</v>
      </c>
      <c r="E139" s="116">
        <f t="shared" si="26"/>
        <v>292.22053799999998</v>
      </c>
      <c r="F139" s="116">
        <f t="shared" si="26"/>
        <v>314.37255499999998</v>
      </c>
      <c r="G139" s="116">
        <f t="shared" si="26"/>
        <v>280.66014899999999</v>
      </c>
      <c r="H139" s="116">
        <f t="shared" si="26"/>
        <v>269.76136200000002</v>
      </c>
      <c r="I139" s="116">
        <f t="shared" si="26"/>
        <v>284.19602200000003</v>
      </c>
      <c r="J139" s="116">
        <f t="shared" si="26"/>
        <v>311.21022299999998</v>
      </c>
      <c r="K139" s="116">
        <f t="shared" si="26"/>
        <v>236.28277700000001</v>
      </c>
      <c r="L139" s="116">
        <f t="shared" si="26"/>
        <v>276.61590899999999</v>
      </c>
      <c r="M139" s="116">
        <f t="shared" si="26"/>
        <v>284.60979800000001</v>
      </c>
      <c r="N139" s="116">
        <f t="shared" si="26"/>
        <v>284.30052499999999</v>
      </c>
      <c r="O139" s="134">
        <f t="shared" si="26"/>
        <v>278.88830000000002</v>
      </c>
    </row>
    <row r="140" spans="1:15">
      <c r="A140" s="210"/>
      <c r="B140" s="122" t="s">
        <v>6</v>
      </c>
      <c r="C140" s="116">
        <f>HLOOKUP(C$117,$86:$115,22,FALSE)</f>
        <v>1.9118980000000001</v>
      </c>
      <c r="D140" s="116">
        <f t="shared" ref="D140:O140" si="27">HLOOKUP(D$117,$86:$115,22,FALSE)</f>
        <v>1.456723</v>
      </c>
      <c r="E140" s="116">
        <f t="shared" si="27"/>
        <v>0.821801</v>
      </c>
      <c r="F140" s="116">
        <f t="shared" si="27"/>
        <v>0.95850199999999997</v>
      </c>
      <c r="G140" s="116">
        <f t="shared" si="27"/>
        <v>0.99317</v>
      </c>
      <c r="H140" s="116">
        <f t="shared" si="27"/>
        <v>1.226483</v>
      </c>
      <c r="I140" s="116">
        <f t="shared" si="27"/>
        <v>1.921443</v>
      </c>
      <c r="J140" s="116">
        <f t="shared" si="27"/>
        <v>0.83590799999999998</v>
      </c>
      <c r="K140" s="116">
        <f t="shared" si="27"/>
        <v>3.227077</v>
      </c>
      <c r="L140" s="116">
        <f t="shared" si="27"/>
        <v>3.0020419999999999</v>
      </c>
      <c r="M140" s="116">
        <f t="shared" si="27"/>
        <v>3.5782180000000001</v>
      </c>
      <c r="N140" s="116">
        <f t="shared" si="27"/>
        <v>2.663478</v>
      </c>
      <c r="O140" s="134">
        <f t="shared" si="27"/>
        <v>1.4201079999999999</v>
      </c>
    </row>
    <row r="141" spans="1:15">
      <c r="A141" s="210"/>
      <c r="B141" s="122" t="s">
        <v>5</v>
      </c>
      <c r="C141" s="116">
        <f>HLOOKUP(C$117,$86:$115,23,FALSE)</f>
        <v>92.772315000000006</v>
      </c>
      <c r="D141" s="116">
        <f t="shared" ref="D141:O141" si="28">HLOOKUP(D$117,$86:$115,23,FALSE)</f>
        <v>98.400535000000005</v>
      </c>
      <c r="E141" s="116">
        <f t="shared" si="28"/>
        <v>54.804782000000003</v>
      </c>
      <c r="F141" s="116">
        <f t="shared" si="28"/>
        <v>61.442059999999998</v>
      </c>
      <c r="G141" s="116">
        <f t="shared" si="28"/>
        <v>81.695520000000002</v>
      </c>
      <c r="H141" s="116">
        <f t="shared" si="28"/>
        <v>58.505417000000001</v>
      </c>
      <c r="I141" s="116">
        <f t="shared" si="28"/>
        <v>83.922415999999998</v>
      </c>
      <c r="J141" s="116">
        <f t="shared" si="28"/>
        <v>52.700510000000001</v>
      </c>
      <c r="K141" s="116">
        <f t="shared" si="28"/>
        <v>162.60342700000001</v>
      </c>
      <c r="L141" s="116">
        <f t="shared" si="28"/>
        <v>148.01756800000001</v>
      </c>
      <c r="M141" s="116">
        <f t="shared" si="28"/>
        <v>159.262687</v>
      </c>
      <c r="N141" s="116">
        <f t="shared" si="28"/>
        <v>145.85740200000001</v>
      </c>
      <c r="O141" s="134">
        <f t="shared" si="28"/>
        <v>106.41552299999999</v>
      </c>
    </row>
    <row r="142" spans="1:15">
      <c r="A142" s="210"/>
      <c r="B142" s="122" t="s">
        <v>4</v>
      </c>
      <c r="C142" s="116">
        <f>HLOOKUP(C$117,$86:$115,24,FALSE)</f>
        <v>20.951909000000001</v>
      </c>
      <c r="D142" s="116">
        <f t="shared" ref="D142:O142" si="29">HLOOKUP(D$117,$86:$115,24,FALSE)</f>
        <v>19.852456</v>
      </c>
      <c r="E142" s="116">
        <f t="shared" si="29"/>
        <v>15.933180999999999</v>
      </c>
      <c r="F142" s="116">
        <f t="shared" si="29"/>
        <v>15.284926</v>
      </c>
      <c r="G142" s="116">
        <f t="shared" si="29"/>
        <v>16.464936000000002</v>
      </c>
      <c r="H142" s="116">
        <f t="shared" si="29"/>
        <v>17.884999000000001</v>
      </c>
      <c r="I142" s="116">
        <f t="shared" si="29"/>
        <v>24.228294999999999</v>
      </c>
      <c r="J142" s="116">
        <f t="shared" si="29"/>
        <v>22.565013</v>
      </c>
      <c r="K142" s="116">
        <f t="shared" si="29"/>
        <v>27.019202</v>
      </c>
      <c r="L142" s="116">
        <f t="shared" si="29"/>
        <v>24.71088</v>
      </c>
      <c r="M142" s="116">
        <f t="shared" si="29"/>
        <v>27.918244000000001</v>
      </c>
      <c r="N142" s="116">
        <f t="shared" si="29"/>
        <v>26.100961999999999</v>
      </c>
      <c r="O142" s="134">
        <f t="shared" si="29"/>
        <v>21.461660999999999</v>
      </c>
    </row>
    <row r="143" spans="1:15">
      <c r="A143" s="210"/>
      <c r="B143" s="122" t="s">
        <v>22</v>
      </c>
      <c r="C143" s="116">
        <f>HLOOKUP(C$117,$86:$115,25,FALSE)</f>
        <v>0.64958000000000005</v>
      </c>
      <c r="D143" s="116">
        <f t="shared" ref="D143:O143" si="30">HLOOKUP(D$117,$86:$115,25,FALSE)</f>
        <v>0.78250799999999998</v>
      </c>
      <c r="E143" s="116">
        <f t="shared" si="30"/>
        <v>0.74310299999999996</v>
      </c>
      <c r="F143" s="116">
        <f t="shared" si="30"/>
        <v>0.75252699999999995</v>
      </c>
      <c r="G143" s="116">
        <f t="shared" si="30"/>
        <v>0.35872300000000001</v>
      </c>
      <c r="H143" s="116">
        <f t="shared" si="30"/>
        <v>0.69978200000000002</v>
      </c>
      <c r="I143" s="116">
        <f t="shared" si="30"/>
        <v>0.79178499999999996</v>
      </c>
      <c r="J143" s="116">
        <f t="shared" si="30"/>
        <v>0.72202100000000002</v>
      </c>
      <c r="K143" s="116">
        <f t="shared" si="30"/>
        <v>0.72256799999999999</v>
      </c>
      <c r="L143" s="116">
        <f t="shared" si="30"/>
        <v>0.72395900000000002</v>
      </c>
      <c r="M143" s="116">
        <f t="shared" si="30"/>
        <v>0.73402900000000004</v>
      </c>
      <c r="N143" s="116">
        <f t="shared" si="30"/>
        <v>0.56980699999999995</v>
      </c>
      <c r="O143" s="134">
        <f t="shared" si="30"/>
        <v>0.40013300000000002</v>
      </c>
    </row>
    <row r="144" spans="1:15">
      <c r="A144" s="210"/>
      <c r="B144" s="127" t="s">
        <v>1</v>
      </c>
      <c r="C144" s="128">
        <f>HLOOKUP(C$117,$86:$115,26,FALSE)</f>
        <v>684.81878800000004</v>
      </c>
      <c r="D144" s="128">
        <f t="shared" ref="D144:O144" si="31">HLOOKUP(D$117,$86:$115,26,FALSE)</f>
        <v>674.65658399999995</v>
      </c>
      <c r="E144" s="128">
        <f t="shared" si="31"/>
        <v>651.93384600000002</v>
      </c>
      <c r="F144" s="128">
        <f t="shared" si="31"/>
        <v>665.38469299999997</v>
      </c>
      <c r="G144" s="128">
        <f t="shared" si="31"/>
        <v>647.96105899999998</v>
      </c>
      <c r="H144" s="128">
        <f t="shared" si="31"/>
        <v>576.01197200000001</v>
      </c>
      <c r="I144" s="128">
        <f t="shared" si="31"/>
        <v>639.36432500000001</v>
      </c>
      <c r="J144" s="128">
        <f t="shared" si="31"/>
        <v>615.06619000000001</v>
      </c>
      <c r="K144" s="128">
        <f t="shared" si="31"/>
        <v>636.08087</v>
      </c>
      <c r="L144" s="128">
        <f t="shared" si="31"/>
        <v>635.56558099999995</v>
      </c>
      <c r="M144" s="128">
        <f t="shared" si="31"/>
        <v>699.03166999999996</v>
      </c>
      <c r="N144" s="128">
        <f t="shared" si="31"/>
        <v>725.92166599999996</v>
      </c>
      <c r="O144" s="136">
        <f t="shared" si="31"/>
        <v>722.67840999999999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271.16308099999998</v>
      </c>
      <c r="D146" s="141">
        <f t="shared" ref="D146:O146" si="32">SUM(D136:D138)</f>
        <v>301.03426400000001</v>
      </c>
      <c r="E146" s="141">
        <f t="shared" si="32"/>
        <v>287.12516499999998</v>
      </c>
      <c r="F146" s="141">
        <f t="shared" si="32"/>
        <v>272.274542</v>
      </c>
      <c r="G146" s="141">
        <f t="shared" si="32"/>
        <v>267.49094000000002</v>
      </c>
      <c r="H146" s="141">
        <f t="shared" si="32"/>
        <v>227.675399</v>
      </c>
      <c r="I146" s="141">
        <f t="shared" si="32"/>
        <v>244.02209900000003</v>
      </c>
      <c r="J146" s="141">
        <f t="shared" si="32"/>
        <v>226.89470900000001</v>
      </c>
      <c r="K146" s="141">
        <f t="shared" si="32"/>
        <v>205.95798300000001</v>
      </c>
      <c r="L146" s="141">
        <f t="shared" si="32"/>
        <v>182.21304600000002</v>
      </c>
      <c r="M146" s="141">
        <f t="shared" si="32"/>
        <v>222.63896800000001</v>
      </c>
      <c r="N146" s="141">
        <f t="shared" si="32"/>
        <v>266.14883300000002</v>
      </c>
      <c r="O146" s="142">
        <f t="shared" si="32"/>
        <v>313.81515200000001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126</v>
      </c>
      <c r="B152" s="176" t="s">
        <v>127</v>
      </c>
      <c r="C152" s="183">
        <v>0.34698000000000001</v>
      </c>
      <c r="D152" s="183">
        <v>-3.8600000000000001E-3</v>
      </c>
      <c r="E152" s="183">
        <v>3.3489999999999999E-2</v>
      </c>
      <c r="F152" s="183">
        <v>0.31735000000000002</v>
      </c>
      <c r="G152" s="183">
        <v>0.12349</v>
      </c>
      <c r="H152" s="183">
        <v>-3.1099999999999999E-3</v>
      </c>
      <c r="I152" s="183">
        <v>1.2359999999999999E-2</v>
      </c>
      <c r="J152" s="183">
        <v>0.11423999999999999</v>
      </c>
      <c r="K152" s="183">
        <v>6.0859999999999997E-2</v>
      </c>
      <c r="L152" s="183">
        <v>-3.7299999999999998E-3</v>
      </c>
      <c r="M152" s="183">
        <v>6.1700000000000001E-3</v>
      </c>
      <c r="N152" s="183">
        <v>5.842E-2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126</v>
      </c>
      <c r="B158" s="176" t="s">
        <v>127</v>
      </c>
      <c r="C158" s="183">
        <v>5.5280000000000003E-2</v>
      </c>
      <c r="D158" s="183">
        <v>-1.2700000000000001E-3</v>
      </c>
      <c r="E158" s="183">
        <v>-4.1700000000000001E-3</v>
      </c>
      <c r="F158" s="183">
        <v>6.0720000000000003E-2</v>
      </c>
      <c r="G158" s="183">
        <v>-9.4299999999999991E-3</v>
      </c>
      <c r="H158" s="183">
        <v>-2.7E-4</v>
      </c>
      <c r="I158" s="183">
        <v>-1.14E-3</v>
      </c>
      <c r="J158" s="183">
        <v>-8.0199999999999994E-3</v>
      </c>
      <c r="K158" s="183">
        <v>-3.8960000000000002E-2</v>
      </c>
      <c r="L158" s="183">
        <v>-6.6E-4</v>
      </c>
      <c r="M158" s="183">
        <v>-6.8000000000000005E-4</v>
      </c>
      <c r="N158" s="183">
        <v>-3.7620000000000001E-2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4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I12" sqref="I1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Septiembre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543.44825700000001</v>
      </c>
      <c r="G9" s="164">
        <f>Dat_01!T24*100</f>
        <v>34.697724989999998</v>
      </c>
      <c r="H9" s="83">
        <f>Dat_01!U24/1000</f>
        <v>4237.9650019999999</v>
      </c>
      <c r="I9" s="164">
        <f>Dat_01!W24*100</f>
        <v>12.348502699999999</v>
      </c>
      <c r="J9" s="83">
        <f>Dat_01!X24/1000</f>
        <v>5407.3183710000003</v>
      </c>
      <c r="K9" s="164">
        <f>Dat_01!Y24*100</f>
        <v>6.0861587300000002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-0.38600000000000001</v>
      </c>
      <c r="H12" s="103"/>
      <c r="I12" s="103">
        <f>Dat_01!H152*100</f>
        <v>-0.311</v>
      </c>
      <c r="J12" s="103"/>
      <c r="K12" s="103">
        <f>Dat_01!L152*100</f>
        <v>-0.373</v>
      </c>
    </row>
    <row r="13" spans="3:12">
      <c r="E13" s="85" t="s">
        <v>42</v>
      </c>
      <c r="F13" s="84"/>
      <c r="G13" s="103">
        <f>Dat_01!E152*100</f>
        <v>3.3489999999999998</v>
      </c>
      <c r="H13" s="103"/>
      <c r="I13" s="103">
        <f>Dat_01!I152*100</f>
        <v>1.236</v>
      </c>
      <c r="J13" s="103"/>
      <c r="K13" s="103">
        <f>Dat_01!M152*100</f>
        <v>0.61699999999999999</v>
      </c>
    </row>
    <row r="14" spans="3:12">
      <c r="E14" s="86" t="s">
        <v>43</v>
      </c>
      <c r="F14" s="87"/>
      <c r="G14" s="104">
        <f>Dat_01!F152*100</f>
        <v>31.735000000000003</v>
      </c>
      <c r="H14" s="104"/>
      <c r="I14" s="104">
        <f>Dat_01!J152*100</f>
        <v>11.423999999999999</v>
      </c>
      <c r="J14" s="104"/>
      <c r="K14" s="104">
        <f>Dat_01!N152*100</f>
        <v>5.8419999999999996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J22" sqref="J2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Septiembre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722.67840999999999</v>
      </c>
      <c r="G9" s="164">
        <f>Dat_01!AB24*100</f>
        <v>5.5284146200000004</v>
      </c>
      <c r="H9" s="83">
        <f>Dat_01!AC24/1000</f>
        <v>5897.6817430000001</v>
      </c>
      <c r="I9" s="164">
        <f>Dat_01!AE24*100</f>
        <v>-0.94262926000000002</v>
      </c>
      <c r="J9" s="83">
        <f>Dat_01!AF24/1000</f>
        <v>7889.6568660000003</v>
      </c>
      <c r="K9" s="164">
        <f>Dat_01!AG24*100</f>
        <v>-3.8963283400000002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-0.127</v>
      </c>
      <c r="H12" s="103"/>
      <c r="I12" s="103">
        <f>Dat_01!H158*100</f>
        <v>-2.7E-2</v>
      </c>
      <c r="J12" s="103"/>
      <c r="K12" s="103">
        <f>Dat_01!L158*100</f>
        <v>-6.6000000000000003E-2</v>
      </c>
    </row>
    <row r="13" spans="3:12">
      <c r="E13" s="85" t="s">
        <v>42</v>
      </c>
      <c r="F13" s="84"/>
      <c r="G13" s="103">
        <f>Dat_01!E158*100</f>
        <v>-0.41700000000000004</v>
      </c>
      <c r="H13" s="103"/>
      <c r="I13" s="103">
        <f>Dat_01!I158*100</f>
        <v>-0.11399999999999999</v>
      </c>
      <c r="J13" s="103"/>
      <c r="K13" s="103">
        <f>Dat_01!M158*100</f>
        <v>-6.8000000000000005E-2</v>
      </c>
    </row>
    <row r="14" spans="3:12">
      <c r="E14" s="86" t="s">
        <v>43</v>
      </c>
      <c r="F14" s="87"/>
      <c r="G14" s="104">
        <f>Dat_01!F158*100</f>
        <v>6.0720000000000001</v>
      </c>
      <c r="H14" s="104"/>
      <c r="I14" s="104">
        <f>Dat_01!J158*100</f>
        <v>-0.80199999999999994</v>
      </c>
      <c r="J14" s="104"/>
      <c r="K14" s="104">
        <f>Dat_01!N158*100</f>
        <v>-3.762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132</v>
      </c>
    </row>
    <row r="2" spans="1:2">
      <c r="A2" t="s">
        <v>130</v>
      </c>
    </row>
    <row r="3" spans="1:2">
      <c r="A3" t="s">
        <v>131</v>
      </c>
    </row>
    <row r="4" spans="1:2">
      <c r="A4" t="s">
        <v>133</v>
      </c>
    </row>
    <row r="5" spans="1:2">
      <c r="A5" t="s">
        <v>128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L23" sqref="L23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Septiembre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0.27753300000000003</v>
      </c>
      <c r="I9" s="17">
        <f>IF(Dat_01!AB8*100=-100,"-",Dat_01!AB8*100)</f>
        <v>-4.8407171599999996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1.4201079999999999</v>
      </c>
      <c r="I10" s="17">
        <f>Dat_01!AB15*100</f>
        <v>-25.722606539999997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0.27444799999999997</v>
      </c>
      <c r="G11" s="17">
        <f>Dat_01!T16*100</f>
        <v>44.617573440000001</v>
      </c>
      <c r="H11" s="153">
        <f>Dat_01!Z16/1000</f>
        <v>106.41552300000001</v>
      </c>
      <c r="I11" s="17">
        <f>Dat_01!AB16*100</f>
        <v>14.706120029999999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17.621782</v>
      </c>
      <c r="G12" s="17">
        <f>Dat_01!T17*100</f>
        <v>67.214585410000012</v>
      </c>
      <c r="H12" s="153">
        <f>Dat_01!Z17/1000</f>
        <v>21.461660999999999</v>
      </c>
      <c r="I12" s="17">
        <f>Dat_01!AB17*100</f>
        <v>2.4329620799999998</v>
      </c>
      <c r="J12" s="153" t="s">
        <v>3</v>
      </c>
      <c r="K12" s="17" t="s">
        <v>3</v>
      </c>
      <c r="L12" s="153">
        <f>Dat_01!J17/1000</f>
        <v>6.0980000000000001E-3</v>
      </c>
      <c r="M12" s="17">
        <f>IF(Dat_01!L17*100=-100,"-",Dat_01!L17*100)</f>
        <v>-10.756622270000001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8.138200000000001E-2</v>
      </c>
      <c r="G13" s="17">
        <f>Dat_01!T18*100</f>
        <v>2796.1565836300001</v>
      </c>
      <c r="H13" s="153">
        <f>Dat_01!Z18/1000</f>
        <v>0.40013299999999996</v>
      </c>
      <c r="I13" s="17">
        <f>IF(Dat_01!AB18*100=-100,"-",Dat_01!AB18)</f>
        <v>-0.38401274670000002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11.972504499999999</v>
      </c>
      <c r="G14" s="17">
        <f>Dat_01!T21*100</f>
        <v>-16.720531950000002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0.46365149999999999</v>
      </c>
      <c r="M14" s="17">
        <f>Dat_01!L21*100</f>
        <v>-9.6124547800000002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29.9501165</v>
      </c>
      <c r="G15" s="173">
        <f>((SUM(Dat_01!R8,Dat_01!R15:R18,Dat_01!R20)/SUM(Dat_01!S8,Dat_01!S15:S18,Dat_01!S20))-1)*100</f>
        <v>19.288446586485762</v>
      </c>
      <c r="H15" s="172">
        <f>SUM(H9:H14)</f>
        <v>129.97495800000002</v>
      </c>
      <c r="I15" s="173">
        <f>((SUM(Dat_01!Z8,Dat_01!Z15:Z18,Dat_01!Z20)/SUM(Dat_01!AA8,Dat_01!AA15:AA18,Dat_01!AA20))-1)*100</f>
        <v>11.492459431635925</v>
      </c>
      <c r="J15" s="172" t="s">
        <v>3</v>
      </c>
      <c r="K15" s="173" t="s">
        <v>3</v>
      </c>
      <c r="L15" s="173">
        <f>SUM(L9:L14)</f>
        <v>0.46974949999999999</v>
      </c>
      <c r="M15" s="173">
        <f>((SUM(Dat_01!J8,Dat_01!J15:J18,Dat_01!J21)/SUM(Dat_01!K8,Dat_01!K15:K18,Dat_01!K20))-1)*100</f>
        <v>-9.6274955871814232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-0.54997400000000007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54.907235</v>
      </c>
      <c r="G17" s="24">
        <f>((SUM(Dat_01!R10,Dat_01!R14)/SUM(Dat_01!S10,Dat_01!S14))-1)*100</f>
        <v>107.23978896333483</v>
      </c>
      <c r="H17" s="154">
        <f>Dat_01!Z10/1000</f>
        <v>167.979367</v>
      </c>
      <c r="I17" s="24">
        <f>Dat_01!AB10*100</f>
        <v>11.13007266</v>
      </c>
      <c r="J17" s="154">
        <f>Dat_01!B10/1000</f>
        <v>16.828294999999997</v>
      </c>
      <c r="K17" s="24">
        <f>Dat_01!D10*100</f>
        <v>0.17963320000000002</v>
      </c>
      <c r="L17" s="154">
        <f>Dat_01!J10/1000</f>
        <v>17.261555000000001</v>
      </c>
      <c r="M17" s="24">
        <f>Dat_01!L10*100</f>
        <v>-2.7844727100000002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38.699375000000003</v>
      </c>
      <c r="G18" s="24">
        <f>Dat_01!T11*100</f>
        <v>154.05416600999999</v>
      </c>
      <c r="H18" s="154">
        <f>Dat_01!Z11/1000</f>
        <v>32.625571999999998</v>
      </c>
      <c r="I18" s="24">
        <f>Dat_01!AB11*100</f>
        <v>50.969165719999999</v>
      </c>
      <c r="J18" s="154">
        <f>Dat_01!B11/1000</f>
        <v>9.3298000000000006E-2</v>
      </c>
      <c r="K18" s="24">
        <f>IF(Dat_01!D11=-100%,"-",Dat_01!D11*100)</f>
        <v>192.15882758000001</v>
      </c>
      <c r="L18" s="154">
        <f>Dat_01!J11/1000</f>
        <v>1.1490000000000001E-3</v>
      </c>
      <c r="M18" s="24">
        <f>Dat_01!L11*100</f>
        <v>-77.827093790000006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113.21021300000001</v>
      </c>
      <c r="I19" s="24">
        <f>Dat_01!AB12*100</f>
        <v>15.05489504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93.606610000000003</v>
      </c>
      <c r="G20" s="17">
        <f>((SUM(Dat_01!R10:R12,Dat_01!R14)/SUM(Dat_01!S10:S12,Dat_01!S14))-1)*100</f>
        <v>124.32958648695652</v>
      </c>
      <c r="H20" s="153">
        <f>SUM(H17:H19)</f>
        <v>313.81515200000001</v>
      </c>
      <c r="I20" s="17">
        <f>(H20/(H17/(I17/100+1)+H18/(I18/100+1)+H19/(I19/100+1))-1)*100</f>
        <v>15.729306088730709</v>
      </c>
      <c r="J20" s="153">
        <f>SUM(J17:J19)</f>
        <v>16.921592999999998</v>
      </c>
      <c r="K20" s="17">
        <f>((SUM(Dat_01!B10:B12)/SUM(Dat_01!C10:C12))-1)*100</f>
        <v>0.54390199817540008</v>
      </c>
      <c r="L20" s="153">
        <f>SUM(L17:L19)</f>
        <v>17.262704000000003</v>
      </c>
      <c r="M20" s="17">
        <f>(L20/(L17/(M17/100+1)+L18/(M18/100+1))-1)*100</f>
        <v>-2.8063671778802313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367.24080800000002</v>
      </c>
      <c r="G21" s="17">
        <f>Dat_01!T13*100</f>
        <v>171.40916758</v>
      </c>
      <c r="H21" s="153">
        <f>Dat_01!Z13/1000</f>
        <v>278.88830000000002</v>
      </c>
      <c r="I21" s="17">
        <f>Dat_01!AB13*100</f>
        <v>-6.1229819499999998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3.678795</v>
      </c>
      <c r="G22" s="17">
        <f>Dat_01!T19*100</f>
        <v>79.645679329999993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11.972504499999999</v>
      </c>
      <c r="G23" s="17">
        <f>Dat_01!T20*100</f>
        <v>-16.720531950000002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0.46365149999999999</v>
      </c>
      <c r="M23" s="17">
        <f>Dat_01!L20*100</f>
        <v>-9.6124547800000002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475.94874350000003</v>
      </c>
      <c r="G24" s="173">
        <f>((SUM(Dat_01!R9:R14,Dat_01!R19,Dat_01!R21)/SUM(Dat_01!S9:S14,Dat_01!S19,Dat_01!S21))-1)*100</f>
        <v>81.607583777197988</v>
      </c>
      <c r="H24" s="155">
        <f>SUM(H16,H20:H23)</f>
        <v>592.70345199999997</v>
      </c>
      <c r="I24" s="173">
        <f>((SUM(Dat_01!Z9:Z14,Dat_01!Z19,Dat_01!Z21)/SUM(Dat_01!AA9:AA14,Dat_01!AA19,Dat_01!AA21))-1)*100</f>
        <v>4.3048633016351534</v>
      </c>
      <c r="J24" s="155">
        <f>SUM(J16,J20:J23)</f>
        <v>16.921592999999998</v>
      </c>
      <c r="K24" s="173">
        <f>((SUM(Dat_01!B9:B14,Dat_01!B19,Dat_01!B21)/SUM(Dat_01!C9:C14,Dat_01!C19,Dat_01!C21))-1)*100</f>
        <v>0.54390199817540008</v>
      </c>
      <c r="L24" s="155">
        <f>SUM(L16,L20:L23)</f>
        <v>17.726355500000004</v>
      </c>
      <c r="M24" s="173">
        <f>((SUM(Dat_01!J9:J14,Dat_01!J19,Dat_01!J21)/SUM(Dat_01!K9:K14,Dat_01!K19,Dat_01!K21))-1)*100</f>
        <v>-2.9974160432960195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37.549396999999999</v>
      </c>
      <c r="G25" s="14">
        <f>Dat_01!T23*100</f>
        <v>-67.706377470000007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543.44825700000001</v>
      </c>
      <c r="G26" s="11">
        <f>Dat_01!T24*100</f>
        <v>34.697724989999998</v>
      </c>
      <c r="H26" s="157">
        <f>Dat_01!Z24/1000</f>
        <v>722.67840999999999</v>
      </c>
      <c r="I26" s="11">
        <f>Dat_01!AB24*100</f>
        <v>5.5284146200000004</v>
      </c>
      <c r="J26" s="157">
        <f>Dat_01!B24/1000</f>
        <v>16.921593000000001</v>
      </c>
      <c r="K26" s="11">
        <f>Dat_01!D24*100</f>
        <v>0.543902</v>
      </c>
      <c r="L26" s="157">
        <f>Dat_01!J24/1000</f>
        <v>18.196104999999999</v>
      </c>
      <c r="M26" s="11">
        <f>Dat_01!L24*100</f>
        <v>-3.1807875499999998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108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 I20" formula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7" zoomScaleNormal="100" workbookViewId="0">
      <selection activeCell="H37" sqref="H37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topLeftCell="A10" zoomScaleNormal="100" workbookViewId="0">
      <selection activeCell="C45" sqref="C45:C46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xxxxx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2021-10-14T19:26:54Z</dcterms:modified>
</cp:coreProperties>
</file>