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SEP\INF_ELABORADA\"/>
    </mc:Choice>
  </mc:AlternateContent>
  <xr:revisionPtr revIDLastSave="0" documentId="13_ncr:1_{B11A7E76-58C2-4070-9E7D-6DBB8CE489C7}" xr6:coauthVersionLast="45" xr6:coauthVersionMax="45" xr10:uidLastSave="{00000000-0000-0000-0000-000000000000}"/>
  <bookViews>
    <workbookView xWindow="-28920" yWindow="-21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Dat_01!$A$85:$X$112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C68" i="18"/>
  <c r="D69" i="18" l="1"/>
  <c r="D75" i="18"/>
  <c r="D70" i="18"/>
  <c r="D76" i="18"/>
  <c r="D71" i="18"/>
  <c r="D73" i="18"/>
  <c r="D77" i="18"/>
  <c r="D68" i="18"/>
  <c r="D74" i="18"/>
  <c r="D78" i="18"/>
  <c r="C80" i="18"/>
  <c r="B73" i="18" l="1"/>
  <c r="B72" i="18"/>
  <c r="B68" i="18"/>
  <c r="B79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<sst xmlns="http://schemas.openxmlformats.org/spreadsheetml/2006/main" count="428" uniqueCount="135">
  <si>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</si>
  <si>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</si>
  <si>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</si>
  <si>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</si>
  <si>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</si>
  <si>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</si>
  <si>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</si>
  <si>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</si>
  <si>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</si>
  <si>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</si>
  <si>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</si>
  <si>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</si>
  <si>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</si>
  <si>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</si>
  <si>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</si>
  <si>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</si>
  <si>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</si>
  <si>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</si>
  <si>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</si>
  <si>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</si>
  <si>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</si>
  <si>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</si>
  <si>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</si>
  <si>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</si>
  <si>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</si>
  <si>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</si>
  <si>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</si>
  <si>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</si>
  <si>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</si>
  <si>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</si>
  <si>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</si>
  <si>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</si>
  <si>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</si>
  <si>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</si>
  <si>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</si>
  <si>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</si>
  <si>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</si>
  <si>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</si>
  <si>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</si>
  <si>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</si>
  <si>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</si>
  <si>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</si>
  <si>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</si>
  <si>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</si>
  <si>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</si>
  <si>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</si>
  <si>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</si>
  <si>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</si>
  <si>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</si>
  <si>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</si>
  <si>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</si>
  <si>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</si>
  <si>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</si>
  <si>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</si>
  <si>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</si>
  <si>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</si>
  <si>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</si>
  <si>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</si>
  <si>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</si>
  <si>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</si>
  <si>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</si>
  <si>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</si>
  <si>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</si>
  <si>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</si>
  <si>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</si>
  <si>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</si>
  <si>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</si>
  <si>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</si>
  <si>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</si>
  <si>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</si>
  <si>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</si>
  <si>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</si>
  <si>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</si>
  <si>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</si>
  <si>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</si>
  <si>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</si>
  <si>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</si>
  <si>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</si>
  <si>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</si>
  <si>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</si>
  <si>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</si>
  <si>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</si>
  <si>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</si>
  <si>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</si>
  <si>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</si>
  <si>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</si>
  <si>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</si>
  <si>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</si>
  <si>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</si>
  <si>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</si>
  <si>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</si>
  <si>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</si>
  <si>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</si>
  <si>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</si>
  <si>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</si>
  <si>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</si>
  <si>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</si>
  <si>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</si>
  <si>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</si>
  <si>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</si>
  <si>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</si>
  <si>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</si>
  <si>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</si>
  <si>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</si>
  <si>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</si>
  <si>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</si>
  <si>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</si>
  <si>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</si>
  <si>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</si>
  <si>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</si>
  <si>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</si>
  <si>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</si>
  <si>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</si>
  <si>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</si>
  <si>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</si>
  <si>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</si>
  <si>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</si>
  <si>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</si>
  <si>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</si>
  <si>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</si>
  <si>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</si>
  <si>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</si>
  <si>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</si>
  <si>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</si>
  <si>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</si>
  <si>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</si>
  <si>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</si>
  <si>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30/09/2020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</si>
  <si>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ut="10/08/2020 12:42:21" si="2.0000000177541e73a7ef62c07ca1cda61e24ed86d2b14f603f26009414aaa8707fc66539ece8458c4557fae900c91acc2f605354f58faea22347dc33528277174abfed5d6de9808b83f832f15f7dc7dc6ab2c15dbf53cd9f5c257db88dfded250712099fb70652df4ea4f5fa53f95e8e1d48f5920e28ae927b78008da592bf65079f.3082.0.1.Europe/Madrid.upriv*_1*_pidn2*_1*_session*-lat*_1.0000000194801767293a4522a63d52179fa529e0bc6025e0e356becaee0a5a724f7db8bd15d862671f4301923bb9267745918ffb451db956.000000011fcc4a1f6ba7d49aefe5d33f815b71b3bc6025e00cc9b63d9344fa89f9df4901cc9551e5983dd9138b519c0332a97e62eda073b0.0.1.1.BDEbi.D066E1C611E6257C10D00080EF253B44.0-3082.1.1_-0.1.0_-3082.1.1_5.5.0.*0.000000014000095a21f4f14925007d5c8e9262d8c911585aa20ee8fdd3c5ecec4688eeb620714117.0.10*.25*.15*.214.23.10*.4*.0400*.0074J.e.000000013da5179e72483f2fe86b008cb22cc8edc911585ac645bbfc7ead8285e7d696210ae8beb2.0" msgID="B0DF236611EB0963559D0080EF25F3F7"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</si>
  <si>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12:49:46" si="2.0000000177541e73a7ef62c07ca1cda61e24ed86d2b14f603f26009414aaa8707fc66539ece8458c4557fae900c91acc2f605354f58faea22347dc33528277174abfed5d6de9808b83f832f15f7dc7dc6ab2c15dbf53cd9f5c257db88dfded250712099fb70652df4ea4f5fa53f95e8e1d48f5920e28ae927b78008da592bf65079f.3082.0.1.Europe/Madrid.upriv*_1*_pidn2*_1*_session*-lat*_1.0000000194801767293a4522a63d52179fa529e0bc6025e0e356becaee0a5a724f7db8bd15d862671f4301923bb9267745918ffb451db956.000000011fcc4a1f6ba7d49aefe5d33f815b71b3bc6025e00cc9b63d9344fa89f9df4901cc9551e5983dd9138b519c0332a97e62eda073b0.0.1.1.BDEbi.D066E1C611E6257C10D00080EF253B44.0-3082.1.1_-0.1.0_-3082.1.1_5.5.0.*0.000000014000095a21f4f14925007d5c8e9262d8c911585aa20ee8fdd3c5ecec4688eeb620714117.0.10*.25*.15*.214.23.10*.4*.0400*.0074J.e.000000013da5179e72483f2fe86b008cb22cc8edc911585ac645bbfc7ead8285e7d696210ae8beb2.0" msgID="D5E6187311EB0963559D0080EFF593F7"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nrr="680" nrc="1280"&gt;&lt;pg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</si>
  <si>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Octubre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</si>
  <si>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ut="10/08/2020 12:52:47" si="2.0000000177541e73a7ef62c07ca1cda61e24ed86d2b14f603f26009414aaa8707fc66539ece8458c4557fae900c91acc2f605354f58faea22347dc33528277174abfed5d6de9808b83f832f15f7dc7dc6ab2c15dbf53cd9f5c257db88dfded250712099fb70652df4ea4f5fa53f95e8e1d48f5920e28ae927b78008da592bf65079f.3082.0.1.Europe/Madrid.upriv*_1*_pidn2*_1*_session*-lat*_1.0000000194801767293a4522a63d52179fa529e0bc6025e0e356becaee0a5a724f7db8bd15d862671f4301923bb9267745918ffb451db956.000000011fcc4a1f6ba7d49aefe5d33f815b71b3bc6025e00cc9b63d9344fa89f9df4901cc9551e5983dd9138b519c0332a97e62eda073b0.0.1.1.BDEbi.D066E1C611E6257C10D00080EF253B44.0-3082.1.1_-0.1.0_-3082.1.1_5.5.0.*0.000000014000095a21f4f14925007d5c8e9262d8c911585aa20ee8fdd3c5ecec4688eeb620714117.0.10*.25*.15*.214.23.10*.4*.0400*.0074J.e.000000013da5179e72483f2fe86b008cb22cc8edc911585ac645bbfc7ead8285e7d696210ae8beb2.0" msgID="E25E335E11EB0964559D0080EFB513F8"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cols="24" /&gt;&lt;esdo ews="" ece="" ptn="" /&gt;&lt;/excel&gt;&lt;pgs&gt;&lt;pg rows="25" cols="22" nrr="952" nrc="742"&gt;&lt;pg /&gt;&lt;bls&gt;&lt;bl sr="1" sc="1" rfetch="25" cfetch="22" posid="1" darows="0" dacols="1"&gt;&lt;excel&gt;&lt;epo ews="Dat_01" ece="A85" enr="MSTR.Serie_Balance_B.C._Mensual_Baleares_y_Canarias" ptn="" qtn="" rows="28" cols="24" /&gt;&lt;esdo ews="" ece="" ptn="" /&gt;&lt;/excel&gt;&lt;gridRng&gt;&lt;sect id="TITLE_AREA" rngprop="1:1:3:2" /&gt;&lt;sect id="ROWHEADERS_AREA" rngprop="4:1:25:2" /&gt;&lt;sect id="COLUMNHEADERS_AREA" rngprop="1:3:3:22" /&gt;&lt;sect id="DATA_AREA" rngprop="4:3:25:22"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</si>
  <si>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ut="10/08/2020 12:54:07" si="2.000000011046885fc630bb5b252ff0f6c784b34895aa878829176e9fb807f3ddbda46253a1ef205786045cd1016c5c5316fcb832d5753d4861770a8ec6d928691970c4f356a203b28696bfc5459e821d747df895f3c5caac6a2c1347dc18558fc9480e649fdfae73cb6bdd79d085426224f7552ecbb06f39c8a56a62a8b5ca59d8c1.3082.0.1.Europe/Madrid.upriv*_1*_pidn2*_1*_session*-lat*_1.00000001c947a49c9ab0b36369d06d7e7c950f68bc6025e0fd4a04ffb1ea0fb1f299390837625efc82fdbe0d33941f5e7f074c64c348fca5.000000018838c8ba7cdc29faf5ae5f9aa67eed02bc6025e09b1ba5d797cdf130af9455047f9c4420ee727b8897db16952b96741e5790cf65.0.1.1.BDEbi.D066E1C611E6257C10D00080EF253B44.0-3082.1.1_-0.1.0_-3082.1.1_5.5.0.*0.00000001bf66083174c32fde70165f6a6b39413ac911585a11536df4af6f75fc56446417607d9032.0.10*.25*.15*.214.23.10*.4*.0400*.0074J.e.000000019a2281a3c7bd4da51cbb008e40999296c911585ae9a8e0125735d5e01100bb015561d08b.0" msgID="53BF1F2C11EB096537600080EF15927F"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nrr="14" nrc="180"&gt;&lt;pg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</si>
  <si>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c91083522d384323af958cd2362bb31e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</si>
  <si>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ut="10/08/2020 12:54:31" si="2.000000011046885fc630bb5b252ff0f6c784b34895aa878829176e9fb807f3ddbda46253a1ef205786045cd1016c5c5316fcb832d5753d4861770a8ec6d928691970c4f356a203b28696bfc5459e821d747df895f3c5caac6a2c1347dc18558fc9480e649fdfae73cb6bdd79d085426224f7552ecbb06f39c8a56a62a8b5ca59d8c1.3082.0.1.Europe/Madrid.upriv*_1*_pidn2*_1*_session*-lat*_1.00000001c947a49c9ab0b36369d06d7e7c950f68bc6025e0fd4a04ffb1ea0fb1f299390837625efc82fdbe0d33941f5e7f074c64c348fca5.000000018838c8ba7cdc29faf5ae5f9aa67eed02bc6025e09b1ba5d797cdf130af9455047f9c4420ee727b8897db16952b96741e5790cf65.0.1.1.BDEbi.D066E1C611E6257C10D00080EF253B44.0-3082.1.1_-0.1.0_-3082.1.1_5.5.0.*0.00000001bf66083174c32fde70165f6a6b39413ac911585a11536df4af6f75fc56446417607d9032.0.10*.25*.15*.214.23.10*.4*.0400*.0074J.e.000000019a2281a3c7bd4da51cbb008e40999296c911585ae9a8e0125735d5e01100bb015561d08b.0" msgID="625DF72411EB096537600080EF55107B"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nrr="20" nrc="252"&gt;&lt;pg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</si>
</sst>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50" fillId="0" borderId="0" xfId="0" applyFont="1"/>
    <xf numFmtId="10" fontId="19" fillId="5" borderId="10" xfId="33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1.6260162601626018E-2"/>
                  <c:y val="0.259803921568627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821138211382114"/>
                  <c:y val="-7.84313725490196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6260162601626016"/>
                  <c:y val="-0.18013856723791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7.739636946979636</c:v>
                </c:pt>
                <c:pt idx="2">
                  <c:v>4.5493933848372468</c:v>
                </c:pt>
                <c:pt idx="3">
                  <c:v>40.411249861560265</c:v>
                </c:pt>
                <c:pt idx="4">
                  <c:v>0.17320141553577897</c:v>
                </c:pt>
                <c:pt idx="5">
                  <c:v>0.61159605114869287</c:v>
                </c:pt>
                <c:pt idx="6">
                  <c:v>4.2936133046474376</c:v>
                </c:pt>
                <c:pt idx="7">
                  <c:v>4.2936133046474376</c:v>
                </c:pt>
                <c:pt idx="8">
                  <c:v>5.6678044993882806E-2</c:v>
                </c:pt>
                <c:pt idx="9">
                  <c:v>3.1435944922553145</c:v>
                </c:pt>
                <c:pt idx="10">
                  <c:v>8.3923228261262393E-4</c:v>
                </c:pt>
                <c:pt idx="11">
                  <c:v>34.726583961111679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layout>
                <c:manualLayout>
                  <c:x val="-0.25040650406504067"/>
                  <c:y val="0.38194444444444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11.888731674542271</c:v>
                </c:pt>
                <c:pt idx="1">
                  <c:v>6.8710165648059398</c:v>
                </c:pt>
                <c:pt idx="2">
                  <c:v>29.840125023913309</c:v>
                </c:pt>
                <c:pt idx="3">
                  <c:v>42.288297430238572</c:v>
                </c:pt>
                <c:pt idx="4">
                  <c:v>0.62696793905546444</c:v>
                </c:pt>
                <c:pt idx="5">
                  <c:v>0.51690352019454722</c:v>
                </c:pt>
                <c:pt idx="6">
                  <c:v>1.8434434686064718</c:v>
                </c:pt>
                <c:pt idx="7">
                  <c:v>1.8434434686064718</c:v>
                </c:pt>
                <c:pt idx="8">
                  <c:v>0.1792921287982894</c:v>
                </c:pt>
                <c:pt idx="9">
                  <c:v>3.9967912254062403</c:v>
                </c:pt>
                <c:pt idx="10">
                  <c:v>0.10498755583240066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239.89604299999999</c:v>
                </c:pt>
                <c:pt idx="1">
                  <c:v>190.859296</c:v>
                </c:pt>
                <c:pt idx="2">
                  <c:v>128.513947</c:v>
                </c:pt>
                <c:pt idx="3">
                  <c:v>137.71730099999999</c:v>
                </c:pt>
                <c:pt idx="4">
                  <c:v>-3.1773479999999998</c:v>
                </c:pt>
                <c:pt idx="5">
                  <c:v>-1.357415</c:v>
                </c:pt>
                <c:pt idx="6">
                  <c:v>-1.7178340000000001</c:v>
                </c:pt>
                <c:pt idx="7">
                  <c:v>-1.680847</c:v>
                </c:pt>
                <c:pt idx="8">
                  <c:v>-1.8013110000000001</c:v>
                </c:pt>
                <c:pt idx="9">
                  <c:v>-1.2808299999999999</c:v>
                </c:pt>
                <c:pt idx="10">
                  <c:v>-1.119569</c:v>
                </c:pt>
                <c:pt idx="11">
                  <c:v>-1.1268309999999999</c:v>
                </c:pt>
                <c:pt idx="12">
                  <c:v>68.615076999999999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100.854845</c:v>
                </c:pt>
                <c:pt idx="1">
                  <c:v>70.492742000000007</c:v>
                </c:pt>
                <c:pt idx="2">
                  <c:v>55.934950000000001</c:v>
                </c:pt>
                <c:pt idx="3">
                  <c:v>39.850644000000003</c:v>
                </c:pt>
                <c:pt idx="4">
                  <c:v>46.988411999999997</c:v>
                </c:pt>
                <c:pt idx="5">
                  <c:v>37.597881999999998</c:v>
                </c:pt>
                <c:pt idx="6">
                  <c:v>34.745249000000001</c:v>
                </c:pt>
                <c:pt idx="7">
                  <c:v>28.608295999999999</c:v>
                </c:pt>
                <c:pt idx="8">
                  <c:v>29.693214999999999</c:v>
                </c:pt>
                <c:pt idx="9">
                  <c:v>33.872518999999997</c:v>
                </c:pt>
                <c:pt idx="10">
                  <c:v>66.275554999999997</c:v>
                </c:pt>
                <c:pt idx="11">
                  <c:v>87.959547999999984</c:v>
                </c:pt>
                <c:pt idx="12">
                  <c:v>41.727269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37.844405000000002</c:v>
                </c:pt>
                <c:pt idx="1">
                  <c:v>49.054825999999998</c:v>
                </c:pt>
                <c:pt idx="2">
                  <c:v>98.891853999999995</c:v>
                </c:pt>
                <c:pt idx="3">
                  <c:v>97.225685999999996</c:v>
                </c:pt>
                <c:pt idx="4">
                  <c:v>247.42845600000001</c:v>
                </c:pt>
                <c:pt idx="5">
                  <c:v>226.17381</c:v>
                </c:pt>
                <c:pt idx="6">
                  <c:v>223.68889899999999</c:v>
                </c:pt>
                <c:pt idx="7">
                  <c:v>190.73178300000001</c:v>
                </c:pt>
                <c:pt idx="8">
                  <c:v>192.66073600000001</c:v>
                </c:pt>
                <c:pt idx="9">
                  <c:v>191.22599500000001</c:v>
                </c:pt>
                <c:pt idx="10">
                  <c:v>258.52646600000003</c:v>
                </c:pt>
                <c:pt idx="11">
                  <c:v>260.88770599999998</c:v>
                </c:pt>
                <c:pt idx="12">
                  <c:v>135.30891800000001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0.51373500000000005</c:v>
                </c:pt>
                <c:pt idx="1">
                  <c:v>0.402117</c:v>
                </c:pt>
                <c:pt idx="2">
                  <c:v>0.49518299999999998</c:v>
                </c:pt>
                <c:pt idx="3">
                  <c:v>0.44528499999999999</c:v>
                </c:pt>
                <c:pt idx="4">
                  <c:v>0.37082599999999999</c:v>
                </c:pt>
                <c:pt idx="5">
                  <c:v>0.33927600000000002</c:v>
                </c:pt>
                <c:pt idx="6">
                  <c:v>0.53315400000000002</c:v>
                </c:pt>
                <c:pt idx="7">
                  <c:v>0.24332000000000001</c:v>
                </c:pt>
                <c:pt idx="8">
                  <c:v>0.35256199999999999</c:v>
                </c:pt>
                <c:pt idx="9">
                  <c:v>0.21834000000000001</c:v>
                </c:pt>
                <c:pt idx="10">
                  <c:v>0.21970000000000001</c:v>
                </c:pt>
                <c:pt idx="11">
                  <c:v>0.20693</c:v>
                </c:pt>
                <c:pt idx="12">
                  <c:v>0.189775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10.044699</c:v>
                </c:pt>
                <c:pt idx="1">
                  <c:v>9.1120260000000002</c:v>
                </c:pt>
                <c:pt idx="2">
                  <c:v>6.2902100000000001</c:v>
                </c:pt>
                <c:pt idx="3">
                  <c:v>5.905538</c:v>
                </c:pt>
                <c:pt idx="4">
                  <c:v>5.9311930000000004</c:v>
                </c:pt>
                <c:pt idx="5">
                  <c:v>8.7361280000000008</c:v>
                </c:pt>
                <c:pt idx="6">
                  <c:v>9.1979059999999997</c:v>
                </c:pt>
                <c:pt idx="7">
                  <c:v>10.819095000000001</c:v>
                </c:pt>
                <c:pt idx="8">
                  <c:v>12.877418</c:v>
                </c:pt>
                <c:pt idx="9">
                  <c:v>12.233309</c:v>
                </c:pt>
                <c:pt idx="10">
                  <c:v>12.761148</c:v>
                </c:pt>
                <c:pt idx="11">
                  <c:v>12.085228000000001</c:v>
                </c:pt>
                <c:pt idx="12">
                  <c:v>10.525691999999999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1.2656000000000001E-2</c:v>
                </c:pt>
                <c:pt idx="1">
                  <c:v>9.9426E-2</c:v>
                </c:pt>
                <c:pt idx="2">
                  <c:v>9.2591999999999994E-2</c:v>
                </c:pt>
                <c:pt idx="3">
                  <c:v>0.18124699999999999</c:v>
                </c:pt>
                <c:pt idx="4">
                  <c:v>0.20147399999999999</c:v>
                </c:pt>
                <c:pt idx="5">
                  <c:v>8.1622E-2</c:v>
                </c:pt>
                <c:pt idx="6">
                  <c:v>2.6786999999999998E-2</c:v>
                </c:pt>
                <c:pt idx="7">
                  <c:v>1.5415999999999999E-2</c:v>
                </c:pt>
                <c:pt idx="8">
                  <c:v>2.3830000000000001E-3</c:v>
                </c:pt>
                <c:pt idx="9">
                  <c:v>5.9750999999999999E-2</c:v>
                </c:pt>
                <c:pt idx="10">
                  <c:v>5.2531000000000001E-2</c:v>
                </c:pt>
                <c:pt idx="11">
                  <c:v>5.0747E-2</c:v>
                </c:pt>
                <c:pt idx="12">
                  <c:v>2.81E-3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2.8740579999999998</c:v>
                </c:pt>
                <c:pt idx="1">
                  <c:v>2.8082799999999999</c:v>
                </c:pt>
                <c:pt idx="2">
                  <c:v>3.3302809999999998</c:v>
                </c:pt>
                <c:pt idx="3">
                  <c:v>3.7760859999999998</c:v>
                </c:pt>
                <c:pt idx="4">
                  <c:v>4.0380969999999996</c:v>
                </c:pt>
                <c:pt idx="5">
                  <c:v>3.7449910000000002</c:v>
                </c:pt>
                <c:pt idx="6">
                  <c:v>3.4759910000000001</c:v>
                </c:pt>
                <c:pt idx="7">
                  <c:v>2.759617</c:v>
                </c:pt>
                <c:pt idx="8">
                  <c:v>2.681413</c:v>
                </c:pt>
                <c:pt idx="9">
                  <c:v>2.5969359999999999</c:v>
                </c:pt>
                <c:pt idx="10">
                  <c:v>2.3319320000000001</c:v>
                </c:pt>
                <c:pt idx="11">
                  <c:v>1.922374</c:v>
                </c:pt>
                <c:pt idx="12">
                  <c:v>2.047806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13.691565000000001</c:v>
                </c:pt>
                <c:pt idx="1">
                  <c:v>14.954476</c:v>
                </c:pt>
                <c:pt idx="2">
                  <c:v>13.874806</c:v>
                </c:pt>
                <c:pt idx="3">
                  <c:v>8.5480964999999998</c:v>
                </c:pt>
                <c:pt idx="4">
                  <c:v>9.2619229999999995</c:v>
                </c:pt>
                <c:pt idx="5">
                  <c:v>6.0955329999999996</c:v>
                </c:pt>
                <c:pt idx="6">
                  <c:v>10.531687</c:v>
                </c:pt>
                <c:pt idx="7">
                  <c:v>4.8152900000000001</c:v>
                </c:pt>
                <c:pt idx="8">
                  <c:v>5.3655939999999998</c:v>
                </c:pt>
                <c:pt idx="9">
                  <c:v>14.316091999999999</c:v>
                </c:pt>
                <c:pt idx="10">
                  <c:v>10.772016499999999</c:v>
                </c:pt>
                <c:pt idx="11">
                  <c:v>10.810641499999999</c:v>
                </c:pt>
                <c:pt idx="12">
                  <c:v>14.376298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13.691565000000001</c:v>
                </c:pt>
                <c:pt idx="1">
                  <c:v>14.954476</c:v>
                </c:pt>
                <c:pt idx="2">
                  <c:v>13.874806</c:v>
                </c:pt>
                <c:pt idx="3">
                  <c:v>8.5480964999999998</c:v>
                </c:pt>
                <c:pt idx="4">
                  <c:v>9.2619229999999995</c:v>
                </c:pt>
                <c:pt idx="5">
                  <c:v>6.0955329999999996</c:v>
                </c:pt>
                <c:pt idx="6">
                  <c:v>10.531687</c:v>
                </c:pt>
                <c:pt idx="7">
                  <c:v>4.8152900000000001</c:v>
                </c:pt>
                <c:pt idx="8">
                  <c:v>5.3655939999999998</c:v>
                </c:pt>
                <c:pt idx="9">
                  <c:v>14.316091999999999</c:v>
                </c:pt>
                <c:pt idx="10">
                  <c:v>10.772016499999999</c:v>
                </c:pt>
                <c:pt idx="11">
                  <c:v>10.810641499999999</c:v>
                </c:pt>
                <c:pt idx="12">
                  <c:v>14.376298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153.19726600000001</c:v>
                </c:pt>
                <c:pt idx="1">
                  <c:v>137.66557</c:v>
                </c:pt>
                <c:pt idx="2">
                  <c:v>91.396833999999998</c:v>
                </c:pt>
                <c:pt idx="3">
                  <c:v>119.614278</c:v>
                </c:pt>
                <c:pt idx="4">
                  <c:v>136.155901</c:v>
                </c:pt>
                <c:pt idx="5">
                  <c:v>115.92849699999999</c:v>
                </c:pt>
                <c:pt idx="6">
                  <c:v>112.780382</c:v>
                </c:pt>
                <c:pt idx="7">
                  <c:v>80.581305999999998</c:v>
                </c:pt>
                <c:pt idx="8">
                  <c:v>79.946523999999997</c:v>
                </c:pt>
                <c:pt idx="9">
                  <c:v>93.289579000000003</c:v>
                </c:pt>
                <c:pt idx="10">
                  <c:v>168.331695</c:v>
                </c:pt>
                <c:pt idx="11">
                  <c:v>182.71595500000001</c:v>
                </c:pt>
                <c:pt idx="12">
                  <c:v>116.274961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16.399318267588413</c:v>
                </c:pt>
                <c:pt idx="1">
                  <c:v>18.423770325060918</c:v>
                </c:pt>
                <c:pt idx="2">
                  <c:v>15.960168915689771</c:v>
                </c:pt>
                <c:pt idx="3">
                  <c:v>28.577776348705253</c:v>
                </c:pt>
                <c:pt idx="4">
                  <c:v>0</c:v>
                </c:pt>
                <c:pt idx="5">
                  <c:v>6.6798320093016214E-2</c:v>
                </c:pt>
                <c:pt idx="6">
                  <c:v>0.3766499335937894</c:v>
                </c:pt>
                <c:pt idx="7">
                  <c:v>14.547318308771892</c:v>
                </c:pt>
                <c:pt idx="8">
                  <c:v>5.5259784958119056</c:v>
                </c:pt>
                <c:pt idx="9">
                  <c:v>0.12222108468504352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5934959349593497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6097573778887395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22.086385260760828</c:v>
                </c:pt>
                <c:pt idx="1">
                  <c:v>3.1576950104887427</c:v>
                </c:pt>
                <c:pt idx="2">
                  <c:v>14.377414987335356</c:v>
                </c:pt>
                <c:pt idx="3">
                  <c:v>43.408153318774296</c:v>
                </c:pt>
                <c:pt idx="4">
                  <c:v>0</c:v>
                </c:pt>
                <c:pt idx="5">
                  <c:v>4.2615125447927595E-2</c:v>
                </c:pt>
                <c:pt idx="6">
                  <c:v>0.27936051346863844</c:v>
                </c:pt>
                <c:pt idx="7">
                  <c:v>13.504829121713605</c:v>
                </c:pt>
                <c:pt idx="8">
                  <c:v>3.0486320785239549</c:v>
                </c:pt>
                <c:pt idx="9">
                  <c:v>9.4914583486649481E-2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0.28253899999999998</c:v>
                </c:pt>
                <c:pt idx="1">
                  <c:v>0.297543</c:v>
                </c:pt>
                <c:pt idx="2">
                  <c:v>0.29652299999999998</c:v>
                </c:pt>
                <c:pt idx="3">
                  <c:v>0.29914499999999999</c:v>
                </c:pt>
                <c:pt idx="4">
                  <c:v>0.30431399999999997</c:v>
                </c:pt>
                <c:pt idx="5">
                  <c:v>0.26768999999999998</c:v>
                </c:pt>
                <c:pt idx="6">
                  <c:v>0.29889900000000003</c:v>
                </c:pt>
                <c:pt idx="7">
                  <c:v>0.288387</c:v>
                </c:pt>
                <c:pt idx="8">
                  <c:v>0.28846300000000002</c:v>
                </c:pt>
                <c:pt idx="9">
                  <c:v>0.27233299999999999</c:v>
                </c:pt>
                <c:pt idx="10">
                  <c:v>0.29030099999999998</c:v>
                </c:pt>
                <c:pt idx="11">
                  <c:v>0.29413899999999998</c:v>
                </c:pt>
                <c:pt idx="12">
                  <c:v>0.29165099999999999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349.34223900000001</c:v>
                </c:pt>
                <c:pt idx="1">
                  <c:v>355.37539000000004</c:v>
                </c:pt>
                <c:pt idx="2">
                  <c:v>354.636663</c:v>
                </c:pt>
                <c:pt idx="3">
                  <c:v>357.24838199999999</c:v>
                </c:pt>
                <c:pt idx="4">
                  <c:v>339.84719799999999</c:v>
                </c:pt>
                <c:pt idx="5">
                  <c:v>310.92119200000002</c:v>
                </c:pt>
                <c:pt idx="6">
                  <c:v>260.14058899999998</c:v>
                </c:pt>
                <c:pt idx="7">
                  <c:v>222.93640199999999</c:v>
                </c:pt>
                <c:pt idx="8">
                  <c:v>252.956976</c:v>
                </c:pt>
                <c:pt idx="9">
                  <c:v>214.832064</c:v>
                </c:pt>
                <c:pt idx="10">
                  <c:v>269.88695799999999</c:v>
                </c:pt>
                <c:pt idx="11">
                  <c:v>297.66067400000003</c:v>
                </c:pt>
                <c:pt idx="12">
                  <c:v>271.16308099999998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276.37973799999997</c:v>
                </c:pt>
                <c:pt idx="1">
                  <c:v>305.83225499999998</c:v>
                </c:pt>
                <c:pt idx="2">
                  <c:v>233.08126999999999</c:v>
                </c:pt>
                <c:pt idx="3">
                  <c:v>301.90038800000002</c:v>
                </c:pt>
                <c:pt idx="4">
                  <c:v>336.41169600000001</c:v>
                </c:pt>
                <c:pt idx="5">
                  <c:v>279.07848200000001</c:v>
                </c:pt>
                <c:pt idx="6">
                  <c:v>300.75480199999998</c:v>
                </c:pt>
                <c:pt idx="7">
                  <c:v>246.048203</c:v>
                </c:pt>
                <c:pt idx="8">
                  <c:v>229.928777</c:v>
                </c:pt>
                <c:pt idx="9">
                  <c:v>258.95318400000002</c:v>
                </c:pt>
                <c:pt idx="10">
                  <c:v>229.38776100000001</c:v>
                </c:pt>
                <c:pt idx="11">
                  <c:v>217.204814</c:v>
                </c:pt>
                <c:pt idx="12">
                  <c:v>297.07835399999999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2.2183510000000002</c:v>
                </c:pt>
                <c:pt idx="1">
                  <c:v>1.582837</c:v>
                </c:pt>
                <c:pt idx="2">
                  <c:v>2.0965220000000002</c:v>
                </c:pt>
                <c:pt idx="3">
                  <c:v>1.15967</c:v>
                </c:pt>
                <c:pt idx="4">
                  <c:v>0.82455000000000001</c:v>
                </c:pt>
                <c:pt idx="5">
                  <c:v>1.3385149999999999</c:v>
                </c:pt>
                <c:pt idx="6">
                  <c:v>1.8236140000000001</c:v>
                </c:pt>
                <c:pt idx="7">
                  <c:v>0.99112500000000003</c:v>
                </c:pt>
                <c:pt idx="8">
                  <c:v>1.4427080000000001</c:v>
                </c:pt>
                <c:pt idx="9">
                  <c:v>0.74262799999999995</c:v>
                </c:pt>
                <c:pt idx="10">
                  <c:v>3.6524220000000001</c:v>
                </c:pt>
                <c:pt idx="11">
                  <c:v>3.5757409999999998</c:v>
                </c:pt>
                <c:pt idx="12">
                  <c:v>1.9118980000000001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100.47458899999999</c:v>
                </c:pt>
                <c:pt idx="1">
                  <c:v>89.262077000000005</c:v>
                </c:pt>
                <c:pt idx="2">
                  <c:v>125.115903</c:v>
                </c:pt>
                <c:pt idx="3">
                  <c:v>68.820522999999994</c:v>
                </c:pt>
                <c:pt idx="4">
                  <c:v>60.203617000000001</c:v>
                </c:pt>
                <c:pt idx="5">
                  <c:v>93.155392000000006</c:v>
                </c:pt>
                <c:pt idx="6">
                  <c:v>97.165876999999995</c:v>
                </c:pt>
                <c:pt idx="7">
                  <c:v>54.728521000000001</c:v>
                </c:pt>
                <c:pt idx="8">
                  <c:v>69.748904999999993</c:v>
                </c:pt>
                <c:pt idx="9">
                  <c:v>103.362193</c:v>
                </c:pt>
                <c:pt idx="10">
                  <c:v>148.00404900000001</c:v>
                </c:pt>
                <c:pt idx="11">
                  <c:v>166.40459999999999</c:v>
                </c:pt>
                <c:pt idx="12">
                  <c:v>92.424858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23.467742000000001</c:v>
                </c:pt>
                <c:pt idx="1">
                  <c:v>20.840191999999998</c:v>
                </c:pt>
                <c:pt idx="2">
                  <c:v>18.276879999999998</c:v>
                </c:pt>
                <c:pt idx="3">
                  <c:v>17.266753999999999</c:v>
                </c:pt>
                <c:pt idx="4">
                  <c:v>18.499157</c:v>
                </c:pt>
                <c:pt idx="5">
                  <c:v>20.258158000000002</c:v>
                </c:pt>
                <c:pt idx="6">
                  <c:v>21.169239000000001</c:v>
                </c:pt>
                <c:pt idx="7">
                  <c:v>22.608267999999999</c:v>
                </c:pt>
                <c:pt idx="8">
                  <c:v>25.982507999999999</c:v>
                </c:pt>
                <c:pt idx="9">
                  <c:v>23.718388000000001</c:v>
                </c:pt>
                <c:pt idx="10">
                  <c:v>26.95336</c:v>
                </c:pt>
                <c:pt idx="11">
                  <c:v>26.574038999999999</c:v>
                </c:pt>
                <c:pt idx="12">
                  <c:v>20.864343000000002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sep.-19</c:v>
                </c:pt>
                <c:pt idx="1">
                  <c:v>oct.-19</c:v>
                </c:pt>
                <c:pt idx="2">
                  <c:v>nov.-19</c:v>
                </c:pt>
                <c:pt idx="3">
                  <c:v>dic.-19</c:v>
                </c:pt>
                <c:pt idx="4">
                  <c:v>ene.-20</c:v>
                </c:pt>
                <c:pt idx="5">
                  <c:v>feb.-20</c:v>
                </c:pt>
                <c:pt idx="6">
                  <c:v>mar.-20</c:v>
                </c:pt>
                <c:pt idx="7">
                  <c:v>abr.-20</c:v>
                </c:pt>
                <c:pt idx="8">
                  <c:v>may.-20</c:v>
                </c:pt>
                <c:pt idx="9">
                  <c:v>jun.-20</c:v>
                </c:pt>
                <c:pt idx="10">
                  <c:v>jul.-20</c:v>
                </c:pt>
                <c:pt idx="11">
                  <c:v>ago.-20</c:v>
                </c:pt>
                <c:pt idx="12">
                  <c:v>sep.-20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0.43661899999999998</c:v>
                </c:pt>
                <c:pt idx="1">
                  <c:v>0.57729399999999997</c:v>
                </c:pt>
                <c:pt idx="2">
                  <c:v>0.87303399999999998</c:v>
                </c:pt>
                <c:pt idx="3">
                  <c:v>0.90510599999999997</c:v>
                </c:pt>
                <c:pt idx="4">
                  <c:v>0.87627999999999995</c:v>
                </c:pt>
                <c:pt idx="5">
                  <c:v>0.84570599999999996</c:v>
                </c:pt>
                <c:pt idx="6">
                  <c:v>0.82166799999999995</c:v>
                </c:pt>
                <c:pt idx="7">
                  <c:v>0.83979599999999999</c:v>
                </c:pt>
                <c:pt idx="8">
                  <c:v>0.70590200000000003</c:v>
                </c:pt>
                <c:pt idx="9">
                  <c:v>0.78505800000000003</c:v>
                </c:pt>
                <c:pt idx="10">
                  <c:v>0.69386000000000003</c:v>
                </c:pt>
                <c:pt idx="11">
                  <c:v>0.69097799999999998</c:v>
                </c:pt>
                <c:pt idx="12">
                  <c:v>0.64958000000000005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Septiembre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C47" sqref="C47"/>
    </sheetView>
  </sheetViews>
  <sheetFormatPr baseColWidth="10" defaultColWidth="11.42578125" defaultRowHeight="12"/>
  <cols>
    <col min="1" max="1" width="12.57031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126</v>
      </c>
      <c r="B2" s="144" t="s">
        <v>127</v>
      </c>
    </row>
    <row r="4" spans="1:33" ht="15">
      <c r="A4" s="145" t="s">
        <v>67</v>
      </c>
      <c r="B4" s="206" t="s">
        <v>126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5" t="s">
        <v>69</v>
      </c>
      <c r="B6" s="189" t="s">
        <v>59</v>
      </c>
      <c r="C6" s="189" t="s">
        <v>60</v>
      </c>
      <c r="D6" s="189" t="s">
        <v>61</v>
      </c>
      <c r="E6" s="189" t="s">
        <v>62</v>
      </c>
      <c r="F6" s="189" t="s">
        <v>63</v>
      </c>
      <c r="G6" s="189" t="s">
        <v>64</v>
      </c>
      <c r="H6" s="189" t="s">
        <v>65</v>
      </c>
      <c r="I6" s="189" t="s">
        <v>66</v>
      </c>
      <c r="J6" s="189" t="s">
        <v>59</v>
      </c>
      <c r="K6" s="189" t="s">
        <v>60</v>
      </c>
      <c r="L6" s="189" t="s">
        <v>61</v>
      </c>
      <c r="M6" s="189" t="s">
        <v>62</v>
      </c>
      <c r="N6" s="189" t="s">
        <v>63</v>
      </c>
      <c r="O6" s="189" t="s">
        <v>64</v>
      </c>
      <c r="P6" s="189" t="s">
        <v>65</v>
      </c>
      <c r="Q6" s="189" t="s">
        <v>66</v>
      </c>
      <c r="R6" s="189" t="s">
        <v>59</v>
      </c>
      <c r="S6" s="189" t="s">
        <v>60</v>
      </c>
      <c r="T6" s="189" t="s">
        <v>61</v>
      </c>
      <c r="U6" s="189" t="s">
        <v>62</v>
      </c>
      <c r="V6" s="189" t="s">
        <v>63</v>
      </c>
      <c r="W6" s="189" t="s">
        <v>64</v>
      </c>
      <c r="X6" s="189" t="s">
        <v>65</v>
      </c>
      <c r="Y6" s="189" t="s">
        <v>66</v>
      </c>
      <c r="Z6" s="189" t="s">
        <v>59</v>
      </c>
      <c r="AA6" s="189" t="s">
        <v>60</v>
      </c>
      <c r="AB6" s="189" t="s">
        <v>61</v>
      </c>
      <c r="AC6" s="189" t="s">
        <v>62</v>
      </c>
      <c r="AD6" s="189" t="s">
        <v>63</v>
      </c>
      <c r="AE6" s="189" t="s">
        <v>64</v>
      </c>
      <c r="AF6" s="189" t="s">
        <v>65</v>
      </c>
      <c r="AG6" s="189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291.65100000000001</v>
      </c>
      <c r="AA8" s="158">
        <v>282.53899999999999</v>
      </c>
      <c r="AB8" s="151">
        <v>3.2250414999999998E-2</v>
      </c>
      <c r="AC8" s="158">
        <v>2596.1770000000001</v>
      </c>
      <c r="AD8" s="158">
        <v>2615.904</v>
      </c>
      <c r="AE8" s="151">
        <v>-7.5411788999999998E-3</v>
      </c>
      <c r="AF8" s="158">
        <v>3489.3879999999999</v>
      </c>
      <c r="AG8" s="151">
        <v>-2.7160034E-3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68615.077000000005</v>
      </c>
      <c r="S9" s="158">
        <v>239896.04300000001</v>
      </c>
      <c r="T9" s="151">
        <v>-0.71397995510000001</v>
      </c>
      <c r="U9" s="158">
        <v>55353.091999999997</v>
      </c>
      <c r="V9" s="158">
        <v>1542849.4140000001</v>
      </c>
      <c r="W9" s="151">
        <v>-0.96412281619999995</v>
      </c>
      <c r="X9" s="158">
        <v>512443.636</v>
      </c>
      <c r="Y9" s="151">
        <v>-0.74626738370000001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16798.12</v>
      </c>
      <c r="C10" s="158">
        <v>17602.925999999999</v>
      </c>
      <c r="D10" s="151">
        <v>-4.57200127E-2</v>
      </c>
      <c r="E10" s="158">
        <v>150197.80600000001</v>
      </c>
      <c r="F10" s="158">
        <v>153504.49</v>
      </c>
      <c r="G10" s="151">
        <v>-2.1541285199999999E-2</v>
      </c>
      <c r="H10" s="158">
        <v>202657.54199999999</v>
      </c>
      <c r="I10" s="151">
        <v>-1.5947653700000002E-2</v>
      </c>
      <c r="J10" s="158">
        <v>17755.965</v>
      </c>
      <c r="K10" s="158">
        <v>17890.949000000001</v>
      </c>
      <c r="L10" s="151">
        <v>-7.5448206E-3</v>
      </c>
      <c r="M10" s="158">
        <v>150245.981</v>
      </c>
      <c r="N10" s="158">
        <v>151936.62599999999</v>
      </c>
      <c r="O10" s="151">
        <v>-1.11273038E-2</v>
      </c>
      <c r="P10" s="158">
        <v>198318.603</v>
      </c>
      <c r="Q10" s="151">
        <v>-1.53488592E-2</v>
      </c>
      <c r="R10" s="158">
        <v>25914.613000000001</v>
      </c>
      <c r="S10" s="158">
        <v>50613.648999999998</v>
      </c>
      <c r="T10" s="151">
        <v>-0.48799160870000002</v>
      </c>
      <c r="U10" s="158">
        <v>224708.554</v>
      </c>
      <c r="V10" s="158">
        <v>375836.93400000001</v>
      </c>
      <c r="W10" s="151">
        <v>-0.40211157110000001</v>
      </c>
      <c r="X10" s="158">
        <v>312110.52799999999</v>
      </c>
      <c r="Y10" s="151">
        <v>-0.38631822760000001</v>
      </c>
      <c r="Z10" s="158">
        <v>151155.63500000001</v>
      </c>
      <c r="AA10" s="158">
        <v>167040.03</v>
      </c>
      <c r="AB10" s="151">
        <v>-9.5093343799999994E-2</v>
      </c>
      <c r="AC10" s="158">
        <v>1283245.996</v>
      </c>
      <c r="AD10" s="158">
        <v>1459339.129</v>
      </c>
      <c r="AE10" s="151">
        <v>-0.12066635470000001</v>
      </c>
      <c r="AF10" s="158">
        <v>1773851.983</v>
      </c>
      <c r="AG10" s="151">
        <v>-0.10885073050000001</v>
      </c>
    </row>
    <row r="11" spans="1:33">
      <c r="A11" s="144" t="s">
        <v>9</v>
      </c>
      <c r="B11" s="158">
        <v>31.934000000000001</v>
      </c>
      <c r="C11" s="158">
        <v>0.96599999999999997</v>
      </c>
      <c r="D11" s="151">
        <v>32.057971014499998</v>
      </c>
      <c r="E11" s="158">
        <v>57.863</v>
      </c>
      <c r="F11" s="158">
        <v>6.048</v>
      </c>
      <c r="G11" s="151">
        <v>8.5672949734999992</v>
      </c>
      <c r="H11" s="158">
        <v>135.82900000000001</v>
      </c>
      <c r="I11" s="151">
        <v>0.32203967220000002</v>
      </c>
      <c r="J11" s="158">
        <v>5.1820000000000004</v>
      </c>
      <c r="K11" s="158">
        <v>0.88900000000000001</v>
      </c>
      <c r="L11" s="151">
        <v>4.8290213722999997</v>
      </c>
      <c r="M11" s="158">
        <v>87.122</v>
      </c>
      <c r="N11" s="158">
        <v>18.052</v>
      </c>
      <c r="O11" s="151">
        <v>3.8261688455999998</v>
      </c>
      <c r="P11" s="158">
        <v>90.076999999999998</v>
      </c>
      <c r="Q11" s="151">
        <v>3.8010340049</v>
      </c>
      <c r="R11" s="158">
        <v>15232.726000000001</v>
      </c>
      <c r="S11" s="158">
        <v>45651.694000000003</v>
      </c>
      <c r="T11" s="151">
        <v>-0.66632725609999999</v>
      </c>
      <c r="U11" s="158">
        <v>179595.334</v>
      </c>
      <c r="V11" s="158">
        <v>364382.85</v>
      </c>
      <c r="W11" s="151">
        <v>-0.50712462459999996</v>
      </c>
      <c r="X11" s="158">
        <v>256703.22500000001</v>
      </c>
      <c r="Y11" s="151">
        <v>-0.4719550488</v>
      </c>
      <c r="Z11" s="158">
        <v>21610.752</v>
      </c>
      <c r="AA11" s="158">
        <v>24793.183000000001</v>
      </c>
      <c r="AB11" s="151">
        <v>-0.12835911389999999</v>
      </c>
      <c r="AC11" s="158">
        <v>129055.86500000001</v>
      </c>
      <c r="AD11" s="158">
        <v>176861.43100000001</v>
      </c>
      <c r="AE11" s="151">
        <v>-0.27029955449999998</v>
      </c>
      <c r="AF11" s="158">
        <v>181130.74900000001</v>
      </c>
      <c r="AG11" s="151">
        <v>-0.265395718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98396.694000000003</v>
      </c>
      <c r="AA12" s="158">
        <v>157509.02600000001</v>
      </c>
      <c r="AB12" s="151">
        <v>-0.37529488630000002</v>
      </c>
      <c r="AC12" s="158">
        <v>1028043.273</v>
      </c>
      <c r="AD12" s="158">
        <v>1664431.1040000001</v>
      </c>
      <c r="AE12" s="151">
        <v>-0.38234555310000001</v>
      </c>
      <c r="AF12" s="158">
        <v>1552622.8370000001</v>
      </c>
      <c r="AG12" s="151">
        <v>-0.32424875050000002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135308.91800000001</v>
      </c>
      <c r="S13" s="158">
        <v>37844.404999999999</v>
      </c>
      <c r="T13" s="151">
        <v>2.5754008551999998</v>
      </c>
      <c r="U13" s="158">
        <v>1926632.7690000001</v>
      </c>
      <c r="V13" s="158">
        <v>800019.21100000001</v>
      </c>
      <c r="W13" s="151">
        <v>1.4082331305</v>
      </c>
      <c r="X13" s="158">
        <v>2171805.1349999998</v>
      </c>
      <c r="Y13" s="151">
        <v>1.1851951323000001</v>
      </c>
      <c r="Z13" s="158">
        <v>297078.35399999999</v>
      </c>
      <c r="AA13" s="158">
        <v>276379.73800000001</v>
      </c>
      <c r="AB13" s="151">
        <v>7.4891944500000002E-2</v>
      </c>
      <c r="AC13" s="158">
        <v>2394846.0729999999</v>
      </c>
      <c r="AD13" s="158">
        <v>2212703.6370000001</v>
      </c>
      <c r="AE13" s="151">
        <v>8.2316688499999999E-2</v>
      </c>
      <c r="AF13" s="158">
        <v>3235659.986</v>
      </c>
      <c r="AG13" s="151">
        <v>5.7247798900000001E-2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579.92999999999995</v>
      </c>
      <c r="S14" s="158">
        <v>4589.5020000000004</v>
      </c>
      <c r="T14" s="151">
        <v>-0.87363988510000001</v>
      </c>
      <c r="U14" s="158">
        <v>3164.0569999999998</v>
      </c>
      <c r="V14" s="158">
        <v>15055.333000000001</v>
      </c>
      <c r="W14" s="151">
        <v>-0.78983812580000001</v>
      </c>
      <c r="X14" s="158">
        <v>4932.5280000000002</v>
      </c>
      <c r="Y14" s="151">
        <v>-0.67832376890000001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1911.8979999999999</v>
      </c>
      <c r="AA15" s="158">
        <v>2218.3510000000001</v>
      </c>
      <c r="AB15" s="151">
        <v>-0.1381445046</v>
      </c>
      <c r="AC15" s="158">
        <v>16303.200999999999</v>
      </c>
      <c r="AD15" s="158">
        <v>18409.688999999998</v>
      </c>
      <c r="AE15" s="151">
        <v>-0.1144227912</v>
      </c>
      <c r="AF15" s="158">
        <v>21142.23</v>
      </c>
      <c r="AG15" s="151">
        <v>2.3091925E-3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189.77500000000001</v>
      </c>
      <c r="S16" s="158">
        <v>513.73500000000001</v>
      </c>
      <c r="T16" s="151">
        <v>-0.63059748699999996</v>
      </c>
      <c r="U16" s="158">
        <v>2673.8829999999998</v>
      </c>
      <c r="V16" s="158">
        <v>4742.2349999999997</v>
      </c>
      <c r="W16" s="151">
        <v>-0.4361555258</v>
      </c>
      <c r="X16" s="158">
        <v>4016.4679999999998</v>
      </c>
      <c r="Y16" s="151">
        <v>-0.36617698389999997</v>
      </c>
      <c r="Z16" s="158">
        <v>92424.857999999993</v>
      </c>
      <c r="AA16" s="158">
        <v>100474.58900000001</v>
      </c>
      <c r="AB16" s="151">
        <v>-8.01170831E-2</v>
      </c>
      <c r="AC16" s="158">
        <v>885198.01199999999</v>
      </c>
      <c r="AD16" s="158">
        <v>855008.80799999996</v>
      </c>
      <c r="AE16" s="151">
        <v>3.5308646800000003E-2</v>
      </c>
      <c r="AF16" s="158">
        <v>1168396.5149999999</v>
      </c>
      <c r="AG16" s="151">
        <v>0.22453942130000001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0</v>
      </c>
      <c r="K17" s="158">
        <v>6.7039999999999997</v>
      </c>
      <c r="L17" s="151">
        <v>-1</v>
      </c>
      <c r="M17" s="158">
        <v>55.018999999999998</v>
      </c>
      <c r="N17" s="158">
        <v>65.293999999999997</v>
      </c>
      <c r="O17" s="151">
        <v>-0.15736514839999999</v>
      </c>
      <c r="P17" s="158">
        <v>70.097999999999999</v>
      </c>
      <c r="Q17" s="151">
        <v>-0.12542575889999999</v>
      </c>
      <c r="R17" s="158">
        <v>10525.691999999999</v>
      </c>
      <c r="S17" s="158">
        <v>10044.699000000001</v>
      </c>
      <c r="T17" s="151">
        <v>4.7885257700000003E-2</v>
      </c>
      <c r="U17" s="158">
        <v>95167.116999999998</v>
      </c>
      <c r="V17" s="158">
        <v>99684.180999999997</v>
      </c>
      <c r="W17" s="151">
        <v>-4.5313749399999999E-2</v>
      </c>
      <c r="X17" s="158">
        <v>116474.891</v>
      </c>
      <c r="Y17" s="151">
        <v>-3.3680579500000002E-2</v>
      </c>
      <c r="Z17" s="158">
        <v>20864.343000000001</v>
      </c>
      <c r="AA17" s="158">
        <v>23467.741999999998</v>
      </c>
      <c r="AB17" s="151">
        <v>-0.1109352148</v>
      </c>
      <c r="AC17" s="158">
        <v>206627.46</v>
      </c>
      <c r="AD17" s="158">
        <v>222395.666</v>
      </c>
      <c r="AE17" s="151">
        <v>-7.0901588500000001E-2</v>
      </c>
      <c r="AF17" s="158">
        <v>263011.28600000002</v>
      </c>
      <c r="AG17" s="151">
        <v>-4.9846394600000003E-2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2.81</v>
      </c>
      <c r="S18" s="158">
        <v>12.656000000000001</v>
      </c>
      <c r="T18" s="151">
        <v>-0.77797092290000003</v>
      </c>
      <c r="U18" s="158">
        <v>493.52100000000002</v>
      </c>
      <c r="V18" s="158">
        <v>766.10199999999998</v>
      </c>
      <c r="W18" s="151">
        <v>-0.35580249110000001</v>
      </c>
      <c r="X18" s="158">
        <v>866.78599999999994</v>
      </c>
      <c r="Y18" s="151">
        <v>-0.15572326210000001</v>
      </c>
      <c r="Z18" s="158">
        <v>649.58000000000004</v>
      </c>
      <c r="AA18" s="158">
        <v>436.61900000000003</v>
      </c>
      <c r="AB18" s="151">
        <v>0.48775018949999999</v>
      </c>
      <c r="AC18" s="158">
        <v>6908.8280000000004</v>
      </c>
      <c r="AD18" s="158">
        <v>7418.1350000000002</v>
      </c>
      <c r="AE18" s="151">
        <v>-6.8657014200000005E-2</v>
      </c>
      <c r="AF18" s="158">
        <v>9264.2620000000006</v>
      </c>
      <c r="AG18" s="151">
        <v>-7.1826420399999993E-2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2047.806</v>
      </c>
      <c r="S19" s="158">
        <v>2874.058</v>
      </c>
      <c r="T19" s="151">
        <v>-0.28748619549999999</v>
      </c>
      <c r="U19" s="158">
        <v>25599.156999999999</v>
      </c>
      <c r="V19" s="158">
        <v>24511.238000000001</v>
      </c>
      <c r="W19" s="151">
        <v>4.4384498199999997E-2</v>
      </c>
      <c r="X19" s="158">
        <v>35513.803999999996</v>
      </c>
      <c r="Y19" s="151">
        <v>6.0468001799999997E-2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512.95950000000005</v>
      </c>
      <c r="K20" s="158">
        <v>369.74200000000002</v>
      </c>
      <c r="L20" s="151">
        <v>0.38734441850000001</v>
      </c>
      <c r="M20" s="158">
        <v>4130.558</v>
      </c>
      <c r="N20" s="158">
        <v>4205.7790000000005</v>
      </c>
      <c r="O20" s="151">
        <v>-1.7885152800000002E-2</v>
      </c>
      <c r="P20" s="158">
        <v>5321.7775000000001</v>
      </c>
      <c r="Q20" s="151">
        <v>2.8792052999999998E-3</v>
      </c>
      <c r="R20" s="158">
        <v>14376.298000000001</v>
      </c>
      <c r="S20" s="158">
        <v>13691.565000000001</v>
      </c>
      <c r="T20" s="151">
        <v>5.0011302600000002E-2</v>
      </c>
      <c r="U20" s="158">
        <v>86345.074999999997</v>
      </c>
      <c r="V20" s="158">
        <v>108085.88250000001</v>
      </c>
      <c r="W20" s="151">
        <v>-0.20114382189999999</v>
      </c>
      <c r="X20" s="158">
        <v>123722.4535</v>
      </c>
      <c r="Y20" s="151">
        <v>-0.12958467639999999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512.95950000000005</v>
      </c>
      <c r="K21" s="158">
        <v>369.74200000000002</v>
      </c>
      <c r="L21" s="151">
        <v>0.38734441850000001</v>
      </c>
      <c r="M21" s="158">
        <v>4130.558</v>
      </c>
      <c r="N21" s="158">
        <v>4205.7790000000005</v>
      </c>
      <c r="O21" s="151">
        <v>-1.7885152800000002E-2</v>
      </c>
      <c r="P21" s="158">
        <v>5321.7775000000001</v>
      </c>
      <c r="Q21" s="151">
        <v>2.8792052999999998E-3</v>
      </c>
      <c r="R21" s="158">
        <v>14376.298000000001</v>
      </c>
      <c r="S21" s="158">
        <v>13691.565000000001</v>
      </c>
      <c r="T21" s="151">
        <v>5.0011302600000002E-2</v>
      </c>
      <c r="U21" s="158">
        <v>86345.074999999997</v>
      </c>
      <c r="V21" s="158">
        <v>108085.88250000001</v>
      </c>
      <c r="W21" s="151">
        <v>-0.20114382189999999</v>
      </c>
      <c r="X21" s="158">
        <v>123722.4535</v>
      </c>
      <c r="Y21" s="151">
        <v>-0.12958467639999999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16830.054</v>
      </c>
      <c r="C22" s="159">
        <v>17603.892</v>
      </c>
      <c r="D22" s="152">
        <v>-4.39583474E-2</v>
      </c>
      <c r="E22" s="159">
        <v>150255.66899999999</v>
      </c>
      <c r="F22" s="159">
        <v>153510.538</v>
      </c>
      <c r="G22" s="152">
        <v>-2.1202902700000002E-2</v>
      </c>
      <c r="H22" s="159">
        <v>202793.37100000001</v>
      </c>
      <c r="I22" s="152">
        <v>-1.5779119800000001E-2</v>
      </c>
      <c r="J22" s="159">
        <v>18787.065999999999</v>
      </c>
      <c r="K22" s="159">
        <v>18638.026000000002</v>
      </c>
      <c r="L22" s="152">
        <v>7.9965550000000007E-3</v>
      </c>
      <c r="M22" s="159">
        <v>158649.23800000001</v>
      </c>
      <c r="N22" s="159">
        <v>160431.53</v>
      </c>
      <c r="O22" s="152">
        <v>-1.1109362399999999E-2</v>
      </c>
      <c r="P22" s="159">
        <v>209122.33300000001</v>
      </c>
      <c r="Q22" s="152">
        <v>-1.4140900099999999E-2</v>
      </c>
      <c r="R22" s="159">
        <v>287169.94300000003</v>
      </c>
      <c r="S22" s="159">
        <v>419423.571</v>
      </c>
      <c r="T22" s="152">
        <v>-0.31532235460000002</v>
      </c>
      <c r="U22" s="159">
        <v>2686077.6340000001</v>
      </c>
      <c r="V22" s="159">
        <v>3444019.2629999998</v>
      </c>
      <c r="W22" s="152">
        <v>-0.2200747357</v>
      </c>
      <c r="X22" s="159">
        <v>3662311.9079999998</v>
      </c>
      <c r="Y22" s="152">
        <v>-0.1805484859</v>
      </c>
      <c r="Z22" s="159">
        <v>684383.76500000001</v>
      </c>
      <c r="AA22" s="159">
        <v>752601.81700000004</v>
      </c>
      <c r="AB22" s="152">
        <v>-9.06429542E-2</v>
      </c>
      <c r="AC22" s="159">
        <v>5952824.8849999998</v>
      </c>
      <c r="AD22" s="159">
        <v>6619183.5029999996</v>
      </c>
      <c r="AE22" s="152">
        <v>-0.100670818</v>
      </c>
      <c r="AF22" s="159">
        <v>8208569.2359999996</v>
      </c>
      <c r="AG22" s="152">
        <v>-7.3598731099999995E-2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116274.961</v>
      </c>
      <c r="S23" s="158">
        <v>153197.266</v>
      </c>
      <c r="T23" s="151">
        <v>-0.2410115139</v>
      </c>
      <c r="U23" s="158">
        <v>1086004.8</v>
      </c>
      <c r="V23" s="158">
        <v>1346163.84</v>
      </c>
      <c r="W23" s="151">
        <v>-0.1932595664</v>
      </c>
      <c r="X23" s="158">
        <v>1434681.4820000001</v>
      </c>
      <c r="Y23" s="151">
        <v>-0.1121005014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16830.054</v>
      </c>
      <c r="C24" s="159">
        <v>17603.892</v>
      </c>
      <c r="D24" s="152">
        <v>-4.39583474E-2</v>
      </c>
      <c r="E24" s="159">
        <v>150255.66899999999</v>
      </c>
      <c r="F24" s="159">
        <v>153510.538</v>
      </c>
      <c r="G24" s="152">
        <v>-2.1202902700000002E-2</v>
      </c>
      <c r="H24" s="159">
        <v>202793.37100000001</v>
      </c>
      <c r="I24" s="152">
        <v>-1.5779119800000001E-2</v>
      </c>
      <c r="J24" s="159">
        <v>18787.065999999999</v>
      </c>
      <c r="K24" s="159">
        <v>18638.026000000002</v>
      </c>
      <c r="L24" s="152">
        <v>7.9965550000000007E-3</v>
      </c>
      <c r="M24" s="159">
        <v>158649.23800000001</v>
      </c>
      <c r="N24" s="159">
        <v>160431.53</v>
      </c>
      <c r="O24" s="152">
        <v>-1.1109362399999999E-2</v>
      </c>
      <c r="P24" s="159">
        <v>209122.33300000001</v>
      </c>
      <c r="Q24" s="152">
        <v>-1.4140900099999999E-2</v>
      </c>
      <c r="R24" s="159">
        <v>403444.90399999998</v>
      </c>
      <c r="S24" s="159">
        <v>572620.83700000006</v>
      </c>
      <c r="T24" s="152">
        <v>-0.29544145459999999</v>
      </c>
      <c r="U24" s="159">
        <v>3772082.4339999999</v>
      </c>
      <c r="V24" s="159">
        <v>4790183.1030000001</v>
      </c>
      <c r="W24" s="152">
        <v>-0.21253898800000001</v>
      </c>
      <c r="X24" s="159">
        <v>5096993.3899999997</v>
      </c>
      <c r="Y24" s="152">
        <v>-0.16237287540000001</v>
      </c>
      <c r="Z24" s="159">
        <v>684383.76500000001</v>
      </c>
      <c r="AA24" s="159">
        <v>752601.81700000004</v>
      </c>
      <c r="AB24" s="152">
        <v>-9.06429542E-2</v>
      </c>
      <c r="AC24" s="159">
        <v>5952824.8849999998</v>
      </c>
      <c r="AD24" s="159">
        <v>6619183.5029999996</v>
      </c>
      <c r="AE24" s="152">
        <v>-0.100670818</v>
      </c>
      <c r="AF24" s="159">
        <v>8208569.2359999996</v>
      </c>
      <c r="AG24" s="152">
        <v>-7.3598731099999995E-2</v>
      </c>
    </row>
    <row r="26" spans="1:33">
      <c r="A26" s="111" t="s">
        <v>114</v>
      </c>
      <c r="B26" s="180">
        <f>SUM(B24,J24,R24,Z24)</f>
        <v>1123445.7889999999</v>
      </c>
      <c r="C26" s="180">
        <f>SUM(C24,K24,S24,AA24)</f>
        <v>1361464.5720000002</v>
      </c>
      <c r="D26" s="181">
        <f>((B26/C26)-1)*100</f>
        <v>-17.482554294479304</v>
      </c>
      <c r="R26" s="181"/>
    </row>
    <row r="29" spans="1:33" ht="15">
      <c r="A29" s="145" t="s">
        <v>67</v>
      </c>
      <c r="B29" s="206" t="str">
        <f>A2</f>
        <v>Septiembre 2020</v>
      </c>
      <c r="C29" s="207"/>
    </row>
    <row r="30" spans="1:33" ht="15">
      <c r="A30" s="145" t="s">
        <v>69</v>
      </c>
      <c r="B30" s="221" t="s">
        <v>72</v>
      </c>
      <c r="C30" s="222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90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>
        <v>12.720000000000027</v>
      </c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439.91500000000002</v>
      </c>
    </row>
    <row r="42" spans="1:3">
      <c r="A42" s="144" t="s">
        <v>4</v>
      </c>
      <c r="B42" s="147">
        <v>81.087374999999838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91">
        <f>SUM(B33:B46)</f>
        <v>2028.8118750000003</v>
      </c>
      <c r="C47" s="179">
        <f>SUM(C33:C46)</f>
        <v>3024.0281449999993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11.888731674542271</v>
      </c>
      <c r="F52" s="114" t="s">
        <v>10</v>
      </c>
      <c r="G52" s="115">
        <f>C35</f>
        <v>495.92</v>
      </c>
      <c r="H52" s="116">
        <f>G52/$G$62*100</f>
        <v>16.399318267588413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6.8710165648059398</v>
      </c>
      <c r="F53" s="114" t="s">
        <v>9</v>
      </c>
      <c r="G53" s="115">
        <f>C36</f>
        <v>557.1400000000001</v>
      </c>
      <c r="H53" s="116">
        <f t="shared" ref="H53:H61" si="2">G53/$G$62*100</f>
        <v>18.423770325060918</v>
      </c>
    </row>
    <row r="54" spans="1:8">
      <c r="A54" s="114" t="s">
        <v>9</v>
      </c>
      <c r="B54" s="115">
        <f t="shared" si="1"/>
        <v>605.4</v>
      </c>
      <c r="C54" s="116">
        <f t="shared" si="0"/>
        <v>29.840125023913309</v>
      </c>
      <c r="F54" s="114" t="s">
        <v>8</v>
      </c>
      <c r="G54" s="115">
        <f>C37</f>
        <v>482.64</v>
      </c>
      <c r="H54" s="116">
        <f t="shared" si="2"/>
        <v>15.960168915689771</v>
      </c>
    </row>
    <row r="55" spans="1:8">
      <c r="A55" s="114" t="s">
        <v>25</v>
      </c>
      <c r="B55" s="115">
        <f>B38</f>
        <v>857.95</v>
      </c>
      <c r="C55" s="116">
        <f t="shared" si="0"/>
        <v>42.288297430238572</v>
      </c>
      <c r="F55" s="114" t="s">
        <v>25</v>
      </c>
      <c r="G55" s="115">
        <f>C38</f>
        <v>864.2</v>
      </c>
      <c r="H55" s="116">
        <f t="shared" si="2"/>
        <v>28.577776348705253</v>
      </c>
    </row>
    <row r="56" spans="1:8">
      <c r="A56" s="114" t="s">
        <v>24</v>
      </c>
      <c r="B56" s="115">
        <f>B39</f>
        <v>12.720000000000027</v>
      </c>
      <c r="C56" s="116">
        <f t="shared" si="0"/>
        <v>0.62696793905546444</v>
      </c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0.51690352019454722</v>
      </c>
      <c r="F57" s="114" t="s">
        <v>12</v>
      </c>
      <c r="G57" s="116">
        <f>C33</f>
        <v>2.02</v>
      </c>
      <c r="H57" s="116">
        <f t="shared" si="2"/>
        <v>6.6798320093016214E-2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1.8434434686064718</v>
      </c>
      <c r="F58" s="114" t="s">
        <v>6</v>
      </c>
      <c r="G58" s="115">
        <f>C40</f>
        <v>11.39</v>
      </c>
      <c r="H58" s="116">
        <f t="shared" si="2"/>
        <v>0.3766499335937894</v>
      </c>
    </row>
    <row r="59" spans="1:8">
      <c r="A59" s="114" t="s">
        <v>54</v>
      </c>
      <c r="B59" s="115">
        <f>B45</f>
        <v>37.400000000000006</v>
      </c>
      <c r="C59" s="116">
        <f t="shared" si="3"/>
        <v>1.8434434686064718</v>
      </c>
      <c r="F59" s="114" t="s">
        <v>5</v>
      </c>
      <c r="G59" s="115">
        <f>C41</f>
        <v>439.91500000000002</v>
      </c>
      <c r="H59" s="116">
        <f t="shared" si="2"/>
        <v>14.547318308771892</v>
      </c>
    </row>
    <row r="60" spans="1:8">
      <c r="A60" s="114" t="s">
        <v>5</v>
      </c>
      <c r="B60" s="115">
        <f>B41</f>
        <v>3.6374999999999909</v>
      </c>
      <c r="C60" s="116">
        <f t="shared" si="3"/>
        <v>0.1792921287982894</v>
      </c>
      <c r="F60" s="114" t="s">
        <v>4</v>
      </c>
      <c r="G60" s="115">
        <f>C42</f>
        <v>167.10714499999966</v>
      </c>
      <c r="H60" s="116">
        <f t="shared" si="2"/>
        <v>5.5259784958119056</v>
      </c>
    </row>
    <row r="61" spans="1:8">
      <c r="A61" s="114" t="s">
        <v>4</v>
      </c>
      <c r="B61" s="115">
        <f>B42</f>
        <v>81.087374999999838</v>
      </c>
      <c r="C61" s="116">
        <f t="shared" si="3"/>
        <v>3.9967912254062403</v>
      </c>
      <c r="F61" s="114" t="s">
        <v>22</v>
      </c>
      <c r="G61" s="115">
        <f>C43</f>
        <v>3.6960000000000002</v>
      </c>
      <c r="H61" s="116">
        <f t="shared" si="2"/>
        <v>0.12222108468504352</v>
      </c>
    </row>
    <row r="62" spans="1:8">
      <c r="A62" s="114" t="s">
        <v>22</v>
      </c>
      <c r="B62" s="115">
        <f>B43</f>
        <v>2.13</v>
      </c>
      <c r="C62" s="116">
        <f t="shared" si="3"/>
        <v>0.10498755583240066</v>
      </c>
      <c r="F62" s="117" t="s">
        <v>20</v>
      </c>
      <c r="G62" s="118">
        <f>SUM(G52:G61)</f>
        <v>3024.0281449999998</v>
      </c>
      <c r="H62" s="119">
        <f>SUM(H52:H61)</f>
        <v>100</v>
      </c>
    </row>
    <row r="63" spans="1:8">
      <c r="A63" s="117" t="s">
        <v>20</v>
      </c>
      <c r="B63" s="118">
        <f>SUM(B52:B62)</f>
        <v>2028.8118750000003</v>
      </c>
      <c r="C63" s="119">
        <f>SUM(C52:C62)</f>
        <v>99.999999999999957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 t="b">
        <f>IF(R9&lt;0,0)</f>
        <v>0</v>
      </c>
      <c r="D68" s="183">
        <f>(C68/SUM($C$68:$C$78))*100</f>
        <v>0</v>
      </c>
      <c r="F68" s="114" t="s">
        <v>10</v>
      </c>
      <c r="G68" s="116">
        <f>Z10/Z$24*100</f>
        <v>22.086385260760828</v>
      </c>
    </row>
    <row r="69" spans="1:7">
      <c r="A69" s="114" t="s">
        <v>10</v>
      </c>
      <c r="B69" s="116">
        <f t="shared" ref="B69:B79" si="4">C69/$C$80*100</f>
        <v>7.739636946979636</v>
      </c>
      <c r="C69" s="115">
        <f>R10</f>
        <v>25914.613000000001</v>
      </c>
      <c r="D69" s="183">
        <f t="shared" ref="D69:D78" si="5">(C69/SUM($C$68:$C$78))*100</f>
        <v>11.857257390004758</v>
      </c>
      <c r="F69" s="114" t="s">
        <v>9</v>
      </c>
      <c r="G69" s="116">
        <f>Z11/Z$24*100</f>
        <v>3.1576950104887427</v>
      </c>
    </row>
    <row r="70" spans="1:7">
      <c r="A70" s="114" t="s">
        <v>9</v>
      </c>
      <c r="B70" s="116">
        <f t="shared" si="4"/>
        <v>4.5493933848372468</v>
      </c>
      <c r="C70" s="115">
        <f>R11</f>
        <v>15232.726000000001</v>
      </c>
      <c r="D70" s="183">
        <f t="shared" si="5"/>
        <v>6.9697491887460412</v>
      </c>
      <c r="F70" s="114" t="s">
        <v>8</v>
      </c>
      <c r="G70" s="116">
        <f>Z12/Z$24*100</f>
        <v>14.377414987335356</v>
      </c>
    </row>
    <row r="71" spans="1:7">
      <c r="A71" s="114" t="s">
        <v>25</v>
      </c>
      <c r="B71" s="116">
        <f t="shared" si="4"/>
        <v>40.411249861560265</v>
      </c>
      <c r="C71" s="115">
        <f>R13</f>
        <v>135308.91800000001</v>
      </c>
      <c r="D71" s="183">
        <f>(C71/SUM($C$68:$C$78))*100</f>
        <v>61.910732291817283</v>
      </c>
      <c r="F71" s="114" t="s">
        <v>25</v>
      </c>
      <c r="G71" s="116">
        <f>Z13/Z$24*100</f>
        <v>43.408153318774296</v>
      </c>
    </row>
    <row r="72" spans="1:7">
      <c r="A72" s="114" t="s">
        <v>24</v>
      </c>
      <c r="B72" s="116">
        <f t="shared" si="4"/>
        <v>0.17320141553577897</v>
      </c>
      <c r="C72" s="115">
        <f>R14</f>
        <v>579.92999999999995</v>
      </c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0.61159605114869287</v>
      </c>
      <c r="C73" s="115">
        <f>R19</f>
        <v>2047.806</v>
      </c>
      <c r="D73" s="183">
        <f t="shared" si="5"/>
        <v>0.93697570659442542</v>
      </c>
      <c r="F73" s="114" t="s">
        <v>12</v>
      </c>
      <c r="G73" s="116">
        <f>Z8/Z$24*100</f>
        <v>4.2615125447927595E-2</v>
      </c>
    </row>
    <row r="74" spans="1:7">
      <c r="A74" s="114" t="s">
        <v>55</v>
      </c>
      <c r="B74" s="116">
        <f t="shared" si="4"/>
        <v>4.2936133046474376</v>
      </c>
      <c r="C74" s="115">
        <f>R21</f>
        <v>14376.298000000001</v>
      </c>
      <c r="D74" s="183">
        <f t="shared" si="5"/>
        <v>6.5778896910947751</v>
      </c>
      <c r="F74" s="114" t="s">
        <v>6</v>
      </c>
      <c r="G74" s="116">
        <f>Z15/Z$24*100</f>
        <v>0.27936051346863844</v>
      </c>
    </row>
    <row r="75" spans="1:7">
      <c r="A75" s="114" t="s">
        <v>54</v>
      </c>
      <c r="B75" s="116">
        <f t="shared" si="4"/>
        <v>4.2936133046474376</v>
      </c>
      <c r="C75" s="115">
        <f>R20</f>
        <v>14376.298000000001</v>
      </c>
      <c r="D75" s="183">
        <f t="shared" si="5"/>
        <v>6.5778896910947751</v>
      </c>
      <c r="F75" s="114" t="s">
        <v>5</v>
      </c>
      <c r="G75" s="116">
        <f>Z16/Z$24*100</f>
        <v>13.504829121713605</v>
      </c>
    </row>
    <row r="76" spans="1:7">
      <c r="A76" s="114" t="s">
        <v>5</v>
      </c>
      <c r="B76" s="116">
        <f t="shared" si="4"/>
        <v>5.6678044993882806E-2</v>
      </c>
      <c r="C76" s="115">
        <f>R16</f>
        <v>189.77500000000001</v>
      </c>
      <c r="D76" s="183">
        <f t="shared" si="5"/>
        <v>8.6831743201727651E-2</v>
      </c>
      <c r="F76" s="114" t="s">
        <v>4</v>
      </c>
      <c r="G76" s="116">
        <f>Z17/Z$24*100</f>
        <v>3.0486320785239549</v>
      </c>
    </row>
    <row r="77" spans="1:7">
      <c r="A77" s="114" t="s">
        <v>4</v>
      </c>
      <c r="B77" s="116">
        <f t="shared" si="4"/>
        <v>3.1435944922553145</v>
      </c>
      <c r="C77" s="115">
        <f>R17</f>
        <v>10525.691999999999</v>
      </c>
      <c r="D77" s="183">
        <f t="shared" si="5"/>
        <v>4.8160410210221531</v>
      </c>
      <c r="F77" s="114" t="s">
        <v>22</v>
      </c>
      <c r="G77" s="116">
        <f>Z18/Z$24*100</f>
        <v>9.4914583486649481E-2</v>
      </c>
    </row>
    <row r="78" spans="1:7">
      <c r="A78" s="114" t="s">
        <v>22</v>
      </c>
      <c r="B78" s="116">
        <f t="shared" si="4"/>
        <v>8.3923228261262393E-4</v>
      </c>
      <c r="C78" s="115">
        <f>R18</f>
        <v>2.81</v>
      </c>
      <c r="D78" s="183">
        <f t="shared" si="5"/>
        <v>1.2857183422308243E-3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 t="shared" si="4"/>
        <v>34.726583961111679</v>
      </c>
      <c r="C79" s="115">
        <f>R23</f>
        <v>116274.961</v>
      </c>
      <c r="D79" s="185"/>
    </row>
    <row r="80" spans="1:7">
      <c r="A80" s="117" t="s">
        <v>20</v>
      </c>
      <c r="B80" s="119">
        <f>SUM(B68:B79)</f>
        <v>99.999999999999972</v>
      </c>
      <c r="C80" s="118">
        <f>SUM(C68:C79)</f>
        <v>334829.82700000005</v>
      </c>
      <c r="D80" s="185"/>
    </row>
    <row r="85" spans="1:26" ht="15">
      <c r="A85" s="145"/>
      <c r="B85" s="145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/>
      <c r="Z85"/>
    </row>
    <row r="86" spans="1:26" ht="15">
      <c r="A86" s="145"/>
      <c r="B86" s="143" t="s">
        <v>67</v>
      </c>
      <c r="C86" s="187" t="s">
        <v>80</v>
      </c>
      <c r="D86" s="187" t="s">
        <v>81</v>
      </c>
      <c r="E86" s="187" t="s">
        <v>82</v>
      </c>
      <c r="F86" s="187" t="s">
        <v>83</v>
      </c>
      <c r="G86" s="187" t="s">
        <v>84</v>
      </c>
      <c r="H86" s="187" t="s">
        <v>85</v>
      </c>
      <c r="I86" s="187" t="s">
        <v>94</v>
      </c>
      <c r="J86" s="187" t="s">
        <v>97</v>
      </c>
      <c r="K86" s="187" t="s">
        <v>98</v>
      </c>
      <c r="L86" s="187" t="s">
        <v>112</v>
      </c>
      <c r="M86" s="187" t="s">
        <v>113</v>
      </c>
      <c r="N86" s="187" t="s">
        <v>115</v>
      </c>
      <c r="O86" s="187" t="s">
        <v>116</v>
      </c>
      <c r="P86" s="187" t="s">
        <v>117</v>
      </c>
      <c r="Q86" s="187" t="s">
        <v>119</v>
      </c>
      <c r="R86" s="187" t="s">
        <v>121</v>
      </c>
      <c r="S86" s="187" t="s">
        <v>122</v>
      </c>
      <c r="T86" s="187" t="s">
        <v>123</v>
      </c>
      <c r="U86" s="187" t="s">
        <v>124</v>
      </c>
      <c r="V86" s="187" t="s">
        <v>125</v>
      </c>
      <c r="W86" s="187" t="s">
        <v>126</v>
      </c>
      <c r="X86" s="187" t="s">
        <v>130</v>
      </c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/>
      <c r="Z87"/>
    </row>
    <row r="88" spans="1:26" ht="15">
      <c r="A88" s="220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-1.7178340000000001</v>
      </c>
      <c r="R88" s="147">
        <v>-1.680847</v>
      </c>
      <c r="S88" s="147">
        <v>-1.8013110000000001</v>
      </c>
      <c r="T88" s="147">
        <v>-1.2808299999999999</v>
      </c>
      <c r="U88" s="147">
        <v>-1.119569</v>
      </c>
      <c r="V88" s="147">
        <v>-1.1268309999999999</v>
      </c>
      <c r="W88" s="147">
        <v>68.615076999999999</v>
      </c>
      <c r="X88" s="147">
        <v>29.118102</v>
      </c>
      <c r="Y88"/>
      <c r="Z88"/>
    </row>
    <row r="89" spans="1:26" ht="15">
      <c r="A89" s="218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48.229475999999998</v>
      </c>
      <c r="W89" s="147">
        <v>25.914612999999999</v>
      </c>
      <c r="X89" s="147">
        <v>3.855588</v>
      </c>
      <c r="Y89"/>
      <c r="Z89"/>
    </row>
    <row r="90" spans="1:26" ht="15">
      <c r="A90" s="218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37.145944999999998</v>
      </c>
      <c r="W90" s="147">
        <v>15.232726</v>
      </c>
      <c r="X90" s="147">
        <v>1.8321210000000001</v>
      </c>
      <c r="Y90"/>
      <c r="Z90"/>
    </row>
    <row r="91" spans="1:26" ht="15">
      <c r="A91" s="218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260.88770599999998</v>
      </c>
      <c r="W91" s="147">
        <v>135.30891800000001</v>
      </c>
      <c r="X91" s="147">
        <v>27.319365000000001</v>
      </c>
      <c r="Y91"/>
      <c r="Z91"/>
    </row>
    <row r="92" spans="1:26" ht="15">
      <c r="A92" s="218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2.5841270000000001</v>
      </c>
      <c r="W92" s="147">
        <v>0.57992999999999995</v>
      </c>
      <c r="X92" s="147">
        <v>0.53400000000000003</v>
      </c>
      <c r="Y92"/>
      <c r="Z92"/>
    </row>
    <row r="93" spans="1:26" ht="15">
      <c r="A93" s="218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0.35256199999999999</v>
      </c>
      <c r="T93" s="147">
        <v>0.21834000000000001</v>
      </c>
      <c r="U93" s="147">
        <v>0.21970000000000001</v>
      </c>
      <c r="V93" s="147">
        <v>0.20693</v>
      </c>
      <c r="W93" s="147">
        <v>0.189775</v>
      </c>
      <c r="X93" s="147">
        <v>0.12453</v>
      </c>
      <c r="Y93"/>
      <c r="Z93"/>
    </row>
    <row r="94" spans="1:26" ht="15">
      <c r="A94" s="218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5.9311930000000004</v>
      </c>
      <c r="P94" s="147">
        <v>8.7361280000000008</v>
      </c>
      <c r="Q94" s="147">
        <v>9.1979059999999997</v>
      </c>
      <c r="R94" s="147">
        <v>10.819095000000001</v>
      </c>
      <c r="S94" s="147">
        <v>12.877418</v>
      </c>
      <c r="T94" s="147">
        <v>12.233309</v>
      </c>
      <c r="U94" s="147">
        <v>12.761148</v>
      </c>
      <c r="V94" s="147">
        <v>12.085228000000001</v>
      </c>
      <c r="W94" s="147">
        <v>10.525691999999999</v>
      </c>
      <c r="X94" s="147">
        <v>2.6111</v>
      </c>
      <c r="Y94"/>
      <c r="Z94"/>
    </row>
    <row r="95" spans="1:26" ht="15">
      <c r="A95" s="218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5.0747E-2</v>
      </c>
      <c r="W95" s="147">
        <v>2.81E-3</v>
      </c>
      <c r="X95" s="147">
        <v>4.5599999999999998E-3</v>
      </c>
      <c r="Y95"/>
      <c r="Z95"/>
    </row>
    <row r="96" spans="1:26" ht="15">
      <c r="A96" s="218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1.922374</v>
      </c>
      <c r="W96" s="147">
        <v>2.047806</v>
      </c>
      <c r="X96" s="147">
        <v>0.54864000000000002</v>
      </c>
      <c r="Y96"/>
      <c r="Z96"/>
    </row>
    <row r="97" spans="1:26" ht="15">
      <c r="A97" s="218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10.810641499999999</v>
      </c>
      <c r="W97" s="147">
        <v>14.376298</v>
      </c>
      <c r="X97" s="147">
        <v>1.5827</v>
      </c>
      <c r="Y97"/>
      <c r="Z97"/>
    </row>
    <row r="98" spans="1:26" ht="15">
      <c r="A98" s="218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10.810641499999999</v>
      </c>
      <c r="W98" s="147">
        <v>14.376298</v>
      </c>
      <c r="X98" s="147">
        <v>1.5827</v>
      </c>
      <c r="Y98"/>
      <c r="Z98"/>
    </row>
    <row r="99" spans="1:26" ht="15">
      <c r="A99" s="218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320.304956</v>
      </c>
      <c r="P99" s="150">
        <v>287.50736000000001</v>
      </c>
      <c r="Q99" s="150">
        <v>291.01352600000001</v>
      </c>
      <c r="R99" s="150">
        <v>241.12726000000001</v>
      </c>
      <c r="S99" s="150">
        <v>247.19760400000001</v>
      </c>
      <c r="T99" s="150">
        <v>267.55820399999999</v>
      </c>
      <c r="U99" s="150">
        <v>360.59179599999999</v>
      </c>
      <c r="V99" s="150">
        <v>383.60698500000001</v>
      </c>
      <c r="W99" s="150">
        <v>287.16994299999999</v>
      </c>
      <c r="X99" s="150">
        <v>69.113405999999998</v>
      </c>
      <c r="Y99"/>
      <c r="Z99"/>
    </row>
    <row r="100" spans="1:26" ht="15">
      <c r="A100" s="218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182.71595500000001</v>
      </c>
      <c r="W100" s="147">
        <v>116.274961</v>
      </c>
      <c r="X100" s="147">
        <v>27.823</v>
      </c>
      <c r="Y100"/>
      <c r="Z100"/>
    </row>
    <row r="101" spans="1:26" ht="15">
      <c r="A101" s="219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456.46085699999998</v>
      </c>
      <c r="P101" s="150">
        <v>403.435857</v>
      </c>
      <c r="Q101" s="150">
        <v>403.79390799999999</v>
      </c>
      <c r="R101" s="150">
        <v>321.70856600000002</v>
      </c>
      <c r="S101" s="150">
        <v>327.14412800000002</v>
      </c>
      <c r="T101" s="150">
        <v>360.84778299999999</v>
      </c>
      <c r="U101" s="150">
        <v>528.92349100000001</v>
      </c>
      <c r="V101" s="150">
        <v>566.32294000000002</v>
      </c>
      <c r="W101" s="150">
        <v>403.44490400000001</v>
      </c>
      <c r="X101" s="150">
        <v>96.936406000000005</v>
      </c>
      <c r="Y101"/>
      <c r="Z101"/>
    </row>
    <row r="102" spans="1:26" ht="15">
      <c r="A102" s="217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0.29413899999999998</v>
      </c>
      <c r="W102" s="147">
        <v>0.29165099999999999</v>
      </c>
      <c r="X102" s="147">
        <v>0</v>
      </c>
      <c r="Y102"/>
      <c r="Z102"/>
    </row>
    <row r="103" spans="1:26" ht="15">
      <c r="A103" s="218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160.701854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152.65874500000001</v>
      </c>
      <c r="W103" s="147">
        <v>151.15563499999999</v>
      </c>
      <c r="X103" s="147">
        <v>38.552300000000002</v>
      </c>
      <c r="Y103"/>
      <c r="Z103"/>
    </row>
    <row r="104" spans="1:26" ht="15">
      <c r="A104" s="218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17.289342999999999</v>
      </c>
      <c r="W104" s="147">
        <v>21.610752000000002</v>
      </c>
      <c r="X104" s="147">
        <v>6.039625</v>
      </c>
      <c r="Y104"/>
      <c r="Z104"/>
    </row>
    <row r="105" spans="1:26" ht="15">
      <c r="A105" s="218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127.712586</v>
      </c>
      <c r="W105" s="147">
        <v>98.396693999999997</v>
      </c>
      <c r="X105" s="147">
        <v>30.851434000000001</v>
      </c>
      <c r="Y105"/>
      <c r="Z105"/>
    </row>
    <row r="106" spans="1:26" ht="15">
      <c r="A106" s="218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217.204814</v>
      </c>
      <c r="W106" s="147">
        <v>297.07835399999999</v>
      </c>
      <c r="X106" s="147">
        <v>70.898166000000003</v>
      </c>
      <c r="Y106"/>
      <c r="Z106"/>
    </row>
    <row r="107" spans="1:26" ht="15">
      <c r="A107" s="218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3.5757409999999998</v>
      </c>
      <c r="W107" s="147">
        <v>1.9118980000000001</v>
      </c>
      <c r="X107" s="147">
        <v>0.50317500000000004</v>
      </c>
      <c r="Y107"/>
      <c r="Z107"/>
    </row>
    <row r="108" spans="1:26" ht="15">
      <c r="A108" s="218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60.203617000000001</v>
      </c>
      <c r="P108" s="147">
        <v>93.155392000000006</v>
      </c>
      <c r="Q108" s="147">
        <v>97.165876999999995</v>
      </c>
      <c r="R108" s="147">
        <v>54.728521000000001</v>
      </c>
      <c r="S108" s="147">
        <v>69.748904999999993</v>
      </c>
      <c r="T108" s="147">
        <v>103.362193</v>
      </c>
      <c r="U108" s="147">
        <v>148.00404900000001</v>
      </c>
      <c r="V108" s="147">
        <v>166.40459999999999</v>
      </c>
      <c r="W108" s="147">
        <v>92.424858</v>
      </c>
      <c r="X108" s="147">
        <v>27.890692000000001</v>
      </c>
      <c r="Y108"/>
      <c r="Z108"/>
    </row>
    <row r="109" spans="1:26" ht="15">
      <c r="A109" s="218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18.499157</v>
      </c>
      <c r="P109" s="147">
        <v>20.258158000000002</v>
      </c>
      <c r="Q109" s="147">
        <v>21.169239000000001</v>
      </c>
      <c r="R109" s="147">
        <v>22.608267999999999</v>
      </c>
      <c r="S109" s="147">
        <v>25.982507999999999</v>
      </c>
      <c r="T109" s="147">
        <v>23.718388000000001</v>
      </c>
      <c r="U109" s="147">
        <v>26.95336</v>
      </c>
      <c r="V109" s="147">
        <v>26.574038999999999</v>
      </c>
      <c r="W109" s="147">
        <v>20.864343000000002</v>
      </c>
      <c r="X109" s="147">
        <v>5.3710810000000002</v>
      </c>
      <c r="Y109"/>
      <c r="Z109"/>
    </row>
    <row r="110" spans="1:26" ht="15">
      <c r="A110" s="218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0.69097799999999998</v>
      </c>
      <c r="W110" s="147">
        <v>0.64958000000000005</v>
      </c>
      <c r="X110" s="147">
        <v>0</v>
      </c>
      <c r="Y110"/>
      <c r="Z110"/>
    </row>
    <row r="111" spans="1:26" ht="15">
      <c r="A111" s="218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756.966812</v>
      </c>
      <c r="P111" s="150">
        <v>705.86513500000001</v>
      </c>
      <c r="Q111" s="150">
        <v>682.17468799999995</v>
      </c>
      <c r="R111" s="150">
        <v>548.44070199999999</v>
      </c>
      <c r="S111" s="150">
        <v>581.05423900000005</v>
      </c>
      <c r="T111" s="150">
        <v>602.66584799999998</v>
      </c>
      <c r="U111" s="150">
        <v>678.86871099999996</v>
      </c>
      <c r="V111" s="150">
        <v>712.40498500000001</v>
      </c>
      <c r="W111" s="150">
        <v>684.38376500000004</v>
      </c>
      <c r="X111" s="150">
        <v>180.10647299999999</v>
      </c>
      <c r="Y111"/>
      <c r="Z111"/>
    </row>
    <row r="112" spans="1:26" ht="15">
      <c r="A112" s="219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756.966812</v>
      </c>
      <c r="P112" s="150">
        <v>705.86513500000001</v>
      </c>
      <c r="Q112" s="150">
        <v>682.17468799999995</v>
      </c>
      <c r="R112" s="150">
        <v>548.44070199999999</v>
      </c>
      <c r="S112" s="150">
        <v>581.05423900000005</v>
      </c>
      <c r="T112" s="150">
        <v>602.66584799999998</v>
      </c>
      <c r="U112" s="150">
        <v>678.86871099999996</v>
      </c>
      <c r="V112" s="150">
        <v>712.40498500000001</v>
      </c>
      <c r="W112" s="150">
        <v>684.38376500000004</v>
      </c>
      <c r="X112" s="150">
        <v>180.10647299999999</v>
      </c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5" t="s">
        <v>73</v>
      </c>
      <c r="C117" s="120" t="str">
        <f>TEXT(EDATE(D117,-1),"mmmm aaaa")</f>
        <v>septiembre 2019</v>
      </c>
      <c r="D117" s="120" t="str">
        <f t="shared" ref="D117:M117" si="6">TEXT(EDATE(E117,-1),"mmmm aaaa")</f>
        <v>octubre 2019</v>
      </c>
      <c r="E117" s="120" t="str">
        <f t="shared" si="6"/>
        <v>noviembre 2019</v>
      </c>
      <c r="F117" s="120" t="str">
        <f t="shared" si="6"/>
        <v>diciembre 2019</v>
      </c>
      <c r="G117" s="120" t="str">
        <f t="shared" si="6"/>
        <v>enero 2020</v>
      </c>
      <c r="H117" s="120" t="str">
        <f t="shared" si="6"/>
        <v>febrero 2020</v>
      </c>
      <c r="I117" s="120" t="str">
        <f t="shared" si="6"/>
        <v>marzo 2020</v>
      </c>
      <c r="J117" s="120" t="str">
        <f t="shared" si="6"/>
        <v>abril 2020</v>
      </c>
      <c r="K117" s="120" t="str">
        <f t="shared" si="6"/>
        <v>mayo 2020</v>
      </c>
      <c r="L117" s="120" t="str">
        <f t="shared" si="6"/>
        <v>junio 2020</v>
      </c>
      <c r="M117" s="120" t="str">
        <f t="shared" si="6"/>
        <v>julio 2020</v>
      </c>
      <c r="N117" s="120" t="str">
        <f>TEXT(EDATE(O117,-1),"mmmm aaaa")</f>
        <v>agosto 2020</v>
      </c>
      <c r="O117" s="121" t="str">
        <f>A2</f>
        <v>Septiembre 2020</v>
      </c>
    </row>
    <row r="118" spans="1:19">
      <c r="B118" s="216"/>
      <c r="C118" s="131" t="str">
        <f>TEXT(EDATE($A$2,-12),"mmm")&amp;".-"&amp;TEXT(EDATE($A$2,-12),"aa")</f>
        <v>sep.-19</v>
      </c>
      <c r="D118" s="131" t="str">
        <f>TEXT(EDATE($A$2,-11),"mmm")&amp;".-"&amp;TEXT(EDATE($A$2,-11),"aa")</f>
        <v>oct.-19</v>
      </c>
      <c r="E118" s="131" t="str">
        <f>TEXT(EDATE($A$2,-10),"mmm")&amp;".-"&amp;TEXT(EDATE($A$2,-10),"aa")</f>
        <v>nov.-19</v>
      </c>
      <c r="F118" s="131" t="str">
        <f>TEXT(EDATE($A$2,-9),"mmm")&amp;".-"&amp;TEXT(EDATE($A$2,-9),"aa")</f>
        <v>dic.-19</v>
      </c>
      <c r="G118" s="131" t="str">
        <f>TEXT(EDATE($A$2,-8),"mmm")&amp;".-"&amp;TEXT(EDATE($A$2,-8),"aa")</f>
        <v>ene.-20</v>
      </c>
      <c r="H118" s="131" t="str">
        <f>TEXT(EDATE($A$2,-7),"mmm")&amp;".-"&amp;TEXT(EDATE($A$2,-7),"aa")</f>
        <v>feb.-20</v>
      </c>
      <c r="I118" s="131" t="str">
        <f>TEXT(EDATE($A$2,-6),"mmm")&amp;".-"&amp;TEXT(EDATE($A$2,-6),"aa")</f>
        <v>mar.-20</v>
      </c>
      <c r="J118" s="131" t="str">
        <f>TEXT(EDATE($A$2,-5),"mmm")&amp;".-"&amp;TEXT(EDATE($A$2,-5),"aa")</f>
        <v>abr.-20</v>
      </c>
      <c r="K118" s="131" t="str">
        <f>TEXT(EDATE($A$2,-4),"mmm")&amp;".-"&amp;TEXT(EDATE($A$2,-4),"aa")</f>
        <v>may.-20</v>
      </c>
      <c r="L118" s="131" t="str">
        <f>TEXT(EDATE($A$2,-3),"mmm")&amp;".-"&amp;TEXT(EDATE($A$2,-3),"aa")</f>
        <v>jun.-20</v>
      </c>
      <c r="M118" s="131" t="str">
        <f>TEXT(EDATE($A$2,-2),"mmm")&amp;".-"&amp;TEXT(EDATE($A$2,-2),"aa")</f>
        <v>jul.-20</v>
      </c>
      <c r="N118" s="131" t="str">
        <f>TEXT(EDATE($A$2,-1),"mmm")&amp;".-"&amp;TEXT(EDATE($A$2,-1),"aa")</f>
        <v>ago.-20</v>
      </c>
      <c r="O118" s="160" t="str">
        <f>TEXT($A$2,"mmm")&amp;".-"&amp;TEXT($A$2,"aa")</f>
        <v>sep.-20</v>
      </c>
    </row>
    <row r="119" spans="1:19">
      <c r="A119" s="212" t="s">
        <v>76</v>
      </c>
      <c r="B119" s="132" t="s">
        <v>11</v>
      </c>
      <c r="C119" s="133">
        <f>HLOOKUP(C$117,$86:$101,3,FALSE)</f>
        <v>239.89604299999999</v>
      </c>
      <c r="D119" s="133">
        <f t="shared" ref="D119:N119" si="7">HLOOKUP(D$117,$86:$101,3,FALSE)</f>
        <v>190.859296</v>
      </c>
      <c r="E119" s="133">
        <f t="shared" si="7"/>
        <v>128.513947</v>
      </c>
      <c r="F119" s="133">
        <f t="shared" si="7"/>
        <v>137.71730099999999</v>
      </c>
      <c r="G119" s="133">
        <f t="shared" si="7"/>
        <v>-3.1773479999999998</v>
      </c>
      <c r="H119" s="133">
        <f t="shared" si="7"/>
        <v>-1.357415</v>
      </c>
      <c r="I119" s="133">
        <f t="shared" si="7"/>
        <v>-1.7178340000000001</v>
      </c>
      <c r="J119" s="133">
        <f t="shared" si="7"/>
        <v>-1.680847</v>
      </c>
      <c r="K119" s="133">
        <f t="shared" si="7"/>
        <v>-1.8013110000000001</v>
      </c>
      <c r="L119" s="133">
        <f t="shared" si="7"/>
        <v>-1.2808299999999999</v>
      </c>
      <c r="M119" s="133">
        <f t="shared" si="7"/>
        <v>-1.119569</v>
      </c>
      <c r="N119" s="133">
        <f t="shared" si="7"/>
        <v>-1.1268309999999999</v>
      </c>
      <c r="O119" s="134">
        <f>HLOOKUP(O$117,$86:$101,3,FALSE)</f>
        <v>68.615076999999999</v>
      </c>
    </row>
    <row r="120" spans="1:19">
      <c r="A120" s="213"/>
      <c r="B120" s="122" t="s">
        <v>10</v>
      </c>
      <c r="C120" s="116">
        <f>HLOOKUP(C$117,$86:$101,4,FALSE)</f>
        <v>50.613649000000002</v>
      </c>
      <c r="D120" s="116">
        <f t="shared" ref="D120:O120" si="8">HLOOKUP(D$117,$86:$101,4,FALSE)</f>
        <v>40.788257999999999</v>
      </c>
      <c r="E120" s="116">
        <f t="shared" si="8"/>
        <v>27.174427999999999</v>
      </c>
      <c r="F120" s="116">
        <f t="shared" si="8"/>
        <v>19.439288000000001</v>
      </c>
      <c r="G120" s="116">
        <f t="shared" si="8"/>
        <v>25.163323999999999</v>
      </c>
      <c r="H120" s="116">
        <f t="shared" si="8"/>
        <v>20.211247</v>
      </c>
      <c r="I120" s="116">
        <f t="shared" si="8"/>
        <v>15.845757000000001</v>
      </c>
      <c r="J120" s="116">
        <f t="shared" si="8"/>
        <v>18.686546</v>
      </c>
      <c r="K120" s="116">
        <f t="shared" si="8"/>
        <v>20.180289999999999</v>
      </c>
      <c r="L120" s="116">
        <f t="shared" si="8"/>
        <v>17.902134</v>
      </c>
      <c r="M120" s="116">
        <f t="shared" si="8"/>
        <v>32.575167</v>
      </c>
      <c r="N120" s="116">
        <f t="shared" si="8"/>
        <v>48.229475999999998</v>
      </c>
      <c r="O120" s="134">
        <f t="shared" si="8"/>
        <v>25.914612999999999</v>
      </c>
    </row>
    <row r="121" spans="1:19">
      <c r="A121" s="213"/>
      <c r="B121" s="122" t="s">
        <v>9</v>
      </c>
      <c r="C121" s="116">
        <f>HLOOKUP(C$117,$86:$101,5,FALSE)</f>
        <v>45.651693999999999</v>
      </c>
      <c r="D121" s="116">
        <f t="shared" ref="D121:O121" si="9">HLOOKUP(D$117,$86:$101,5,FALSE)</f>
        <v>27.936012999999999</v>
      </c>
      <c r="E121" s="116">
        <f t="shared" si="9"/>
        <v>28.760522000000002</v>
      </c>
      <c r="F121" s="116">
        <f t="shared" si="9"/>
        <v>20.411356000000001</v>
      </c>
      <c r="G121" s="116">
        <f t="shared" si="9"/>
        <v>21.825088000000001</v>
      </c>
      <c r="H121" s="116">
        <f t="shared" si="9"/>
        <v>17.386634999999998</v>
      </c>
      <c r="I121" s="116">
        <f t="shared" si="9"/>
        <v>18.899491999999999</v>
      </c>
      <c r="J121" s="116">
        <f t="shared" si="9"/>
        <v>9.9217499999999994</v>
      </c>
      <c r="K121" s="116">
        <f t="shared" si="9"/>
        <v>9.5129249999999992</v>
      </c>
      <c r="L121" s="116">
        <f t="shared" si="9"/>
        <v>15.970385</v>
      </c>
      <c r="M121" s="116">
        <f t="shared" si="9"/>
        <v>33.700387999999997</v>
      </c>
      <c r="N121" s="116">
        <f t="shared" si="9"/>
        <v>37.145944999999998</v>
      </c>
      <c r="O121" s="134">
        <f t="shared" si="9"/>
        <v>15.232726</v>
      </c>
    </row>
    <row r="122" spans="1:19" ht="14.25">
      <c r="A122" s="213"/>
      <c r="B122" s="122" t="s">
        <v>74</v>
      </c>
      <c r="C122" s="116">
        <f>HLOOKUP(C$117,$86:$101,6,FALSE)</f>
        <v>37.844405000000002</v>
      </c>
      <c r="D122" s="116">
        <f t="shared" ref="D122:O122" si="10">HLOOKUP(D$117,$86:$101,6,FALSE)</f>
        <v>49.054825999999998</v>
      </c>
      <c r="E122" s="116">
        <f t="shared" si="10"/>
        <v>98.891853999999995</v>
      </c>
      <c r="F122" s="116">
        <f t="shared" si="10"/>
        <v>97.225685999999996</v>
      </c>
      <c r="G122" s="116">
        <f t="shared" si="10"/>
        <v>247.42845600000001</v>
      </c>
      <c r="H122" s="116">
        <f t="shared" si="10"/>
        <v>226.17381</v>
      </c>
      <c r="I122" s="116">
        <f t="shared" si="10"/>
        <v>223.68889899999999</v>
      </c>
      <c r="J122" s="116">
        <f t="shared" si="10"/>
        <v>190.73178300000001</v>
      </c>
      <c r="K122" s="116">
        <f t="shared" si="10"/>
        <v>192.66073600000001</v>
      </c>
      <c r="L122" s="116">
        <f t="shared" si="10"/>
        <v>191.22599500000001</v>
      </c>
      <c r="M122" s="116">
        <f t="shared" si="10"/>
        <v>258.52646600000003</v>
      </c>
      <c r="N122" s="116">
        <f t="shared" si="10"/>
        <v>260.88770599999998</v>
      </c>
      <c r="O122" s="134">
        <f t="shared" si="10"/>
        <v>135.30891800000001</v>
      </c>
    </row>
    <row r="123" spans="1:19">
      <c r="A123" s="213"/>
      <c r="B123" s="122" t="s">
        <v>24</v>
      </c>
      <c r="C123" s="116">
        <f>HLOOKUP(C$117,$86:$101,7,FALSE)</f>
        <v>4.5895020000000004</v>
      </c>
      <c r="D123" s="116">
        <f t="shared" ref="D123:O123" si="11">HLOOKUP(D$117,$86:$101,7,FALSE)</f>
        <v>1.7684709999999999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2.5841270000000001</v>
      </c>
      <c r="O123" s="134">
        <f t="shared" si="11"/>
        <v>0.57992999999999995</v>
      </c>
    </row>
    <row r="124" spans="1:19">
      <c r="A124" s="213"/>
      <c r="B124" s="122" t="s">
        <v>5</v>
      </c>
      <c r="C124" s="116">
        <f>HLOOKUP(C$117,$86:$102,8,FALSE)</f>
        <v>0.51373500000000005</v>
      </c>
      <c r="D124" s="116">
        <f t="shared" ref="D124:O124" si="12">HLOOKUP(D$117,$86:$102,8,FALSE)</f>
        <v>0.402117</v>
      </c>
      <c r="E124" s="116">
        <f t="shared" si="12"/>
        <v>0.49518299999999998</v>
      </c>
      <c r="F124" s="116">
        <f t="shared" si="12"/>
        <v>0.44528499999999999</v>
      </c>
      <c r="G124" s="116">
        <f t="shared" si="12"/>
        <v>0.37082599999999999</v>
      </c>
      <c r="H124" s="116">
        <f t="shared" si="12"/>
        <v>0.33927600000000002</v>
      </c>
      <c r="I124" s="116">
        <f t="shared" si="12"/>
        <v>0.53315400000000002</v>
      </c>
      <c r="J124" s="116">
        <f t="shared" si="12"/>
        <v>0.24332000000000001</v>
      </c>
      <c r="K124" s="116">
        <f t="shared" si="12"/>
        <v>0.35256199999999999</v>
      </c>
      <c r="L124" s="116">
        <f t="shared" si="12"/>
        <v>0.21834000000000001</v>
      </c>
      <c r="M124" s="116">
        <f t="shared" si="12"/>
        <v>0.21970000000000001</v>
      </c>
      <c r="N124" s="116">
        <f t="shared" si="12"/>
        <v>0.20693</v>
      </c>
      <c r="O124" s="134">
        <f t="shared" si="12"/>
        <v>0.189775</v>
      </c>
    </row>
    <row r="125" spans="1:19">
      <c r="A125" s="213"/>
      <c r="B125" s="122" t="s">
        <v>4</v>
      </c>
      <c r="C125" s="116">
        <f>HLOOKUP(C$117,$86:$102,9,FALSE)</f>
        <v>10.044699</v>
      </c>
      <c r="D125" s="116">
        <f t="shared" ref="D125:O125" si="13">HLOOKUP(D$117,$86:$102,9,FALSE)</f>
        <v>9.1120260000000002</v>
      </c>
      <c r="E125" s="116">
        <f t="shared" si="13"/>
        <v>6.2902100000000001</v>
      </c>
      <c r="F125" s="116">
        <f t="shared" si="13"/>
        <v>5.905538</v>
      </c>
      <c r="G125" s="116">
        <f t="shared" si="13"/>
        <v>5.9311930000000004</v>
      </c>
      <c r="H125" s="116">
        <f t="shared" si="13"/>
        <v>8.7361280000000008</v>
      </c>
      <c r="I125" s="116">
        <f t="shared" si="13"/>
        <v>9.1979059999999997</v>
      </c>
      <c r="J125" s="116">
        <f t="shared" si="13"/>
        <v>10.819095000000001</v>
      </c>
      <c r="K125" s="116">
        <f t="shared" si="13"/>
        <v>12.877418</v>
      </c>
      <c r="L125" s="116">
        <f t="shared" si="13"/>
        <v>12.233309</v>
      </c>
      <c r="M125" s="116">
        <f t="shared" si="13"/>
        <v>12.761148</v>
      </c>
      <c r="N125" s="116">
        <f t="shared" si="13"/>
        <v>12.085228000000001</v>
      </c>
      <c r="O125" s="134">
        <f t="shared" si="13"/>
        <v>10.525691999999999</v>
      </c>
    </row>
    <row r="126" spans="1:19">
      <c r="A126" s="213"/>
      <c r="B126" s="123" t="s">
        <v>22</v>
      </c>
      <c r="C126" s="116">
        <f>HLOOKUP(C$117,$86:$102,10,FALSE)</f>
        <v>1.2656000000000001E-2</v>
      </c>
      <c r="D126" s="116">
        <f t="shared" ref="D126:O126" si="14">HLOOKUP(D$117,$86:$102,10,FALSE)</f>
        <v>9.9426E-2</v>
      </c>
      <c r="E126" s="116">
        <f t="shared" si="14"/>
        <v>9.2591999999999994E-2</v>
      </c>
      <c r="F126" s="116">
        <f t="shared" si="14"/>
        <v>0.18124699999999999</v>
      </c>
      <c r="G126" s="116">
        <f t="shared" si="14"/>
        <v>0.20147399999999999</v>
      </c>
      <c r="H126" s="116">
        <f t="shared" si="14"/>
        <v>8.1622E-2</v>
      </c>
      <c r="I126" s="116">
        <f t="shared" si="14"/>
        <v>2.6786999999999998E-2</v>
      </c>
      <c r="J126" s="116">
        <f t="shared" si="14"/>
        <v>1.5415999999999999E-2</v>
      </c>
      <c r="K126" s="116">
        <f t="shared" si="14"/>
        <v>2.3830000000000001E-3</v>
      </c>
      <c r="L126" s="116">
        <f t="shared" si="14"/>
        <v>5.9750999999999999E-2</v>
      </c>
      <c r="M126" s="116">
        <f t="shared" si="14"/>
        <v>5.2531000000000001E-2</v>
      </c>
      <c r="N126" s="116">
        <f t="shared" si="14"/>
        <v>5.0747E-2</v>
      </c>
      <c r="O126" s="134">
        <f t="shared" si="14"/>
        <v>2.81E-3</v>
      </c>
    </row>
    <row r="127" spans="1:19">
      <c r="A127" s="213"/>
      <c r="B127" s="123" t="s">
        <v>23</v>
      </c>
      <c r="C127" s="116">
        <f>HLOOKUP(C$117,$86:$102,11,FALSE)</f>
        <v>2.8740579999999998</v>
      </c>
      <c r="D127" s="116">
        <f t="shared" ref="D127:O127" si="15">HLOOKUP(D$117,$86:$102,11,FALSE)</f>
        <v>2.8082799999999999</v>
      </c>
      <c r="E127" s="116">
        <f t="shared" si="15"/>
        <v>3.3302809999999998</v>
      </c>
      <c r="F127" s="116">
        <f t="shared" si="15"/>
        <v>3.7760859999999998</v>
      </c>
      <c r="G127" s="116">
        <f t="shared" si="15"/>
        <v>4.0380969999999996</v>
      </c>
      <c r="H127" s="116">
        <f t="shared" si="15"/>
        <v>3.7449910000000002</v>
      </c>
      <c r="I127" s="116">
        <f t="shared" si="15"/>
        <v>3.4759910000000001</v>
      </c>
      <c r="J127" s="116">
        <f t="shared" si="15"/>
        <v>2.759617</v>
      </c>
      <c r="K127" s="116">
        <f t="shared" si="15"/>
        <v>2.681413</v>
      </c>
      <c r="L127" s="116">
        <f t="shared" si="15"/>
        <v>2.5969359999999999</v>
      </c>
      <c r="M127" s="116">
        <f t="shared" si="15"/>
        <v>2.3319320000000001</v>
      </c>
      <c r="N127" s="116">
        <f t="shared" si="15"/>
        <v>1.922374</v>
      </c>
      <c r="O127" s="134">
        <f t="shared" si="15"/>
        <v>2.047806</v>
      </c>
    </row>
    <row r="128" spans="1:19">
      <c r="A128" s="213"/>
      <c r="B128" s="122" t="s">
        <v>55</v>
      </c>
      <c r="C128" s="116">
        <f t="shared" ref="C128:O128" si="16">HLOOKUP(C$117,$86:$102,13,FALSE)</f>
        <v>13.691565000000001</v>
      </c>
      <c r="D128" s="116">
        <f t="shared" si="16"/>
        <v>14.954476</v>
      </c>
      <c r="E128" s="116">
        <f t="shared" si="16"/>
        <v>13.874806</v>
      </c>
      <c r="F128" s="116">
        <f t="shared" si="16"/>
        <v>8.5480964999999998</v>
      </c>
      <c r="G128" s="116">
        <f t="shared" si="16"/>
        <v>9.2619229999999995</v>
      </c>
      <c r="H128" s="116">
        <f t="shared" si="16"/>
        <v>6.0955329999999996</v>
      </c>
      <c r="I128" s="116">
        <f t="shared" si="16"/>
        <v>10.531687</v>
      </c>
      <c r="J128" s="116">
        <f t="shared" si="16"/>
        <v>4.8152900000000001</v>
      </c>
      <c r="K128" s="116">
        <f t="shared" si="16"/>
        <v>5.3655939999999998</v>
      </c>
      <c r="L128" s="116">
        <f t="shared" si="16"/>
        <v>14.316091999999999</v>
      </c>
      <c r="M128" s="116">
        <f t="shared" si="16"/>
        <v>10.772016499999999</v>
      </c>
      <c r="N128" s="116">
        <f t="shared" si="16"/>
        <v>10.810641499999999</v>
      </c>
      <c r="O128" s="134">
        <f t="shared" si="16"/>
        <v>14.376298</v>
      </c>
    </row>
    <row r="129" spans="1:15">
      <c r="A129" s="213"/>
      <c r="B129" s="122" t="s">
        <v>54</v>
      </c>
      <c r="C129" s="116">
        <f>HLOOKUP(C$117,$86:$102,12,FALSE)</f>
        <v>13.691565000000001</v>
      </c>
      <c r="D129" s="116">
        <f t="shared" ref="D129:O129" si="17">HLOOKUP(D$117,$86:$102,12,FALSE)</f>
        <v>14.954476</v>
      </c>
      <c r="E129" s="116">
        <f t="shared" si="17"/>
        <v>13.874806</v>
      </c>
      <c r="F129" s="116">
        <f t="shared" si="17"/>
        <v>8.5480964999999998</v>
      </c>
      <c r="G129" s="116">
        <f t="shared" si="17"/>
        <v>9.2619229999999995</v>
      </c>
      <c r="H129" s="116">
        <f t="shared" si="17"/>
        <v>6.0955329999999996</v>
      </c>
      <c r="I129" s="116">
        <f t="shared" si="17"/>
        <v>10.531687</v>
      </c>
      <c r="J129" s="116">
        <f t="shared" si="17"/>
        <v>4.8152900000000001</v>
      </c>
      <c r="K129" s="116">
        <f t="shared" si="17"/>
        <v>5.3655939999999998</v>
      </c>
      <c r="L129" s="116">
        <f t="shared" si="17"/>
        <v>14.316091999999999</v>
      </c>
      <c r="M129" s="116">
        <f t="shared" si="17"/>
        <v>10.772016499999999</v>
      </c>
      <c r="N129" s="116">
        <f t="shared" si="17"/>
        <v>10.810641499999999</v>
      </c>
      <c r="O129" s="134">
        <f t="shared" si="17"/>
        <v>14.376298</v>
      </c>
    </row>
    <row r="130" spans="1:15">
      <c r="A130" s="213"/>
      <c r="B130" s="124" t="s">
        <v>2</v>
      </c>
      <c r="C130" s="125">
        <f>HLOOKUP(C$117,$86:$102,14,FALSE)</f>
        <v>419.42357099999998</v>
      </c>
      <c r="D130" s="125">
        <f t="shared" ref="D130:O130" si="18">HLOOKUP(D$117,$86:$102,14,FALSE)</f>
        <v>352.73766499999999</v>
      </c>
      <c r="E130" s="125">
        <f t="shared" si="18"/>
        <v>321.29862900000001</v>
      </c>
      <c r="F130" s="125">
        <f t="shared" si="18"/>
        <v>302.19797999999997</v>
      </c>
      <c r="G130" s="125">
        <f t="shared" si="18"/>
        <v>320.304956</v>
      </c>
      <c r="H130" s="125">
        <f t="shared" si="18"/>
        <v>287.50736000000001</v>
      </c>
      <c r="I130" s="125">
        <f t="shared" si="18"/>
        <v>291.01352600000001</v>
      </c>
      <c r="J130" s="125">
        <f t="shared" si="18"/>
        <v>241.12726000000001</v>
      </c>
      <c r="K130" s="125">
        <f t="shared" si="18"/>
        <v>247.19760400000001</v>
      </c>
      <c r="L130" s="125">
        <f t="shared" si="18"/>
        <v>267.55820399999999</v>
      </c>
      <c r="M130" s="125">
        <f t="shared" si="18"/>
        <v>360.59179599999999</v>
      </c>
      <c r="N130" s="125">
        <f t="shared" si="18"/>
        <v>383.60698500000001</v>
      </c>
      <c r="O130" s="135">
        <f t="shared" si="18"/>
        <v>287.16994299999999</v>
      </c>
    </row>
    <row r="131" spans="1:15">
      <c r="A131" s="213"/>
      <c r="B131" s="122" t="s">
        <v>21</v>
      </c>
      <c r="C131" s="126">
        <f>HLOOKUP(C$117,$86:$102,15,FALSE)</f>
        <v>153.19726600000001</v>
      </c>
      <c r="D131" s="126">
        <f t="shared" ref="D131:O131" si="19">HLOOKUP(D$117,$86:$102,15,FALSE)</f>
        <v>137.66557</v>
      </c>
      <c r="E131" s="126">
        <f t="shared" si="19"/>
        <v>91.396833999999998</v>
      </c>
      <c r="F131" s="126">
        <f t="shared" si="19"/>
        <v>119.614278</v>
      </c>
      <c r="G131" s="126">
        <f t="shared" si="19"/>
        <v>136.155901</v>
      </c>
      <c r="H131" s="126">
        <f t="shared" si="19"/>
        <v>115.92849699999999</v>
      </c>
      <c r="I131" s="126">
        <f t="shared" si="19"/>
        <v>112.780382</v>
      </c>
      <c r="J131" s="126">
        <f t="shared" si="19"/>
        <v>80.581305999999998</v>
      </c>
      <c r="K131" s="126">
        <f t="shared" si="19"/>
        <v>79.946523999999997</v>
      </c>
      <c r="L131" s="126">
        <f t="shared" si="19"/>
        <v>93.289579000000003</v>
      </c>
      <c r="M131" s="126">
        <f t="shared" si="19"/>
        <v>168.331695</v>
      </c>
      <c r="N131" s="126">
        <f t="shared" si="19"/>
        <v>182.71595500000001</v>
      </c>
      <c r="O131" s="126">
        <f t="shared" si="19"/>
        <v>116.274961</v>
      </c>
    </row>
    <row r="132" spans="1:15">
      <c r="A132" s="213"/>
      <c r="B132" s="127" t="s">
        <v>1</v>
      </c>
      <c r="C132" s="128">
        <f>HLOOKUP(C$117,$86:$102,16,FALSE)</f>
        <v>572.62083700000005</v>
      </c>
      <c r="D132" s="128">
        <f t="shared" ref="D132:O132" si="20">HLOOKUP(D$117,$86:$102,16,FALSE)</f>
        <v>490.403235</v>
      </c>
      <c r="E132" s="128">
        <f t="shared" si="20"/>
        <v>412.69546300000002</v>
      </c>
      <c r="F132" s="128">
        <f t="shared" si="20"/>
        <v>421.81225799999999</v>
      </c>
      <c r="G132" s="128">
        <f t="shared" si="20"/>
        <v>456.46085699999998</v>
      </c>
      <c r="H132" s="128">
        <f t="shared" si="20"/>
        <v>403.435857</v>
      </c>
      <c r="I132" s="128">
        <f t="shared" si="20"/>
        <v>403.79390799999999</v>
      </c>
      <c r="J132" s="128">
        <f t="shared" si="20"/>
        <v>321.70856600000002</v>
      </c>
      <c r="K132" s="128">
        <f t="shared" si="20"/>
        <v>327.14412800000002</v>
      </c>
      <c r="L132" s="128">
        <f t="shared" si="20"/>
        <v>360.84778299999999</v>
      </c>
      <c r="M132" s="128">
        <f t="shared" si="20"/>
        <v>528.92349100000001</v>
      </c>
      <c r="N132" s="128">
        <f t="shared" si="20"/>
        <v>566.32294000000002</v>
      </c>
      <c r="O132" s="128">
        <f t="shared" si="20"/>
        <v>403.44490400000001</v>
      </c>
    </row>
    <row r="133" spans="1:15" ht="14.25">
      <c r="A133" s="214"/>
      <c r="B133" s="137" t="s">
        <v>75</v>
      </c>
      <c r="C133" s="138">
        <f>C120+C121+C123</f>
        <v>100.854845</v>
      </c>
      <c r="D133" s="138">
        <f>D120+D121+D123</f>
        <v>70.492742000000007</v>
      </c>
      <c r="E133" s="138">
        <f t="shared" ref="E133:O133" si="21">E120+E121+E123</f>
        <v>55.934950000000001</v>
      </c>
      <c r="F133" s="138">
        <f t="shared" si="21"/>
        <v>39.850644000000003</v>
      </c>
      <c r="G133" s="138">
        <f t="shared" si="21"/>
        <v>46.988411999999997</v>
      </c>
      <c r="H133" s="138">
        <f t="shared" si="21"/>
        <v>37.597881999999998</v>
      </c>
      <c r="I133" s="138">
        <f t="shared" si="21"/>
        <v>34.745249000000001</v>
      </c>
      <c r="J133" s="138">
        <f t="shared" si="21"/>
        <v>28.608295999999999</v>
      </c>
      <c r="K133" s="138">
        <f t="shared" si="21"/>
        <v>29.693214999999999</v>
      </c>
      <c r="L133" s="138">
        <f t="shared" si="21"/>
        <v>33.872518999999997</v>
      </c>
      <c r="M133" s="138">
        <f t="shared" si="21"/>
        <v>66.275554999999997</v>
      </c>
      <c r="N133" s="138">
        <f t="shared" si="21"/>
        <v>87.959547999999984</v>
      </c>
      <c r="O133" s="138">
        <f t="shared" si="21"/>
        <v>41.727269</v>
      </c>
    </row>
    <row r="134" spans="1:15">
      <c r="A134" s="212" t="s">
        <v>77</v>
      </c>
      <c r="B134" s="139" t="s">
        <v>73</v>
      </c>
      <c r="C134" s="120" t="str">
        <f>TEXT(EDATE($A$2,-12),"mmm")&amp;".-"&amp;TEXT(EDATE($A$2,-12),"aa")</f>
        <v>sep.-19</v>
      </c>
      <c r="D134" s="120" t="str">
        <f>TEXT(EDATE($A$2,-11),"mmm")&amp;".-"&amp;TEXT(EDATE($A$2,-11),"aa")</f>
        <v>oct.-19</v>
      </c>
      <c r="E134" s="120" t="str">
        <f>TEXT(EDATE($A$2,-10),"mmm")&amp;".-"&amp;TEXT(EDATE($A$2,-10),"aa")</f>
        <v>nov.-19</v>
      </c>
      <c r="F134" s="120" t="str">
        <f>TEXT(EDATE($A$2,-9),"mmm")&amp;".-"&amp;TEXT(EDATE($A$2,-9),"aa")</f>
        <v>dic.-19</v>
      </c>
      <c r="G134" s="120" t="str">
        <f>TEXT(EDATE($A$2,-8),"mmm")&amp;".-"&amp;TEXT(EDATE($A$2,-8),"aa")</f>
        <v>ene.-20</v>
      </c>
      <c r="H134" s="120" t="str">
        <f>TEXT(EDATE($A$2,-7),"mmm")&amp;".-"&amp;TEXT(EDATE($A$2,-7),"aa")</f>
        <v>feb.-20</v>
      </c>
      <c r="I134" s="120" t="str">
        <f>TEXT(EDATE($A$2,-6),"mmm")&amp;".-"&amp;TEXT(EDATE($A$2,-6),"aa")</f>
        <v>mar.-20</v>
      </c>
      <c r="J134" s="120" t="str">
        <f>TEXT(EDATE($A$2,-5),"mmm")&amp;".-"&amp;TEXT(EDATE($A$2,-5),"aa")</f>
        <v>abr.-20</v>
      </c>
      <c r="K134" s="120" t="str">
        <f>TEXT(EDATE($A$2,-4),"mmm")&amp;".-"&amp;TEXT(EDATE($A$2,-4),"aa")</f>
        <v>may.-20</v>
      </c>
      <c r="L134" s="120" t="str">
        <f>TEXT(EDATE($A$2,-3),"mmm")&amp;".-"&amp;TEXT(EDATE($A$2,-3),"aa")</f>
        <v>jun.-20</v>
      </c>
      <c r="M134" s="120" t="str">
        <f>TEXT(EDATE($A$2,-2),"mmm")&amp;".-"&amp;TEXT(EDATE($A$2,-2),"aa")</f>
        <v>jul.-20</v>
      </c>
      <c r="N134" s="120" t="str">
        <f>TEXT(EDATE($A$2,-1),"mmm")&amp;".-"&amp;TEXT(EDATE($A$2,-1),"aa")</f>
        <v>ago.-20</v>
      </c>
      <c r="O134" s="121" t="str">
        <f>TEXT($A$2,"mmm")&amp;".-"&amp;TEXT($A$2,"aa")</f>
        <v>sep.-20</v>
      </c>
    </row>
    <row r="135" spans="1:15" ht="15" customHeight="1">
      <c r="A135" s="213"/>
      <c r="B135" s="122" t="s">
        <v>12</v>
      </c>
      <c r="C135" s="116">
        <f>HLOOKUP(C$117,$86:$115,17,FALSE)</f>
        <v>0.28253899999999998</v>
      </c>
      <c r="D135" s="116">
        <f t="shared" ref="D135:O135" si="22">HLOOKUP(D$117,$86:$115,17,FALSE)</f>
        <v>0.297543</v>
      </c>
      <c r="E135" s="116">
        <f t="shared" si="22"/>
        <v>0.29652299999999998</v>
      </c>
      <c r="F135" s="116">
        <f t="shared" si="22"/>
        <v>0.29914499999999999</v>
      </c>
      <c r="G135" s="116">
        <f t="shared" si="22"/>
        <v>0.30431399999999997</v>
      </c>
      <c r="H135" s="116">
        <f t="shared" si="22"/>
        <v>0.26768999999999998</v>
      </c>
      <c r="I135" s="116">
        <f t="shared" si="22"/>
        <v>0.29889900000000003</v>
      </c>
      <c r="J135" s="116">
        <f t="shared" si="22"/>
        <v>0.288387</v>
      </c>
      <c r="K135" s="116">
        <f t="shared" si="22"/>
        <v>0.28846300000000002</v>
      </c>
      <c r="L135" s="116">
        <f t="shared" si="22"/>
        <v>0.27233299999999999</v>
      </c>
      <c r="M135" s="116">
        <f t="shared" si="22"/>
        <v>0.29030099999999998</v>
      </c>
      <c r="N135" s="116">
        <f t="shared" si="22"/>
        <v>0.29413899999999998</v>
      </c>
      <c r="O135" s="161">
        <f t="shared" si="22"/>
        <v>0.29165099999999999</v>
      </c>
    </row>
    <row r="136" spans="1:15">
      <c r="A136" s="213"/>
      <c r="B136" s="122" t="s">
        <v>10</v>
      </c>
      <c r="C136" s="116">
        <f>HLOOKUP(C$117,$86:$115,18,FALSE)</f>
        <v>167.04003</v>
      </c>
      <c r="D136" s="116">
        <f t="shared" ref="D136:O136" si="23">HLOOKUP(D$117,$86:$115,18,FALSE)</f>
        <v>168.13456400000001</v>
      </c>
      <c r="E136" s="116">
        <f t="shared" si="23"/>
        <v>151.11739399999999</v>
      </c>
      <c r="F136" s="116">
        <f t="shared" si="23"/>
        <v>171.354029</v>
      </c>
      <c r="G136" s="116">
        <f t="shared" si="23"/>
        <v>175.82359</v>
      </c>
      <c r="H136" s="116">
        <f t="shared" si="23"/>
        <v>160.701854</v>
      </c>
      <c r="I136" s="116">
        <f t="shared" si="23"/>
        <v>133.86502100000001</v>
      </c>
      <c r="J136" s="116">
        <f t="shared" si="23"/>
        <v>118.219841</v>
      </c>
      <c r="K136" s="116">
        <f t="shared" si="23"/>
        <v>127.46646200000001</v>
      </c>
      <c r="L136" s="116">
        <f t="shared" si="23"/>
        <v>122.84934</v>
      </c>
      <c r="M136" s="116">
        <f t="shared" si="23"/>
        <v>140.50550799999999</v>
      </c>
      <c r="N136" s="116">
        <f t="shared" si="23"/>
        <v>152.65874500000001</v>
      </c>
      <c r="O136" s="134">
        <f t="shared" si="23"/>
        <v>151.15563499999999</v>
      </c>
    </row>
    <row r="137" spans="1:15">
      <c r="A137" s="213"/>
      <c r="B137" s="122" t="s">
        <v>9</v>
      </c>
      <c r="C137" s="116">
        <f>HLOOKUP(C$117,$86:$115,19,FALSE)</f>
        <v>24.793182999999999</v>
      </c>
      <c r="D137" s="116">
        <f t="shared" ref="D137:O137" si="24">HLOOKUP(D$117,$86:$115,19,FALSE)</f>
        <v>16.664884000000001</v>
      </c>
      <c r="E137" s="116">
        <f t="shared" si="24"/>
        <v>18.703745999999999</v>
      </c>
      <c r="F137" s="116">
        <f t="shared" si="24"/>
        <v>16.706254000000001</v>
      </c>
      <c r="G137" s="116">
        <f t="shared" si="24"/>
        <v>17.105090000000001</v>
      </c>
      <c r="H137" s="116">
        <f t="shared" si="24"/>
        <v>21.870190999999998</v>
      </c>
      <c r="I137" s="116">
        <f t="shared" si="24"/>
        <v>12.226845000000001</v>
      </c>
      <c r="J137" s="116">
        <f t="shared" si="24"/>
        <v>5.7932370000000004</v>
      </c>
      <c r="K137" s="116">
        <f t="shared" si="24"/>
        <v>9.4236719999999998</v>
      </c>
      <c r="L137" s="116">
        <f t="shared" si="24"/>
        <v>8.6874149999999997</v>
      </c>
      <c r="M137" s="116">
        <f t="shared" si="24"/>
        <v>15.04932</v>
      </c>
      <c r="N137" s="116">
        <f t="shared" si="24"/>
        <v>17.289342999999999</v>
      </c>
      <c r="O137" s="134">
        <f t="shared" si="24"/>
        <v>21.610752000000002</v>
      </c>
    </row>
    <row r="138" spans="1:15">
      <c r="A138" s="213"/>
      <c r="B138" s="122" t="s">
        <v>8</v>
      </c>
      <c r="C138" s="116">
        <f>HLOOKUP(C$117,$86:$115,20,FALSE)</f>
        <v>157.50902600000001</v>
      </c>
      <c r="D138" s="116">
        <f t="shared" ref="D138:O138" si="25">HLOOKUP(D$117,$86:$115,20,FALSE)</f>
        <v>170.575942</v>
      </c>
      <c r="E138" s="116">
        <f t="shared" si="25"/>
        <v>184.81552300000001</v>
      </c>
      <c r="F138" s="116">
        <f t="shared" si="25"/>
        <v>169.18809899999999</v>
      </c>
      <c r="G138" s="116">
        <f t="shared" si="25"/>
        <v>146.91851800000001</v>
      </c>
      <c r="H138" s="116">
        <f t="shared" si="25"/>
        <v>128.34914699999999</v>
      </c>
      <c r="I138" s="116">
        <f t="shared" si="25"/>
        <v>114.048723</v>
      </c>
      <c r="J138" s="116">
        <f t="shared" si="25"/>
        <v>98.923323999999994</v>
      </c>
      <c r="K138" s="116">
        <f t="shared" si="25"/>
        <v>116.06684199999999</v>
      </c>
      <c r="L138" s="116">
        <f t="shared" si="25"/>
        <v>83.295309000000003</v>
      </c>
      <c r="M138" s="116">
        <f t="shared" si="25"/>
        <v>114.33213000000001</v>
      </c>
      <c r="N138" s="116">
        <f t="shared" si="25"/>
        <v>127.712586</v>
      </c>
      <c r="O138" s="134">
        <f t="shared" si="25"/>
        <v>98.396693999999997</v>
      </c>
    </row>
    <row r="139" spans="1:15" ht="14.25">
      <c r="A139" s="213"/>
      <c r="B139" s="122" t="s">
        <v>74</v>
      </c>
      <c r="C139" s="116">
        <f>HLOOKUP(C$117,$86:$115,21,FALSE)</f>
        <v>276.37973799999997</v>
      </c>
      <c r="D139" s="116">
        <f t="shared" ref="D139:O139" si="26">HLOOKUP(D$117,$86:$115,21,FALSE)</f>
        <v>305.83225499999998</v>
      </c>
      <c r="E139" s="116">
        <f t="shared" si="26"/>
        <v>233.08126999999999</v>
      </c>
      <c r="F139" s="116">
        <f t="shared" si="26"/>
        <v>301.90038800000002</v>
      </c>
      <c r="G139" s="116">
        <f t="shared" si="26"/>
        <v>336.41169600000001</v>
      </c>
      <c r="H139" s="116">
        <f t="shared" si="26"/>
        <v>279.07848200000001</v>
      </c>
      <c r="I139" s="116">
        <f t="shared" si="26"/>
        <v>300.75480199999998</v>
      </c>
      <c r="J139" s="116">
        <f t="shared" si="26"/>
        <v>246.048203</v>
      </c>
      <c r="K139" s="116">
        <f t="shared" si="26"/>
        <v>229.928777</v>
      </c>
      <c r="L139" s="116">
        <f t="shared" si="26"/>
        <v>258.95318400000002</v>
      </c>
      <c r="M139" s="116">
        <f t="shared" si="26"/>
        <v>229.38776100000001</v>
      </c>
      <c r="N139" s="116">
        <f t="shared" si="26"/>
        <v>217.204814</v>
      </c>
      <c r="O139" s="134">
        <f t="shared" si="26"/>
        <v>297.07835399999999</v>
      </c>
    </row>
    <row r="140" spans="1:15">
      <c r="A140" s="213"/>
      <c r="B140" s="122" t="s">
        <v>6</v>
      </c>
      <c r="C140" s="116">
        <f>HLOOKUP(C$117,$86:$115,22,FALSE)</f>
        <v>2.2183510000000002</v>
      </c>
      <c r="D140" s="116">
        <f t="shared" ref="D140:O140" si="27">HLOOKUP(D$117,$86:$115,22,FALSE)</f>
        <v>1.582837</v>
      </c>
      <c r="E140" s="116">
        <f t="shared" si="27"/>
        <v>2.0965220000000002</v>
      </c>
      <c r="F140" s="116">
        <f t="shared" si="27"/>
        <v>1.15967</v>
      </c>
      <c r="G140" s="116">
        <f t="shared" si="27"/>
        <v>0.82455000000000001</v>
      </c>
      <c r="H140" s="116">
        <f t="shared" si="27"/>
        <v>1.3385149999999999</v>
      </c>
      <c r="I140" s="116">
        <f t="shared" si="27"/>
        <v>1.8236140000000001</v>
      </c>
      <c r="J140" s="116">
        <f t="shared" si="27"/>
        <v>0.99112500000000003</v>
      </c>
      <c r="K140" s="116">
        <f t="shared" si="27"/>
        <v>1.4427080000000001</v>
      </c>
      <c r="L140" s="116">
        <f t="shared" si="27"/>
        <v>0.74262799999999995</v>
      </c>
      <c r="M140" s="116">
        <f t="shared" si="27"/>
        <v>3.6524220000000001</v>
      </c>
      <c r="N140" s="116">
        <f t="shared" si="27"/>
        <v>3.5757409999999998</v>
      </c>
      <c r="O140" s="134">
        <f t="shared" si="27"/>
        <v>1.9118980000000001</v>
      </c>
    </row>
    <row r="141" spans="1:15">
      <c r="A141" s="213"/>
      <c r="B141" s="122" t="s">
        <v>5</v>
      </c>
      <c r="C141" s="116">
        <f>HLOOKUP(C$117,$86:$115,23,FALSE)</f>
        <v>100.47458899999999</v>
      </c>
      <c r="D141" s="116">
        <f t="shared" ref="D141:O141" si="28">HLOOKUP(D$117,$86:$115,23,FALSE)</f>
        <v>89.262077000000005</v>
      </c>
      <c r="E141" s="116">
        <f t="shared" si="28"/>
        <v>125.115903</v>
      </c>
      <c r="F141" s="116">
        <f t="shared" si="28"/>
        <v>68.820522999999994</v>
      </c>
      <c r="G141" s="116">
        <f t="shared" si="28"/>
        <v>60.203617000000001</v>
      </c>
      <c r="H141" s="116">
        <f t="shared" si="28"/>
        <v>93.155392000000006</v>
      </c>
      <c r="I141" s="116">
        <f t="shared" si="28"/>
        <v>97.165876999999995</v>
      </c>
      <c r="J141" s="116">
        <f t="shared" si="28"/>
        <v>54.728521000000001</v>
      </c>
      <c r="K141" s="116">
        <f t="shared" si="28"/>
        <v>69.748904999999993</v>
      </c>
      <c r="L141" s="116">
        <f t="shared" si="28"/>
        <v>103.362193</v>
      </c>
      <c r="M141" s="116">
        <f t="shared" si="28"/>
        <v>148.00404900000001</v>
      </c>
      <c r="N141" s="116">
        <f t="shared" si="28"/>
        <v>166.40459999999999</v>
      </c>
      <c r="O141" s="134">
        <f t="shared" si="28"/>
        <v>92.424858</v>
      </c>
    </row>
    <row r="142" spans="1:15">
      <c r="A142" s="213"/>
      <c r="B142" s="122" t="s">
        <v>4</v>
      </c>
      <c r="C142" s="116">
        <f>HLOOKUP(C$117,$86:$115,24,FALSE)</f>
        <v>23.467742000000001</v>
      </c>
      <c r="D142" s="116">
        <f t="shared" ref="D142:O142" si="29">HLOOKUP(D$117,$86:$115,24,FALSE)</f>
        <v>20.840191999999998</v>
      </c>
      <c r="E142" s="116">
        <f t="shared" si="29"/>
        <v>18.276879999999998</v>
      </c>
      <c r="F142" s="116">
        <f t="shared" si="29"/>
        <v>17.266753999999999</v>
      </c>
      <c r="G142" s="116">
        <f t="shared" si="29"/>
        <v>18.499157</v>
      </c>
      <c r="H142" s="116">
        <f t="shared" si="29"/>
        <v>20.258158000000002</v>
      </c>
      <c r="I142" s="116">
        <f t="shared" si="29"/>
        <v>21.169239000000001</v>
      </c>
      <c r="J142" s="116">
        <f t="shared" si="29"/>
        <v>22.608267999999999</v>
      </c>
      <c r="K142" s="116">
        <f t="shared" si="29"/>
        <v>25.982507999999999</v>
      </c>
      <c r="L142" s="116">
        <f t="shared" si="29"/>
        <v>23.718388000000001</v>
      </c>
      <c r="M142" s="116">
        <f t="shared" si="29"/>
        <v>26.95336</v>
      </c>
      <c r="N142" s="116">
        <f t="shared" si="29"/>
        <v>26.574038999999999</v>
      </c>
      <c r="O142" s="134">
        <f t="shared" si="29"/>
        <v>20.864343000000002</v>
      </c>
    </row>
    <row r="143" spans="1:15">
      <c r="A143" s="213"/>
      <c r="B143" s="122" t="s">
        <v>22</v>
      </c>
      <c r="C143" s="116">
        <f>HLOOKUP(C$117,$86:$115,25,FALSE)</f>
        <v>0.43661899999999998</v>
      </c>
      <c r="D143" s="116">
        <f t="shared" ref="D143:O143" si="30">HLOOKUP(D$117,$86:$115,25,FALSE)</f>
        <v>0.57729399999999997</v>
      </c>
      <c r="E143" s="116">
        <f t="shared" si="30"/>
        <v>0.87303399999999998</v>
      </c>
      <c r="F143" s="116">
        <f t="shared" si="30"/>
        <v>0.90510599999999997</v>
      </c>
      <c r="G143" s="116">
        <f t="shared" si="30"/>
        <v>0.87627999999999995</v>
      </c>
      <c r="H143" s="116">
        <f t="shared" si="30"/>
        <v>0.84570599999999996</v>
      </c>
      <c r="I143" s="116">
        <f t="shared" si="30"/>
        <v>0.82166799999999995</v>
      </c>
      <c r="J143" s="116">
        <f t="shared" si="30"/>
        <v>0.83979599999999999</v>
      </c>
      <c r="K143" s="116">
        <f t="shared" si="30"/>
        <v>0.70590200000000003</v>
      </c>
      <c r="L143" s="116">
        <f t="shared" si="30"/>
        <v>0.78505800000000003</v>
      </c>
      <c r="M143" s="116">
        <f t="shared" si="30"/>
        <v>0.69386000000000003</v>
      </c>
      <c r="N143" s="116">
        <f t="shared" si="30"/>
        <v>0.69097799999999998</v>
      </c>
      <c r="O143" s="134">
        <f t="shared" si="30"/>
        <v>0.64958000000000005</v>
      </c>
    </row>
    <row r="144" spans="1:15">
      <c r="A144" s="213"/>
      <c r="B144" s="127" t="s">
        <v>1</v>
      </c>
      <c r="C144" s="128">
        <f>HLOOKUP(C$117,$86:$115,26,FALSE)</f>
        <v>752.60181699999998</v>
      </c>
      <c r="D144" s="128">
        <f t="shared" ref="D144:O144" si="31">HLOOKUP(D$117,$86:$115,26,FALSE)</f>
        <v>773.76758800000005</v>
      </c>
      <c r="E144" s="128">
        <f t="shared" si="31"/>
        <v>734.37679500000002</v>
      </c>
      <c r="F144" s="128">
        <f t="shared" si="31"/>
        <v>747.59996799999999</v>
      </c>
      <c r="G144" s="128">
        <f t="shared" si="31"/>
        <v>756.966812</v>
      </c>
      <c r="H144" s="128">
        <f t="shared" si="31"/>
        <v>705.86513500000001</v>
      </c>
      <c r="I144" s="128">
        <f t="shared" si="31"/>
        <v>682.17468799999995</v>
      </c>
      <c r="J144" s="128">
        <f t="shared" si="31"/>
        <v>548.44070199999999</v>
      </c>
      <c r="K144" s="128">
        <f t="shared" si="31"/>
        <v>581.05423900000005</v>
      </c>
      <c r="L144" s="128">
        <f t="shared" si="31"/>
        <v>602.66584799999998</v>
      </c>
      <c r="M144" s="128">
        <f t="shared" si="31"/>
        <v>678.86871099999996</v>
      </c>
      <c r="N144" s="128">
        <f t="shared" si="31"/>
        <v>712.40498500000001</v>
      </c>
      <c r="O144" s="136">
        <f t="shared" si="31"/>
        <v>684.38376500000004</v>
      </c>
    </row>
    <row r="145" spans="1:26">
      <c r="A145" s="213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4"/>
      <c r="B146" s="137" t="s">
        <v>75</v>
      </c>
      <c r="C146" s="141">
        <f>SUM(C136:C138)</f>
        <v>349.34223900000001</v>
      </c>
      <c r="D146" s="141">
        <f t="shared" ref="D146:O146" si="32">SUM(D136:D138)</f>
        <v>355.37539000000004</v>
      </c>
      <c r="E146" s="141">
        <f t="shared" si="32"/>
        <v>354.636663</v>
      </c>
      <c r="F146" s="141">
        <f t="shared" si="32"/>
        <v>357.24838199999999</v>
      </c>
      <c r="G146" s="141">
        <f t="shared" si="32"/>
        <v>339.84719799999999</v>
      </c>
      <c r="H146" s="141">
        <f t="shared" si="32"/>
        <v>310.92119200000002</v>
      </c>
      <c r="I146" s="141">
        <f t="shared" si="32"/>
        <v>260.14058899999998</v>
      </c>
      <c r="J146" s="141">
        <f t="shared" si="32"/>
        <v>222.93640199999999</v>
      </c>
      <c r="K146" s="141">
        <f t="shared" si="32"/>
        <v>252.956976</v>
      </c>
      <c r="L146" s="141">
        <f t="shared" si="32"/>
        <v>214.832064</v>
      </c>
      <c r="M146" s="141">
        <f t="shared" si="32"/>
        <v>269.88695799999999</v>
      </c>
      <c r="N146" s="141">
        <f t="shared" si="32"/>
        <v>297.66067400000003</v>
      </c>
      <c r="O146" s="142">
        <f t="shared" si="32"/>
        <v>271.16308099999998</v>
      </c>
    </row>
    <row r="149" spans="1:26" ht="15">
      <c r="A149" s="174"/>
      <c r="B149" s="174" t="s">
        <v>68</v>
      </c>
      <c r="C149" s="211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8" t="s">
        <v>99</v>
      </c>
      <c r="D150" s="188" t="s">
        <v>100</v>
      </c>
      <c r="E150" s="188" t="s">
        <v>101</v>
      </c>
      <c r="F150" s="188" t="s">
        <v>102</v>
      </c>
      <c r="G150" s="188" t="s">
        <v>103</v>
      </c>
      <c r="H150" s="188" t="s">
        <v>104</v>
      </c>
      <c r="I150" s="188" t="s">
        <v>105</v>
      </c>
      <c r="J150" s="188" t="s">
        <v>106</v>
      </c>
      <c r="K150" s="188" t="s">
        <v>107</v>
      </c>
      <c r="L150" s="188" t="s">
        <v>108</v>
      </c>
      <c r="M150" s="188" t="s">
        <v>109</v>
      </c>
      <c r="N150" s="188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126</v>
      </c>
      <c r="B152" s="176" t="s">
        <v>127</v>
      </c>
      <c r="C152" s="186">
        <v>-0.29543999999999998</v>
      </c>
      <c r="D152" s="186">
        <v>3.8600000000000001E-3</v>
      </c>
      <c r="E152" s="186">
        <v>-1.098E-2</v>
      </c>
      <c r="F152" s="186">
        <v>-0.28832000000000002</v>
      </c>
      <c r="G152" s="186">
        <v>-0.21254000000000001</v>
      </c>
      <c r="H152" s="186">
        <v>6.0999999999999997E-4</v>
      </c>
      <c r="I152" s="186">
        <v>-8.9899999999999997E-3</v>
      </c>
      <c r="J152" s="186">
        <v>-0.20416000000000001</v>
      </c>
      <c r="K152" s="186">
        <v>-0.16236999999999999</v>
      </c>
      <c r="L152" s="186">
        <v>1.39E-3</v>
      </c>
      <c r="M152" s="186">
        <v>-6.7099999999999998E-3</v>
      </c>
      <c r="N152" s="186">
        <v>-0.15705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8" t="s">
        <v>99</v>
      </c>
      <c r="D156" s="188" t="s">
        <v>100</v>
      </c>
      <c r="E156" s="188" t="s">
        <v>101</v>
      </c>
      <c r="F156" s="188" t="s">
        <v>102</v>
      </c>
      <c r="G156" s="188" t="s">
        <v>103</v>
      </c>
      <c r="H156" s="188" t="s">
        <v>104</v>
      </c>
      <c r="I156" s="188" t="s">
        <v>105</v>
      </c>
      <c r="J156" s="188" t="s">
        <v>106</v>
      </c>
      <c r="K156" s="188" t="s">
        <v>107</v>
      </c>
      <c r="L156" s="188" t="s">
        <v>108</v>
      </c>
      <c r="M156" s="188" t="s">
        <v>109</v>
      </c>
      <c r="N156" s="188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126</v>
      </c>
      <c r="B158" s="176" t="s">
        <v>127</v>
      </c>
      <c r="C158" s="186">
        <v>-9.0639999999999998E-2</v>
      </c>
      <c r="D158" s="186">
        <v>4.3800000000000002E-3</v>
      </c>
      <c r="E158" s="186">
        <v>3.8800000000000002E-3</v>
      </c>
      <c r="F158" s="186">
        <v>-9.8900000000000002E-2</v>
      </c>
      <c r="G158" s="186">
        <v>-0.10067</v>
      </c>
      <c r="H158" s="186">
        <v>-1.4999999999999999E-4</v>
      </c>
      <c r="I158" s="186">
        <v>1.5200000000000001E-3</v>
      </c>
      <c r="J158" s="186">
        <v>-0.10204000000000001</v>
      </c>
      <c r="K158" s="186">
        <v>-7.3599999999999999E-2</v>
      </c>
      <c r="L158" s="186">
        <v>1.1800000000000001E-3</v>
      </c>
      <c r="M158" s="186">
        <v>1.2999999999999999E-3</v>
      </c>
      <c r="N158" s="186">
        <v>-7.6079999999999995E-2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X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C2" sqref="C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Septiembre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403.44490400000001</v>
      </c>
      <c r="G9" s="164">
        <f>Dat_01!T24*100</f>
        <v>-29.544145459999999</v>
      </c>
      <c r="H9" s="83">
        <f>Dat_01!U24/1000</f>
        <v>3772.0824339999999</v>
      </c>
      <c r="I9" s="164">
        <f>Dat_01!W24*100</f>
        <v>-21.253898800000002</v>
      </c>
      <c r="J9" s="83">
        <f>Dat_01!X24/1000</f>
        <v>5096.9933899999996</v>
      </c>
      <c r="K9" s="164">
        <f>Dat_01!Y24*100</f>
        <v>-16.237287540000001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0.38600000000000001</v>
      </c>
      <c r="H12" s="103"/>
      <c r="I12" s="103">
        <f>Dat_01!H152*100</f>
        <v>6.0999999999999999E-2</v>
      </c>
      <c r="J12" s="103"/>
      <c r="K12" s="103">
        <f>Dat_01!L152*100</f>
        <v>0.13899999999999998</v>
      </c>
    </row>
    <row r="13" spans="3:12">
      <c r="E13" s="85" t="s">
        <v>42</v>
      </c>
      <c r="F13" s="84"/>
      <c r="G13" s="103">
        <f>Dat_01!E152*100</f>
        <v>-1.0980000000000001</v>
      </c>
      <c r="H13" s="103"/>
      <c r="I13" s="103">
        <f>Dat_01!I152*100</f>
        <v>-0.89900000000000002</v>
      </c>
      <c r="J13" s="103"/>
      <c r="K13" s="103">
        <f>Dat_01!M152*100</f>
        <v>-0.67099999999999993</v>
      </c>
    </row>
    <row r="14" spans="3:12">
      <c r="E14" s="86" t="s">
        <v>43</v>
      </c>
      <c r="F14" s="87"/>
      <c r="G14" s="104">
        <f>Dat_01!F152*100</f>
        <v>-28.832000000000001</v>
      </c>
      <c r="H14" s="104"/>
      <c r="I14" s="104">
        <f>Dat_01!J152*100</f>
        <v>-20.416</v>
      </c>
      <c r="J14" s="104"/>
      <c r="K14" s="104">
        <f>Dat_01!N152*100</f>
        <v>-15.705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Septiembre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684.38376500000004</v>
      </c>
      <c r="G9" s="164">
        <f>Dat_01!AB24*100</f>
        <v>-9.0642954200000005</v>
      </c>
      <c r="H9" s="83">
        <f>Dat_01!AC24/1000</f>
        <v>5952.824885</v>
      </c>
      <c r="I9" s="164">
        <f>Dat_01!AE24*100</f>
        <v>-10.0670818</v>
      </c>
      <c r="J9" s="83">
        <f>Dat_01!AF24/1000</f>
        <v>8208.5692359999994</v>
      </c>
      <c r="K9" s="164">
        <f>Dat_01!AG24*100</f>
        <v>-7.3598731099999997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0.438</v>
      </c>
      <c r="H12" s="103"/>
      <c r="I12" s="103">
        <f>Dat_01!H158*100</f>
        <v>-1.4999999999999999E-2</v>
      </c>
      <c r="J12" s="103"/>
      <c r="K12" s="103">
        <f>Dat_01!L158*100</f>
        <v>0.11800000000000001</v>
      </c>
    </row>
    <row r="13" spans="3:12">
      <c r="E13" s="85" t="s">
        <v>42</v>
      </c>
      <c r="F13" s="84"/>
      <c r="G13" s="103">
        <f>Dat_01!E158*100</f>
        <v>0.38800000000000001</v>
      </c>
      <c r="H13" s="103"/>
      <c r="I13" s="103">
        <f>Dat_01!I158*100</f>
        <v>0.152</v>
      </c>
      <c r="J13" s="103"/>
      <c r="K13" s="103">
        <f>Dat_01!M158*100</f>
        <v>0.13</v>
      </c>
    </row>
    <row r="14" spans="3:12">
      <c r="E14" s="86" t="s">
        <v>43</v>
      </c>
      <c r="F14" s="87"/>
      <c r="G14" s="104">
        <f>Dat_01!F158*100</f>
        <v>-9.89</v>
      </c>
      <c r="H14" s="104"/>
      <c r="I14" s="104">
        <f>Dat_01!J158*100</f>
        <v>-10.204000000000001</v>
      </c>
      <c r="J14" s="104"/>
      <c r="K14" s="104">
        <f>Dat_01!N158*100</f>
        <v>-7.6079999999999997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133</v>
      </c>
    </row>
    <row r="2" spans="1:2">
      <c r="A2" t="s">
        <v>128</v>
      </c>
    </row>
    <row r="3" spans="1:2">
      <c r="A3" t="s">
        <v>129</v>
      </c>
    </row>
    <row r="4" spans="1:2">
      <c r="A4" t="s">
        <v>131</v>
      </c>
    </row>
    <row r="5" spans="1:2">
      <c r="A5" t="s">
        <v>132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23" sqref="L23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Septiembre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0.29165099999999999</v>
      </c>
      <c r="I9" s="17">
        <f>Dat_01!AB8*100</f>
        <v>3.2250414999999997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1.9118979999999999</v>
      </c>
      <c r="I10" s="17">
        <f>Dat_01!AB15*100</f>
        <v>-13.81445046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0.189775</v>
      </c>
      <c r="G11" s="17">
        <f>Dat_01!T16*100</f>
        <v>-63.059748699999993</v>
      </c>
      <c r="H11" s="153">
        <f>Dat_01!Z16/1000</f>
        <v>92.424857999999986</v>
      </c>
      <c r="I11" s="17">
        <f>Dat_01!AB16*100</f>
        <v>-8.0117083099999995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10.525691999999999</v>
      </c>
      <c r="G12" s="17">
        <f>Dat_01!T17*100</f>
        <v>4.7885257700000006</v>
      </c>
      <c r="H12" s="153">
        <f>Dat_01!Z17/1000</f>
        <v>20.864343000000002</v>
      </c>
      <c r="I12" s="17">
        <f>Dat_01!AB17*100</f>
        <v>-11.09352148</v>
      </c>
      <c r="J12" s="153" t="s">
        <v>3</v>
      </c>
      <c r="K12" s="17" t="s">
        <v>3</v>
      </c>
      <c r="L12" s="153">
        <f>Dat_01!J17/1000</f>
        <v>0</v>
      </c>
      <c r="M12" s="17">
        <f>IF(Dat_01!L17="-","-",Dat_01!L17*100)</f>
        <v>-100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2.81E-3</v>
      </c>
      <c r="G13" s="17">
        <f>Dat_01!T18*100</f>
        <v>-77.797092290000009</v>
      </c>
      <c r="H13" s="153">
        <f>Dat_01!Z18/1000</f>
        <v>0.64958000000000005</v>
      </c>
      <c r="I13" s="17">
        <f>Dat_01!AB18*100</f>
        <v>48.775018949999996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14.376298</v>
      </c>
      <c r="G14" s="17">
        <f>Dat_01!T21*100</f>
        <v>5.00113026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0.51295950000000001</v>
      </c>
      <c r="M14" s="17">
        <f>Dat_01!L21*100</f>
        <v>38.734441850000003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25.094574999999999</v>
      </c>
      <c r="G15" s="173">
        <f>((SUM(Dat_01!R8,Dat_01!R15:R18,Dat_01!R20)/SUM(Dat_01!S8,Dat_01!S15:S18,Dat_01!S20))-1)*100</f>
        <v>3.4288085949373492</v>
      </c>
      <c r="H15" s="172">
        <f>SUM(H9:H14)</f>
        <v>116.14232999999999</v>
      </c>
      <c r="I15" s="173">
        <f>((SUM(Dat_01!Z8,Dat_01!Z15:Z18,Dat_01!Z20)/SUM(Dat_01!AA8,Dat_01!AA15:AA18,Dat_01!AA20))-1)*100</f>
        <v>-8.4627392342235037</v>
      </c>
      <c r="J15" s="172" t="s">
        <v>3</v>
      </c>
      <c r="K15" s="173" t="s">
        <v>3</v>
      </c>
      <c r="L15" s="172">
        <f>SUM(L9:L14)</f>
        <v>0.51295950000000001</v>
      </c>
      <c r="M15" s="173">
        <f>((SUM(Dat_01!J8,Dat_01!J15:J18,Dat_01!J21)/SUM(Dat_01!K8,Dat_01!K15:K18,Dat_01!K20))-1)*100</f>
        <v>36.263766914776618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68.615076999999999</v>
      </c>
      <c r="G16" s="17">
        <f>IF(Dat_01!T9="-","-",Dat_01!T9*100)</f>
        <v>-71.397995510000001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26.494543</v>
      </c>
      <c r="G17" s="24">
        <f>((SUM(Dat_01!R10,Dat_01!R14)/SUM(Dat_01!S10,Dat_01!S14))-1)*100</f>
        <v>-52.005379185691766</v>
      </c>
      <c r="H17" s="154">
        <f>Dat_01!Z10/1000</f>
        <v>151.15563500000002</v>
      </c>
      <c r="I17" s="24">
        <f>Dat_01!AB10*100</f>
        <v>-9.5093343799999985</v>
      </c>
      <c r="J17" s="154">
        <f>Dat_01!B10/1000</f>
        <v>16.798119999999997</v>
      </c>
      <c r="K17" s="24">
        <f>Dat_01!D10*100</f>
        <v>-4.5720012700000003</v>
      </c>
      <c r="L17" s="154">
        <f>Dat_01!J10/1000</f>
        <v>17.755965</v>
      </c>
      <c r="M17" s="24">
        <f>Dat_01!L10*100</f>
        <v>-0.75448205999999995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15.232726000000001</v>
      </c>
      <c r="G18" s="24">
        <f>Dat_01!T11*100</f>
        <v>-66.632725609999994</v>
      </c>
      <c r="H18" s="154">
        <f>Dat_01!Z11/1000</f>
        <v>21.610752000000002</v>
      </c>
      <c r="I18" s="24">
        <f>Dat_01!AB11*100</f>
        <v>-12.83591139</v>
      </c>
      <c r="J18" s="154">
        <f>Dat_01!B11/1000</f>
        <v>3.1934000000000004E-2</v>
      </c>
      <c r="K18" s="24">
        <f>Dat_01!D11*100</f>
        <v>3205.7971014499999</v>
      </c>
      <c r="L18" s="154">
        <f>Dat_01!J11/1000</f>
        <v>5.182E-3</v>
      </c>
      <c r="M18" s="24">
        <f>Dat_01!L11*100</f>
        <v>482.90213722999999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98.396693999999997</v>
      </c>
      <c r="I19" s="24">
        <f>Dat_01!AB12*100</f>
        <v>-37.529488630000003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41.727269</v>
      </c>
      <c r="G20" s="17">
        <f>((SUM(Dat_01!R10:R12,Dat_01!R14)/SUM(Dat_01!S10:S12,Dat_01!S14))-1)*100</f>
        <v>-58.626411056404869</v>
      </c>
      <c r="H20" s="153">
        <f>SUM(H17:H19)</f>
        <v>271.16308100000003</v>
      </c>
      <c r="I20" s="17">
        <f>(H20/(H17/(I17/100+1)+H18/(I18/100+1)+H19/(I19/100+1))-1)*100</f>
        <v>-22.378959449675051</v>
      </c>
      <c r="J20" s="153">
        <f>SUM(J17:J19)</f>
        <v>16.830053999999997</v>
      </c>
      <c r="K20" s="17">
        <f>(J20/(J17/(K17/100+1)+J18/(K18/100+1))-1)*100</f>
        <v>-4.3958347408497573</v>
      </c>
      <c r="L20" s="153">
        <f>SUM(L17:L19)</f>
        <v>17.761147000000001</v>
      </c>
      <c r="M20" s="17">
        <f>(L20/(L17/(M17/100+1)+L18/(M18/100+1))-1)*100</f>
        <v>-0.73045039066914619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135.30891800000001</v>
      </c>
      <c r="G21" s="17">
        <f>Dat_01!T13*100</f>
        <v>257.54008551999999</v>
      </c>
      <c r="H21" s="153">
        <f>Dat_01!Z13/1000</f>
        <v>297.07835399999999</v>
      </c>
      <c r="I21" s="17">
        <f>Dat_01!AB13*100</f>
        <v>7.4891944500000003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2.047806</v>
      </c>
      <c r="G22" s="17">
        <f>Dat_01!T19*100</f>
        <v>-28.748619549999997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14.376298</v>
      </c>
      <c r="G23" s="17">
        <f>Dat_01!T20*100</f>
        <v>5.00113026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0.51295950000000001</v>
      </c>
      <c r="M23" s="17">
        <f>Dat_01!L20*100</f>
        <v>38.734441850000003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262.07536800000003</v>
      </c>
      <c r="G24" s="173">
        <f>((SUM(Dat_01!R9:R14,Dat_01!R19,Dat_01!R21)/SUM(Dat_01!S9:S14,Dat_01!S19,Dat_01!S21))-1)*100</f>
        <v>-33.67882364155669</v>
      </c>
      <c r="H24" s="155">
        <f>SUM(H16,H20:H23)</f>
        <v>568.24143500000002</v>
      </c>
      <c r="I24" s="173">
        <f>((SUM(Dat_01!Z9:Z14,Dat_01!Z19,Dat_01!Z21)/SUM(Dat_01!AA9:AA14,Dat_01!AA19,Dat_01!AA21))-1)*100</f>
        <v>-9.1862750730904779</v>
      </c>
      <c r="J24" s="155">
        <f>SUM(J16,J20:J23)</f>
        <v>16.830053999999997</v>
      </c>
      <c r="K24" s="173">
        <f>((SUM(Dat_01!B9:B14,Dat_01!B19,Dat_01!B21)/SUM(Dat_01!C9:C14,Dat_01!C19,Dat_01!C21))-1)*100</f>
        <v>-4.3958347392724306</v>
      </c>
      <c r="L24" s="155">
        <f>SUM(L16,L20:L23)</f>
        <v>18.274106500000002</v>
      </c>
      <c r="M24" s="173">
        <f>((SUM(Dat_01!J9:J14,Dat_01!J19,Dat_01!J21)/SUM(Dat_01!K9:K14,Dat_01!K19,Dat_01!K21))-1)*100</f>
        <v>6.8594831334434225E-2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116.27496099999999</v>
      </c>
      <c r="G25" s="14">
        <f>Dat_01!T23*100</f>
        <v>-24.101151390000002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403.44490400000001</v>
      </c>
      <c r="G26" s="11">
        <f>Dat_01!T24*100</f>
        <v>-29.544145459999999</v>
      </c>
      <c r="H26" s="157">
        <f>Dat_01!Z24/1000</f>
        <v>684.38376500000004</v>
      </c>
      <c r="I26" s="11">
        <f>Dat_01!AB24*100</f>
        <v>-9.0642954200000005</v>
      </c>
      <c r="J26" s="157">
        <f>Dat_01!B24/1000</f>
        <v>16.830054000000001</v>
      </c>
      <c r="K26" s="11">
        <f>Dat_01!D24*100</f>
        <v>-4.3958347399999997</v>
      </c>
      <c r="L26" s="157">
        <f>Dat_01!J24/1000</f>
        <v>18.787065999999999</v>
      </c>
      <c r="M26" s="11">
        <f>Dat_01!L24*100</f>
        <v>0.79965550000000007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120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88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91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92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29" sqref="H29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H11" sqref="H11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2020-10-15T06:59:36Z</dcterms:modified>
</cp:coreProperties>
</file>