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OCT\INF_ELABORADA\"/>
    </mc:Choice>
  </mc:AlternateContent>
  <xr:revisionPtr revIDLastSave="0" documentId="13_ncr:1_{1AA77408-7BA1-424A-97A7-E666C9047CC0}" xr6:coauthVersionLast="46" xr6:coauthVersionMax="46" xr10:uidLastSave="{00000000-0000-0000-0000-000000000000}"/>
  <bookViews>
    <workbookView xWindow="-120" yWindow="-120" windowWidth="29040" windowHeight="15840" tabRatio="523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Dat_01!$A$85:$Y$112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0" i="22" l="1"/>
  <c r="K20" i="22"/>
  <c r="L20" i="22"/>
  <c r="M18" i="22"/>
  <c r="M12" i="22"/>
  <c r="I9" i="22"/>
  <c r="C47" i="18" l="1"/>
  <c r="C68" i="18" l="1"/>
  <c r="K18" i="22" l="1"/>
  <c r="I13" i="22" l="1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19" i="18" s="1"/>
  <c r="B47" i="18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L15" i="22" l="1"/>
  <c r="L24" i="22"/>
  <c r="H15" i="22"/>
  <c r="F15" i="22"/>
  <c r="F24" i="22"/>
  <c r="H20" i="22"/>
  <c r="I20" i="22" s="1"/>
  <c r="J24" i="22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<sst xmlns="http://schemas.openxmlformats.org/spreadsheetml/2006/main" count="430" uniqueCount="136">
  <si>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</si>
  <si>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</si>
  <si>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</si>
  <si>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</si>
  <si>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</si>
  <si>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</si>
  <si>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</si>
  <si>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</si>
  <si>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</si>
  <si>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</si>
  <si>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</si>
  <si>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</si>
  <si>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</si>
  <si>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</si>
  <si>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</si>
  <si>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</si>
  <si>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</si>
  <si>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</si>
  <si>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</si>
  <si>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</si>
  <si>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</si>
  <si>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</si>
  <si>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</si>
  <si>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</si>
  <si>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</si>
  <si>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</si>
  <si>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</si>
  <si>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</si>
  <si>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</si>
  <si>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</si>
  <si>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</si>
  <si>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</si>
  <si>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</si>
  <si>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</si>
  <si>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</si>
  <si>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</si>
  <si>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</si>
  <si>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</si>
  <si>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</si>
  <si>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</si>
  <si>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</si>
  <si>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</si>
  <si>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</si>
  <si>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</si>
  <si>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</si>
  <si>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</si>
  <si>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</si>
  <si>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</si>
  <si>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</si>
  <si>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</si>
  <si>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</si>
  <si>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</si>
  <si>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</si>
  <si>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</si>
  <si>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</si>
  <si>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</si>
  <si>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</si>
  <si>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</si>
  <si>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</si>
  <si>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</si>
  <si>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</si>
  <si>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</si>
  <si>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</si>
  <si>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</si>
  <si>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</si>
  <si>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</si>
  <si>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</si>
  <si>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</si>
  <si>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</si>
  <si>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</si>
  <si>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</si>
  <si>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</si>
  <si>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</si>
  <si>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</si>
  <si>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</si>
  <si>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</si>
  <si>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</si>
  <si>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</si>
  <si>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</si>
  <si>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</si>
  <si>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</si>
  <si>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</si>
  <si>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</si>
  <si>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</si>
  <si>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</si>
  <si>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</si>
  <si>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</si>
  <si>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</si>
  <si>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</si>
  <si>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</si>
  <si>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</si>
  <si>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</si>
  <si>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</si>
  <si>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</si>
  <si>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</si>
  <si>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</si>
  <si>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</si>
  <si>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</si>
  <si>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</si>
  <si>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</si>
  <si>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</si>
  <si>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</si>
  <si>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</si>
  <si>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</si>
  <si>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Enero 2020</t>
  </si>
  <si>
    <t>Febrero 2020</t>
  </si>
  <si>
    <t>MWh</t>
  </si>
  <si>
    <t>Marzo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</si>
  <si>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</si>
  <si>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</si>
  <si>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</si>
  <si>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</si>
  <si>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</si>
  <si>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</si>
  <si>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</si>
  <si>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</si>
  <si>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</si>
  <si>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</si>
  <si>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</si>
  <si>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</si>
  <si>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</si>
  <si>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</si>
  <si>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</si>
  <si>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</si>
  <si>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</si>
  <si>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</si>
  <si>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</si>
  <si>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</si>
  <si>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31/10/2021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</si>
  <si>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ut="11/11/2021 17:25:20" si="2.00000001e64157526d12c8483f7a3f28671e63af54d7447336a6ff23f120c5d218c004b84e08b30691b15489760b6096281a8d315015703df42b00fef576a97e8bcebec828d10ae102233463b70c743e030ba5c2cecfd26fd6e499ff02c75bbeae15c56e5faa1956d9aca5ba6e969b2c698fe48c393c55faf63f14758b7e3870158ddbc61e08833efb9cd27d90b846fc9a4e59a308077b803bdb988e887ee34e1c6c.p.3082.0.1.Europe/Madrid.upriv*_1*_pidn2*_11*_session*-lat*_1.000000014423247bdfe823e8ef025927ff004171bc6025e085f85673b36d4016080e9fd56fa495ab3b4ee7fbec6931dc252f8dd3864f3692.00000001b99715dae0264b135684f91db25ccb44bc6025e0cb19145db60d3fb8bfca245a71f404501cdd3bc2db455ef80b2964363b11afed.0.1.1.BDEbi.D066E1C611E6257C10D00080EF253B44.0-3082.1.1_-0.1.0_-3082.1.1_5.5.0.*0.00000001da58db66ae43a8756617ece54df40b27c911585a07f24b0f7fe45ad387f57d26641439ee.0.23.11*.2*.0400*.31152J.e.0000000109ba3f65addc876fcc825fa10528ae9bc911585a75621ebe489e5464c186ecc82d57f0d7.0.10*.131*.122*.122.0.0" msgID="539E83EA11EC43142CEF0080EF55E469"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nrr="54"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</si>
  <si>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ut="11/11/2021 17:34:37" si="2.00000001e64157526d12c8483f7a3f28671e63af54d7447336a6ff23f120c5d218c004b84e08b30691b15489760b6096281a8d315015703df42b00fef576a97e8bcebec828d10ae102233463b70c743e030ba5c2cecfd26fd6e499ff02c75bbeae15c56e5faa1956d9aca5ba6e969b2c698fe48c393c55faf63f14758b7e3870158ddbc61e08833efb9cd27d90b846fc9a4e59a308077b803bdb988e887ee34e1c6c.p.3082.0.1.Europe/Madrid.upriv*_1*_pidn2*_11*_session*-lat*_1.000000014423247bdfe823e8ef025927ff004171bc6025e085f85673b36d4016080e9fd56fa495ab3b4ee7fbec6931dc252f8dd3864f3692.00000001b99715dae0264b135684f91db25ccb44bc6025e0cb19145db60d3fb8bfca245a71f404501cdd3bc2db455ef80b2964363b11afed.0.1.1.BDEbi.D066E1C611E6257C10D00080EF253B44.0-3082.1.1_-0.1.0_-3082.1.1_5.5.0.*0.00000001da58db66ae43a8756617ece54df40b27c911585a07f24b0f7fe45ad387f57d26641439ee.0.23.11*.2*.0400*.31152J.e.0000000109ba3f65addc876fcc825fa10528ae9bc911585a75621ebe489e5464c186ecc82d57f0d7.0.10*.131*.122*.122.0.0" msgID="5D36F21611EC43142CEF0080EF854367"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nrr="935" nrc="1760"&gt;&lt;pg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</si>
  <si>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Noviembre 2021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</si>
  <si>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ut="11/11/2021 17:49:01" si="2.00000001e64157526d12c8483f7a3f28671e63af54d7447336a6ff23f120c5d218c004b84e08b30691b15489760b6096281a8d315015703df42b00fef576a97e8bcebec828d10ae102233463b70c743e030ba5c2cecfd26fd6e499ff02c75bbeae15c56e5faa1956d9aca5ba6e969b2c698fe48c393c55faf63f14758b7e3870158ddbc61e08833efb9cd27d90b846fc9a4e59a308077b803bdb988e887ee34e1c6c.p.3082.0.1.Europe/Madrid.upriv*_1*_pidn2*_11*_session*-lat*_1.000000014423247bdfe823e8ef025927ff004171bc6025e085f85673b36d4016080e9fd56fa495ab3b4ee7fbec6931dc252f8dd3864f3692.00000001b99715dae0264b135684f91db25ccb44bc6025e0cb19145db60d3fb8bfca245a71f404501cdd3bc2db455ef80b2964363b11afed.0.1.1.BDEbi.D066E1C611E6257C10D00080EF253B44.0-3082.1.1_-0.1.0_-3082.1.1_5.5.0.*0.00000001da58db66ae43a8756617ece54df40b27c911585a07f24b0f7fe45ad387f57d26641439ee.0.23.11*.2*.0400*.31152J.e.0000000109ba3f65addc876fcc825fa10528ae9bc911585a75621ebe489e5464c186ecc82d57f0d7.0.10*.131*.122*.122.0.0" msgID="F4B618FB11EC43152CEF0080EF45C367"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cols="25" /&gt;&lt;esdo ews="" ece="" ptn="" /&gt;&lt;/excel&gt;&lt;pgs&gt;&lt;pg rows="25" cols="23" nrr="1327" nrc="1041"&gt;&lt;pg /&gt;&lt;bls&gt;&lt;bl sr="1" sc="1" rfetch="25" cfetch="23" posid="1" darows="0" dacols="1"&gt;&lt;excel&gt;&lt;epo ews="Dat_01" ece="A85" enr="MSTR.Serie_Balance_B.C._Mensual_Baleares_y_Canarias" ptn="" qtn="" rows="28" cols="25" /&gt;&lt;esdo ews="" ece="" ptn="" /&gt;&lt;/excel&gt;&lt;gridRng&gt;&lt;sect id="TITLE_AREA" rngprop="1:1:3:2" /&gt;&lt;sect id="ROWHEADERS_AREA" rngprop="4:1:25:2" /&gt;&lt;sect id="COLUMNHEADERS_AREA" rngprop="1:3:3:23" /&gt;&lt;sect id="DATA_AREA" rngprop="4:3:25:23"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</si>
  <si>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ut="11/11/2021 17:52:52" si="2.00000001f4bcec899f4c92bf8f246b84ab715e0d97fbb8ab433ca8cc9ab14513221f89ba42ff65cd5f9069aed26b255bc99d459c264866fdc28f9f64c2df5feecb403aace9a96b6d58d1b1f0e4cceef4c7843765e95cbc16e1e39aceceeba3340ea79bbdd8b5ec35684ef561d7bf56a6c2c20a4080b9352abe5c0648367925e16d2d1f9252c1cbe1a5ed72a1df44581d1f04a3476701c86b1db4ccb693a15f6e255c.p.3082.0.1.Europe/Madrid.upriv*_1*_pidn2*_114*_session*-lat*_1.00000001dd6d7ae6b97b759619621e6677d7fc8ebc6025e09f02a0f5bca7c53dcba72eabe04240b70b4a35361b23f6f836ef3ccd48e7b558.00000001b747e3950256673a2a30ef50021a2e2dbc6025e02d119fe8a2a610f2607c46c8f36d6bd81e5ca93b2cd24bd864d756bc6c136250.0.1.1.BDEbi.D066E1C611E6257C10D00080EF253B44.0-3082.1.1_-0.1.0_-3082.1.1_5.5.0.*0.000000013e2a9eea0c99a448d534ff2ccaa38927c911585af6142643ede0c21c9829b20cd5fb848f.0.23.11*.2*.0400*.31152J.e.00000001c6c3cbbf29463259258dcfad7c853077c911585a7d982964df603438207565753e20236b.0.10*.131*.122*.122.0.0" msgID="28335B0A11EC4318432A0080EFB5E3A1"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nrr="81" nrc="408"&gt;&lt;pg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</si>
  <si>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8ea4d05539084f118a17e31640a70a38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</si>
  <si>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ut="11/11/2021 17:53:14" si="2.00000001f4bcec899f4c92bf8f246b84ab715e0d97fbb8ab433ca8cc9ab14513221f89ba42ff65cd5f9069aed26b255bc99d459c264866fdc28f9f64c2df5feecb403aace9a96b6d58d1b1f0e4cceef4c7843765e95cbc16e1e39aceceeba3340ea79bbdd8b5ec35684ef561d7bf56a6c2c20a4080b9352abe5c0648367925e16d2d1f9252c1cbe1a5ed72a1df44581d1f04a3476701c86b1db4ccb693a15f6e255c.p.3082.0.1.Europe/Madrid.upriv*_1*_pidn2*_114*_session*-lat*_1.00000001dd6d7ae6b97b759619621e6677d7fc8ebc6025e09f02a0f5bca7c53dcba72eabe04240b70b4a35361b23f6f836ef3ccd48e7b558.00000001b747e3950256673a2a30ef50021a2e2dbc6025e02d119fe8a2a610f2607c46c8f36d6bd81e5ca93b2cd24bd864d756bc6c136250.0.1.1.BDEbi.D066E1C611E6257C10D00080EF253B44.0-3082.1.1_-0.1.0_-3082.1.1_5.5.0.*0.000000013e2a9eea0c99a448d534ff2ccaa38927c911585af6142643ede0c21c9829b20cd5fb848f.0.23.11*.2*.0400*.31152J.e.00000001c6c3cbbf29463259258dcfad7c853077c911585a7d982964df603438207565753e20236b.0.10*.131*.122*.122.0.0" msgID="383F5EE111EC4318432A0080EFE5429D"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nrr="36" nrc="444"&gt;&lt;pg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</si>
</sst>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7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0" fontId="49" fillId="0" borderId="0" xfId="0" applyFont="1"/>
    <xf numFmtId="10" fontId="19" fillId="5" borderId="10" xfId="33" applyAlignment="1">
      <alignment horizontal="right" vertical="center"/>
    </xf>
    <xf numFmtId="3" fontId="32" fillId="6" borderId="10" xfId="13" applyNumberFormat="1" applyAlignment="1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4" fontId="5" fillId="2" borderId="0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4" fontId="9" fillId="2" borderId="0" xfId="3" applyNumberFormat="1" applyFont="1" applyFill="1" applyBorder="1" applyAlignment="1" applyProtection="1">
      <alignment horizontal="right" indent="1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7886178861788618"/>
                  <c:y val="4.115717153002843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6910569105691056"/>
                  <c:y val="0.102287517369152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5840407144228908"/>
                  <c:y val="0.180882352941176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layout>
                <c:manualLayout>
                  <c:x val="-0.33495934959349594"/>
                  <c:y val="0.352941176470588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32697484155943923"/>
                  <c:y val="0.13774509803921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34796747967479674"/>
                  <c:y val="9.265863825845321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20375635362652839"/>
                  <c:y val="-5.44391693685348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0.16910569105691056"/>
                  <c:y val="-0.166666666666666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7.154471544715453E-2"/>
                  <c:y val="-0.148888760228500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layout>
                <c:manualLayout>
                  <c:x val="0.1105691056910568"/>
                  <c:y val="-0.1519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1138211382113822"/>
                  <c:y val="-5.43673768720086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9.1453926684586886</c:v>
                </c:pt>
                <c:pt idx="2">
                  <c:v>4.2397085370674938</c:v>
                </c:pt>
                <c:pt idx="3">
                  <c:v>70.117932334741013</c:v>
                </c:pt>
                <c:pt idx="4">
                  <c:v>0.22214920341405137</c:v>
                </c:pt>
                <c:pt idx="5">
                  <c:v>0.90327176834127321</c:v>
                </c:pt>
                <c:pt idx="6">
                  <c:v>1.4411200906741457</c:v>
                </c:pt>
                <c:pt idx="7">
                  <c:v>1.4411200906741457</c:v>
                </c:pt>
                <c:pt idx="8">
                  <c:v>6.060226081426269E-2</c:v>
                </c:pt>
                <c:pt idx="9">
                  <c:v>3.7727749337539365</c:v>
                </c:pt>
                <c:pt idx="10">
                  <c:v>5.460624327614616E-2</c:v>
                </c:pt>
                <c:pt idx="11">
                  <c:v>8.6013218687848454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20162601626016249"/>
                  <c:y val="-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5365853658536586"/>
                  <c:y val="0.259803921568627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861788617886179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9674809551245118"/>
                  <c:y val="-0.14297012505789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05809039495063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11.778978572150507</c:v>
                </c:pt>
                <c:pt idx="1">
                  <c:v>6.8075854600239669</c:v>
                </c:pt>
                <c:pt idx="2">
                  <c:v>29.452329920663228</c:v>
                </c:pt>
                <c:pt idx="3">
                  <c:v>40.186241571404032</c:v>
                </c:pt>
                <c:pt idx="4">
                  <c:v>0</c:v>
                </c:pt>
                <c:pt idx="5">
                  <c:v>0.56272458576654349</c:v>
                </c:pt>
                <c:pt idx="6">
                  <c:v>1.8264253673235031</c:v>
                </c:pt>
                <c:pt idx="7">
                  <c:v>1.8264253673235031</c:v>
                </c:pt>
                <c:pt idx="8">
                  <c:v>0.17617191210212668</c:v>
                </c:pt>
                <c:pt idx="9">
                  <c:v>7.2790989001303057</c:v>
                </c:pt>
                <c:pt idx="10">
                  <c:v>0.10401834311227437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oct.-20</c:v>
                </c:pt>
                <c:pt idx="1">
                  <c:v>nov.-20</c:v>
                </c:pt>
                <c:pt idx="2">
                  <c:v>dic.-20</c:v>
                </c:pt>
                <c:pt idx="3">
                  <c:v>ene.-21</c:v>
                </c:pt>
                <c:pt idx="4">
                  <c:v>feb.-21</c:v>
                </c:pt>
                <c:pt idx="5">
                  <c:v>mar.-21</c:v>
                </c:pt>
                <c:pt idx="6">
                  <c:v>abr.-21</c:v>
                </c:pt>
                <c:pt idx="7">
                  <c:v>may.-21</c:v>
                </c:pt>
                <c:pt idx="8">
                  <c:v>jun.-21</c:v>
                </c:pt>
                <c:pt idx="9">
                  <c:v>jul.-21</c:v>
                </c:pt>
                <c:pt idx="10">
                  <c:v>ago.-21</c:v>
                </c:pt>
                <c:pt idx="11">
                  <c:v>sep.-21</c:v>
                </c:pt>
                <c:pt idx="12">
                  <c:v>oct.-21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69.531803999999994</c:v>
                </c:pt>
                <c:pt idx="1">
                  <c:v>18.689830000000001</c:v>
                </c:pt>
                <c:pt idx="2">
                  <c:v>78.075038000000006</c:v>
                </c:pt>
                <c:pt idx="3">
                  <c:v>-0.63269200000000003</c:v>
                </c:pt>
                <c:pt idx="4">
                  <c:v>-0.606159</c:v>
                </c:pt>
                <c:pt idx="5">
                  <c:v>-0.651559</c:v>
                </c:pt>
                <c:pt idx="6">
                  <c:v>-0.59136100000000003</c:v>
                </c:pt>
                <c:pt idx="7">
                  <c:v>-1.103416</c:v>
                </c:pt>
                <c:pt idx="8">
                  <c:v>41.953423999999998</c:v>
                </c:pt>
                <c:pt idx="9">
                  <c:v>9.292719</c:v>
                </c:pt>
                <c:pt idx="10">
                  <c:v>-0.72875599999999996</c:v>
                </c:pt>
                <c:pt idx="11">
                  <c:v>-0.54997399999999996</c:v>
                </c:pt>
                <c:pt idx="12">
                  <c:v>-0.58327700000000005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oct.-20</c:v>
                </c:pt>
                <c:pt idx="1">
                  <c:v>nov.-20</c:v>
                </c:pt>
                <c:pt idx="2">
                  <c:v>dic.-20</c:v>
                </c:pt>
                <c:pt idx="3">
                  <c:v>ene.-21</c:v>
                </c:pt>
                <c:pt idx="4">
                  <c:v>feb.-21</c:v>
                </c:pt>
                <c:pt idx="5">
                  <c:v>mar.-21</c:v>
                </c:pt>
                <c:pt idx="6">
                  <c:v>abr.-21</c:v>
                </c:pt>
                <c:pt idx="7">
                  <c:v>may.-21</c:v>
                </c:pt>
                <c:pt idx="8">
                  <c:v>jun.-21</c:v>
                </c:pt>
                <c:pt idx="9">
                  <c:v>jul.-21</c:v>
                </c:pt>
                <c:pt idx="10">
                  <c:v>ago.-21</c:v>
                </c:pt>
                <c:pt idx="11">
                  <c:v>sep.-21</c:v>
                </c:pt>
                <c:pt idx="12">
                  <c:v>oct.-21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26.611318999999998</c:v>
                </c:pt>
                <c:pt idx="1">
                  <c:v>29.083095999999998</c:v>
                </c:pt>
                <c:pt idx="2">
                  <c:v>33.649616000000002</c:v>
                </c:pt>
                <c:pt idx="3">
                  <c:v>45.739437000000002</c:v>
                </c:pt>
                <c:pt idx="4">
                  <c:v>26.606086999999999</c:v>
                </c:pt>
                <c:pt idx="5">
                  <c:v>27.369999999999997</c:v>
                </c:pt>
                <c:pt idx="6">
                  <c:v>26.434747999999999</c:v>
                </c:pt>
                <c:pt idx="7">
                  <c:v>28.996893</c:v>
                </c:pt>
                <c:pt idx="8">
                  <c:v>60.343260999999998</c:v>
                </c:pt>
                <c:pt idx="9">
                  <c:v>87.100239000000002</c:v>
                </c:pt>
                <c:pt idx="10">
                  <c:v>103.041223</c:v>
                </c:pt>
                <c:pt idx="11">
                  <c:v>93.606610000000003</c:v>
                </c:pt>
                <c:pt idx="12">
                  <c:v>60.567518999999997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oct.-20</c:v>
                </c:pt>
                <c:pt idx="1">
                  <c:v>nov.-20</c:v>
                </c:pt>
                <c:pt idx="2">
                  <c:v>dic.-20</c:v>
                </c:pt>
                <c:pt idx="3">
                  <c:v>ene.-21</c:v>
                </c:pt>
                <c:pt idx="4">
                  <c:v>feb.-21</c:v>
                </c:pt>
                <c:pt idx="5">
                  <c:v>mar.-21</c:v>
                </c:pt>
                <c:pt idx="6">
                  <c:v>abr.-21</c:v>
                </c:pt>
                <c:pt idx="7">
                  <c:v>may.-21</c:v>
                </c:pt>
                <c:pt idx="8">
                  <c:v>jun.-21</c:v>
                </c:pt>
                <c:pt idx="9">
                  <c:v>jul.-21</c:v>
                </c:pt>
                <c:pt idx="10">
                  <c:v>ago.-21</c:v>
                </c:pt>
                <c:pt idx="11">
                  <c:v>sep.-21</c:v>
                </c:pt>
                <c:pt idx="12">
                  <c:v>oct.-21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141.13588200000001</c:v>
                </c:pt>
                <c:pt idx="1">
                  <c:v>185.01524499999999</c:v>
                </c:pt>
                <c:pt idx="2">
                  <c:v>159.35356899999999</c:v>
                </c:pt>
                <c:pt idx="3">
                  <c:v>260.27204499999999</c:v>
                </c:pt>
                <c:pt idx="4">
                  <c:v>187.465463</c:v>
                </c:pt>
                <c:pt idx="5">
                  <c:v>217.47864799999999</c:v>
                </c:pt>
                <c:pt idx="6">
                  <c:v>208.53059300000001</c:v>
                </c:pt>
                <c:pt idx="7">
                  <c:v>203.81251599999999</c:v>
                </c:pt>
                <c:pt idx="8">
                  <c:v>240.57820899999999</c:v>
                </c:pt>
                <c:pt idx="9">
                  <c:v>408.79444899999999</c:v>
                </c:pt>
                <c:pt idx="10">
                  <c:v>437.91378300000002</c:v>
                </c:pt>
                <c:pt idx="11">
                  <c:v>367.24080800000002</c:v>
                </c:pt>
                <c:pt idx="12">
                  <c:v>312.10340600000001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oct.-20</c:v>
                </c:pt>
                <c:pt idx="1">
                  <c:v>nov.-20</c:v>
                </c:pt>
                <c:pt idx="2">
                  <c:v>dic.-20</c:v>
                </c:pt>
                <c:pt idx="3">
                  <c:v>ene.-21</c:v>
                </c:pt>
                <c:pt idx="4">
                  <c:v>feb.-21</c:v>
                </c:pt>
                <c:pt idx="5">
                  <c:v>mar.-21</c:v>
                </c:pt>
                <c:pt idx="6">
                  <c:v>abr.-21</c:v>
                </c:pt>
                <c:pt idx="7">
                  <c:v>may.-21</c:v>
                </c:pt>
                <c:pt idx="8">
                  <c:v>jun.-21</c:v>
                </c:pt>
                <c:pt idx="9">
                  <c:v>jul.-21</c:v>
                </c:pt>
                <c:pt idx="10">
                  <c:v>ago.-21</c:v>
                </c:pt>
                <c:pt idx="11">
                  <c:v>sep.-21</c:v>
                </c:pt>
                <c:pt idx="12">
                  <c:v>oct.-21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0.32789299999999999</c:v>
                </c:pt>
                <c:pt idx="1">
                  <c:v>0.34884399999999999</c:v>
                </c:pt>
                <c:pt idx="2">
                  <c:v>0.28645399999999999</c:v>
                </c:pt>
                <c:pt idx="3">
                  <c:v>0.27796300000000002</c:v>
                </c:pt>
                <c:pt idx="4">
                  <c:v>0.15948300000000001</c:v>
                </c:pt>
                <c:pt idx="5">
                  <c:v>0.30611500000000003</c:v>
                </c:pt>
                <c:pt idx="6">
                  <c:v>0.29466900000000001</c:v>
                </c:pt>
                <c:pt idx="7">
                  <c:v>0.189554</c:v>
                </c:pt>
                <c:pt idx="8">
                  <c:v>9.4216999999999995E-2</c:v>
                </c:pt>
                <c:pt idx="9">
                  <c:v>0.106017</c:v>
                </c:pt>
                <c:pt idx="10">
                  <c:v>0.20128099999999999</c:v>
                </c:pt>
                <c:pt idx="11">
                  <c:v>0.27444800000000003</c:v>
                </c:pt>
                <c:pt idx="12">
                  <c:v>0.26974799999999999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oct.-20</c:v>
                </c:pt>
                <c:pt idx="1">
                  <c:v>nov.-20</c:v>
                </c:pt>
                <c:pt idx="2">
                  <c:v>dic.-20</c:v>
                </c:pt>
                <c:pt idx="3">
                  <c:v>ene.-21</c:v>
                </c:pt>
                <c:pt idx="4">
                  <c:v>feb.-21</c:v>
                </c:pt>
                <c:pt idx="5">
                  <c:v>mar.-21</c:v>
                </c:pt>
                <c:pt idx="6">
                  <c:v>abr.-21</c:v>
                </c:pt>
                <c:pt idx="7">
                  <c:v>may.-21</c:v>
                </c:pt>
                <c:pt idx="8">
                  <c:v>jun.-21</c:v>
                </c:pt>
                <c:pt idx="9">
                  <c:v>jul.-21</c:v>
                </c:pt>
                <c:pt idx="10">
                  <c:v>ago.-21</c:v>
                </c:pt>
                <c:pt idx="11">
                  <c:v>sep.-21</c:v>
                </c:pt>
                <c:pt idx="12">
                  <c:v>oct.-21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9.7249750000000006</c:v>
                </c:pt>
                <c:pt idx="1">
                  <c:v>6.7605230000000001</c:v>
                </c:pt>
                <c:pt idx="2">
                  <c:v>6.7367169999999996</c:v>
                </c:pt>
                <c:pt idx="3">
                  <c:v>8.4045810000000003</c:v>
                </c:pt>
                <c:pt idx="4">
                  <c:v>9.5098800000000008</c:v>
                </c:pt>
                <c:pt idx="5">
                  <c:v>13.293218</c:v>
                </c:pt>
                <c:pt idx="6">
                  <c:v>14.709775</c:v>
                </c:pt>
                <c:pt idx="7">
                  <c:v>22.195191000000001</c:v>
                </c:pt>
                <c:pt idx="8">
                  <c:v>21.167138000000001</c:v>
                </c:pt>
                <c:pt idx="9">
                  <c:v>22.964213999999998</c:v>
                </c:pt>
                <c:pt idx="10">
                  <c:v>21.349046000000001</c:v>
                </c:pt>
                <c:pt idx="11">
                  <c:v>17.621782</c:v>
                </c:pt>
                <c:pt idx="12">
                  <c:v>16.793078000000001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oct.-20</c:v>
                </c:pt>
                <c:pt idx="1">
                  <c:v>nov.-20</c:v>
                </c:pt>
                <c:pt idx="2">
                  <c:v>dic.-20</c:v>
                </c:pt>
                <c:pt idx="3">
                  <c:v>ene.-21</c:v>
                </c:pt>
                <c:pt idx="4">
                  <c:v>feb.-21</c:v>
                </c:pt>
                <c:pt idx="5">
                  <c:v>mar.-21</c:v>
                </c:pt>
                <c:pt idx="6">
                  <c:v>abr.-21</c:v>
                </c:pt>
                <c:pt idx="7">
                  <c:v>may.-21</c:v>
                </c:pt>
                <c:pt idx="8">
                  <c:v>jun.-21</c:v>
                </c:pt>
                <c:pt idx="9">
                  <c:v>jul.-21</c:v>
                </c:pt>
                <c:pt idx="10">
                  <c:v>ago.-21</c:v>
                </c:pt>
                <c:pt idx="11">
                  <c:v>sep.-21</c:v>
                </c:pt>
                <c:pt idx="12">
                  <c:v>oct.-21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2.7317000000000001E-2</c:v>
                </c:pt>
                <c:pt idx="1">
                  <c:v>6.9145999999999999E-2</c:v>
                </c:pt>
                <c:pt idx="2">
                  <c:v>3.986E-2</c:v>
                </c:pt>
                <c:pt idx="3">
                  <c:v>5.7757000000000003E-2</c:v>
                </c:pt>
                <c:pt idx="4">
                  <c:v>7.6887999999999998E-2</c:v>
                </c:pt>
                <c:pt idx="5">
                  <c:v>0.13778699999999999</c:v>
                </c:pt>
                <c:pt idx="6">
                  <c:v>0.10574</c:v>
                </c:pt>
                <c:pt idx="7">
                  <c:v>0.118546</c:v>
                </c:pt>
                <c:pt idx="8">
                  <c:v>9.8640000000000005E-2</c:v>
                </c:pt>
                <c:pt idx="9">
                  <c:v>9.6151E-2</c:v>
                </c:pt>
                <c:pt idx="10">
                  <c:v>8.4413000000000002E-2</c:v>
                </c:pt>
                <c:pt idx="11">
                  <c:v>8.1381999999999996E-2</c:v>
                </c:pt>
                <c:pt idx="12">
                  <c:v>0.243059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oct.-20</c:v>
                </c:pt>
                <c:pt idx="1">
                  <c:v>nov.-20</c:v>
                </c:pt>
                <c:pt idx="2">
                  <c:v>dic.-20</c:v>
                </c:pt>
                <c:pt idx="3">
                  <c:v>ene.-21</c:v>
                </c:pt>
                <c:pt idx="4">
                  <c:v>feb.-21</c:v>
                </c:pt>
                <c:pt idx="5">
                  <c:v>mar.-21</c:v>
                </c:pt>
                <c:pt idx="6">
                  <c:v>abr.-21</c:v>
                </c:pt>
                <c:pt idx="7">
                  <c:v>may.-21</c:v>
                </c:pt>
                <c:pt idx="8">
                  <c:v>jun.-21</c:v>
                </c:pt>
                <c:pt idx="9">
                  <c:v>jul.-21</c:v>
                </c:pt>
                <c:pt idx="10">
                  <c:v>ago.-21</c:v>
                </c:pt>
                <c:pt idx="11">
                  <c:v>sep.-21</c:v>
                </c:pt>
                <c:pt idx="12">
                  <c:v>oct.-21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2.3333560000000002</c:v>
                </c:pt>
                <c:pt idx="1">
                  <c:v>2.521382</c:v>
                </c:pt>
                <c:pt idx="2">
                  <c:v>3.3692880000000001</c:v>
                </c:pt>
                <c:pt idx="3">
                  <c:v>4.0659429999999999</c:v>
                </c:pt>
                <c:pt idx="4">
                  <c:v>3.641699</c:v>
                </c:pt>
                <c:pt idx="5">
                  <c:v>3.9954990000000001</c:v>
                </c:pt>
                <c:pt idx="6">
                  <c:v>3.2208809999999999</c:v>
                </c:pt>
                <c:pt idx="7">
                  <c:v>2.5715810000000001</c:v>
                </c:pt>
                <c:pt idx="8">
                  <c:v>3.062163</c:v>
                </c:pt>
                <c:pt idx="9">
                  <c:v>3.6905410000000001</c:v>
                </c:pt>
                <c:pt idx="10">
                  <c:v>3.5683280000000002</c:v>
                </c:pt>
                <c:pt idx="11">
                  <c:v>3.678795</c:v>
                </c:pt>
                <c:pt idx="12">
                  <c:v>4.0205719999999996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oct.-20</c:v>
                </c:pt>
                <c:pt idx="1">
                  <c:v>nov.-20</c:v>
                </c:pt>
                <c:pt idx="2">
                  <c:v>dic.-20</c:v>
                </c:pt>
                <c:pt idx="3">
                  <c:v>ene.-21</c:v>
                </c:pt>
                <c:pt idx="4">
                  <c:v>feb.-21</c:v>
                </c:pt>
                <c:pt idx="5">
                  <c:v>mar.-21</c:v>
                </c:pt>
                <c:pt idx="6">
                  <c:v>abr.-21</c:v>
                </c:pt>
                <c:pt idx="7">
                  <c:v>may.-21</c:v>
                </c:pt>
                <c:pt idx="8">
                  <c:v>jun.-21</c:v>
                </c:pt>
                <c:pt idx="9">
                  <c:v>jul.-21</c:v>
                </c:pt>
                <c:pt idx="10">
                  <c:v>ago.-21</c:v>
                </c:pt>
                <c:pt idx="11">
                  <c:v>sep.-21</c:v>
                </c:pt>
                <c:pt idx="12">
                  <c:v>oct.-21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6.2387214999999996</c:v>
                </c:pt>
                <c:pt idx="1">
                  <c:v>12.812825</c:v>
                </c:pt>
                <c:pt idx="2">
                  <c:v>8.6052265000000006</c:v>
                </c:pt>
                <c:pt idx="3">
                  <c:v>7.1515275000000003</c:v>
                </c:pt>
                <c:pt idx="4">
                  <c:v>10.723705000000001</c:v>
                </c:pt>
                <c:pt idx="5">
                  <c:v>10.093087499999999</c:v>
                </c:pt>
                <c:pt idx="6">
                  <c:v>7.5393055000000002</c:v>
                </c:pt>
                <c:pt idx="7">
                  <c:v>6.0236640000000001</c:v>
                </c:pt>
                <c:pt idx="8">
                  <c:v>13.481942</c:v>
                </c:pt>
                <c:pt idx="9">
                  <c:v>11.473026000000001</c:v>
                </c:pt>
                <c:pt idx="10">
                  <c:v>13.3199895</c:v>
                </c:pt>
                <c:pt idx="11">
                  <c:v>11.972504499999999</c:v>
                </c:pt>
                <c:pt idx="12">
                  <c:v>6.4146000000000001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6.2387214999999996</c:v>
                </c:pt>
                <c:pt idx="1">
                  <c:v>12.812825</c:v>
                </c:pt>
                <c:pt idx="2">
                  <c:v>8.6052265000000006</c:v>
                </c:pt>
                <c:pt idx="3">
                  <c:v>7.1515275000000003</c:v>
                </c:pt>
                <c:pt idx="4">
                  <c:v>10.723705000000001</c:v>
                </c:pt>
                <c:pt idx="5">
                  <c:v>10.093087499999999</c:v>
                </c:pt>
                <c:pt idx="6">
                  <c:v>7.5393055000000002</c:v>
                </c:pt>
                <c:pt idx="7">
                  <c:v>6.0236640000000001</c:v>
                </c:pt>
                <c:pt idx="8">
                  <c:v>13.481942</c:v>
                </c:pt>
                <c:pt idx="9">
                  <c:v>11.473026000000001</c:v>
                </c:pt>
                <c:pt idx="10">
                  <c:v>13.3199895</c:v>
                </c:pt>
                <c:pt idx="11">
                  <c:v>11.972504499999999</c:v>
                </c:pt>
                <c:pt idx="12">
                  <c:v>6.4146000000000001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oct.-20</c:v>
                </c:pt>
                <c:pt idx="1">
                  <c:v>nov.-20</c:v>
                </c:pt>
                <c:pt idx="2">
                  <c:v>dic.-20</c:v>
                </c:pt>
                <c:pt idx="3">
                  <c:v>ene.-21</c:v>
                </c:pt>
                <c:pt idx="4">
                  <c:v>feb.-21</c:v>
                </c:pt>
                <c:pt idx="5">
                  <c:v>mar.-21</c:v>
                </c:pt>
                <c:pt idx="6">
                  <c:v>abr.-21</c:v>
                </c:pt>
                <c:pt idx="7">
                  <c:v>may.-21</c:v>
                </c:pt>
                <c:pt idx="8">
                  <c:v>jun.-21</c:v>
                </c:pt>
                <c:pt idx="9">
                  <c:v>jul.-21</c:v>
                </c:pt>
                <c:pt idx="10">
                  <c:v>ago.-21</c:v>
                </c:pt>
                <c:pt idx="11">
                  <c:v>sep.-21</c:v>
                </c:pt>
                <c:pt idx="12">
                  <c:v>oct.-21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105.943506</c:v>
                </c:pt>
                <c:pt idx="1">
                  <c:v>96.327618999999999</c:v>
                </c:pt>
                <c:pt idx="2">
                  <c:v>138.26159999999999</c:v>
                </c:pt>
                <c:pt idx="3">
                  <c:v>138.25041200000001</c:v>
                </c:pt>
                <c:pt idx="4">
                  <c:v>113.412009</c:v>
                </c:pt>
                <c:pt idx="5">
                  <c:v>127.985573</c:v>
                </c:pt>
                <c:pt idx="6">
                  <c:v>111.02179700000001</c:v>
                </c:pt>
                <c:pt idx="7">
                  <c:v>111.601713</c:v>
                </c:pt>
                <c:pt idx="8">
                  <c:v>65.429468</c:v>
                </c:pt>
                <c:pt idx="9">
                  <c:v>45.879221000000001</c:v>
                </c:pt>
                <c:pt idx="10">
                  <c:v>40.107311000000003</c:v>
                </c:pt>
                <c:pt idx="11">
                  <c:v>37.549396999999999</c:v>
                </c:pt>
                <c:pt idx="12">
                  <c:v>38.285525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6910569105691056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6"/>
                  <c:y val="-8.33333333333333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15.838725140220944</c:v>
                </c:pt>
                <c:pt idx="1">
                  <c:v>16.91415002208608</c:v>
                </c:pt>
                <c:pt idx="2">
                  <c:v>15.676323315716994</c:v>
                </c:pt>
                <c:pt idx="3">
                  <c:v>28.108507785143143</c:v>
                </c:pt>
                <c:pt idx="4">
                  <c:v>1.2407499392101551</c:v>
                </c:pt>
                <c:pt idx="5">
                  <c:v>4.9370154649199895E-2</c:v>
                </c:pt>
                <c:pt idx="6">
                  <c:v>0.36767773067693604</c:v>
                </c:pt>
                <c:pt idx="7">
                  <c:v>16.230925546397977</c:v>
                </c:pt>
                <c:pt idx="8">
                  <c:v>5.4535229372252525</c:v>
                </c:pt>
                <c:pt idx="9">
                  <c:v>0.12004742867331762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6097560975609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4959349593495938"/>
                  <c:y val="-9.8039215686274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0.13170744510594712"/>
                  <c:y val="-0.139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3983739837398373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21.800250426524286</c:v>
                </c:pt>
                <c:pt idx="1">
                  <c:v>3.7350268619518832</c:v>
                </c:pt>
                <c:pt idx="2">
                  <c:v>15.324552660491159</c:v>
                </c:pt>
                <c:pt idx="3">
                  <c:v>39.294814714406904</c:v>
                </c:pt>
                <c:pt idx="4">
                  <c:v>0</c:v>
                </c:pt>
                <c:pt idx="5">
                  <c:v>3.8436769365250541E-2</c:v>
                </c:pt>
                <c:pt idx="6">
                  <c:v>0.25240400888538667</c:v>
                </c:pt>
                <c:pt idx="7">
                  <c:v>16.603690514589612</c:v>
                </c:pt>
                <c:pt idx="8">
                  <c:v>2.847829043839317</c:v>
                </c:pt>
                <c:pt idx="9">
                  <c:v>0.10299499994619987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oct.-20</c:v>
                </c:pt>
                <c:pt idx="1">
                  <c:v>nov.-20</c:v>
                </c:pt>
                <c:pt idx="2">
                  <c:v>dic.-20</c:v>
                </c:pt>
                <c:pt idx="3">
                  <c:v>ene.-21</c:v>
                </c:pt>
                <c:pt idx="4">
                  <c:v>feb.-21</c:v>
                </c:pt>
                <c:pt idx="5">
                  <c:v>mar.-21</c:v>
                </c:pt>
                <c:pt idx="6">
                  <c:v>abr.-21</c:v>
                </c:pt>
                <c:pt idx="7">
                  <c:v>may.-21</c:v>
                </c:pt>
                <c:pt idx="8">
                  <c:v>jun.-21</c:v>
                </c:pt>
                <c:pt idx="9">
                  <c:v>jul.-21</c:v>
                </c:pt>
                <c:pt idx="10">
                  <c:v>ago.-21</c:v>
                </c:pt>
                <c:pt idx="11">
                  <c:v>sep.-21</c:v>
                </c:pt>
                <c:pt idx="12">
                  <c:v>oct.-21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0.29975600000000002</c:v>
                </c:pt>
                <c:pt idx="1">
                  <c:v>0.28527599999999997</c:v>
                </c:pt>
                <c:pt idx="2">
                  <c:v>0.29958099999999999</c:v>
                </c:pt>
                <c:pt idx="3">
                  <c:v>0.29762100000000002</c:v>
                </c:pt>
                <c:pt idx="4">
                  <c:v>0.25852999999999998</c:v>
                </c:pt>
                <c:pt idx="5">
                  <c:v>0.28226499999999999</c:v>
                </c:pt>
                <c:pt idx="6">
                  <c:v>0.13780600000000001</c:v>
                </c:pt>
                <c:pt idx="7">
                  <c:v>0.26783600000000002</c:v>
                </c:pt>
                <c:pt idx="8">
                  <c:v>0.28217700000000001</c:v>
                </c:pt>
                <c:pt idx="9">
                  <c:v>0.28972599999999998</c:v>
                </c:pt>
                <c:pt idx="10">
                  <c:v>0.28065899999999999</c:v>
                </c:pt>
                <c:pt idx="11">
                  <c:v>0.27753299999999997</c:v>
                </c:pt>
                <c:pt idx="12">
                  <c:v>0.28213100000000002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oct.-20</c:v>
                </c:pt>
                <c:pt idx="1">
                  <c:v>nov.-20</c:v>
                </c:pt>
                <c:pt idx="2">
                  <c:v>dic.-20</c:v>
                </c:pt>
                <c:pt idx="3">
                  <c:v>ene.-21</c:v>
                </c:pt>
                <c:pt idx="4">
                  <c:v>feb.-21</c:v>
                </c:pt>
                <c:pt idx="5">
                  <c:v>mar.-21</c:v>
                </c:pt>
                <c:pt idx="6">
                  <c:v>abr.-21</c:v>
                </c:pt>
                <c:pt idx="7">
                  <c:v>may.-21</c:v>
                </c:pt>
                <c:pt idx="8">
                  <c:v>jun.-21</c:v>
                </c:pt>
                <c:pt idx="9">
                  <c:v>jul.-21</c:v>
                </c:pt>
                <c:pt idx="10">
                  <c:v>ago.-21</c:v>
                </c:pt>
                <c:pt idx="11">
                  <c:v>sep.-21</c:v>
                </c:pt>
                <c:pt idx="12">
                  <c:v>oct.-21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301.03426400000001</c:v>
                </c:pt>
                <c:pt idx="1">
                  <c:v>287.12516499999998</c:v>
                </c:pt>
                <c:pt idx="2">
                  <c:v>272.274542</c:v>
                </c:pt>
                <c:pt idx="3">
                  <c:v>267.49094000000002</c:v>
                </c:pt>
                <c:pt idx="4">
                  <c:v>227.675399</c:v>
                </c:pt>
                <c:pt idx="5">
                  <c:v>244.02209900000003</c:v>
                </c:pt>
                <c:pt idx="6">
                  <c:v>226.89470900000001</c:v>
                </c:pt>
                <c:pt idx="7">
                  <c:v>205.95798300000001</c:v>
                </c:pt>
                <c:pt idx="8">
                  <c:v>182.21304600000002</c:v>
                </c:pt>
                <c:pt idx="9">
                  <c:v>222.63896800000001</c:v>
                </c:pt>
                <c:pt idx="10">
                  <c:v>266.14883300000002</c:v>
                </c:pt>
                <c:pt idx="11">
                  <c:v>313.81515200000001</c:v>
                </c:pt>
                <c:pt idx="12">
                  <c:v>299.91658699999999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oct.-20</c:v>
                </c:pt>
                <c:pt idx="1">
                  <c:v>nov.-20</c:v>
                </c:pt>
                <c:pt idx="2">
                  <c:v>dic.-20</c:v>
                </c:pt>
                <c:pt idx="3">
                  <c:v>ene.-21</c:v>
                </c:pt>
                <c:pt idx="4">
                  <c:v>feb.-21</c:v>
                </c:pt>
                <c:pt idx="5">
                  <c:v>mar.-21</c:v>
                </c:pt>
                <c:pt idx="6">
                  <c:v>abr.-21</c:v>
                </c:pt>
                <c:pt idx="7">
                  <c:v>may.-21</c:v>
                </c:pt>
                <c:pt idx="8">
                  <c:v>jun.-21</c:v>
                </c:pt>
                <c:pt idx="9">
                  <c:v>jul.-21</c:v>
                </c:pt>
                <c:pt idx="10">
                  <c:v>ago.-21</c:v>
                </c:pt>
                <c:pt idx="11">
                  <c:v>sep.-21</c:v>
                </c:pt>
                <c:pt idx="12">
                  <c:v>oct.-21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252.83072899999999</c:v>
                </c:pt>
                <c:pt idx="1">
                  <c:v>292.22053799999998</c:v>
                </c:pt>
                <c:pt idx="2">
                  <c:v>314.37255499999998</c:v>
                </c:pt>
                <c:pt idx="3">
                  <c:v>280.66014899999999</c:v>
                </c:pt>
                <c:pt idx="4">
                  <c:v>269.76136200000002</c:v>
                </c:pt>
                <c:pt idx="5">
                  <c:v>284.19602200000003</c:v>
                </c:pt>
                <c:pt idx="6">
                  <c:v>311.21022299999998</c:v>
                </c:pt>
                <c:pt idx="7">
                  <c:v>236.28277700000001</c:v>
                </c:pt>
                <c:pt idx="8">
                  <c:v>276.61590899999999</c:v>
                </c:pt>
                <c:pt idx="9">
                  <c:v>284.60979800000001</c:v>
                </c:pt>
                <c:pt idx="10">
                  <c:v>284.30052499999999</c:v>
                </c:pt>
                <c:pt idx="11">
                  <c:v>278.88830000000002</c:v>
                </c:pt>
                <c:pt idx="12">
                  <c:v>288.42916700000001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oct.-20</c:v>
                </c:pt>
                <c:pt idx="1">
                  <c:v>nov.-20</c:v>
                </c:pt>
                <c:pt idx="2">
                  <c:v>dic.-20</c:v>
                </c:pt>
                <c:pt idx="3">
                  <c:v>ene.-21</c:v>
                </c:pt>
                <c:pt idx="4">
                  <c:v>feb.-21</c:v>
                </c:pt>
                <c:pt idx="5">
                  <c:v>mar.-21</c:v>
                </c:pt>
                <c:pt idx="6">
                  <c:v>abr.-21</c:v>
                </c:pt>
                <c:pt idx="7">
                  <c:v>may.-21</c:v>
                </c:pt>
                <c:pt idx="8">
                  <c:v>jun.-21</c:v>
                </c:pt>
                <c:pt idx="9">
                  <c:v>jul.-21</c:v>
                </c:pt>
                <c:pt idx="10">
                  <c:v>ago.-21</c:v>
                </c:pt>
                <c:pt idx="11">
                  <c:v>sep.-21</c:v>
                </c:pt>
                <c:pt idx="12">
                  <c:v>oct.-21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1.456723</c:v>
                </c:pt>
                <c:pt idx="1">
                  <c:v>0.821801</c:v>
                </c:pt>
                <c:pt idx="2">
                  <c:v>0.95850199999999997</c:v>
                </c:pt>
                <c:pt idx="3">
                  <c:v>0.99317</c:v>
                </c:pt>
                <c:pt idx="4">
                  <c:v>1.226483</c:v>
                </c:pt>
                <c:pt idx="5">
                  <c:v>1.921443</c:v>
                </c:pt>
                <c:pt idx="6">
                  <c:v>0.83590799999999998</c:v>
                </c:pt>
                <c:pt idx="7">
                  <c:v>3.227077</c:v>
                </c:pt>
                <c:pt idx="8">
                  <c:v>3.0020419999999999</c:v>
                </c:pt>
                <c:pt idx="9">
                  <c:v>3.5782180000000001</c:v>
                </c:pt>
                <c:pt idx="10">
                  <c:v>2.663478</c:v>
                </c:pt>
                <c:pt idx="11">
                  <c:v>1.4201079999999999</c:v>
                </c:pt>
                <c:pt idx="12">
                  <c:v>1.852679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oct.-20</c:v>
                </c:pt>
                <c:pt idx="1">
                  <c:v>nov.-20</c:v>
                </c:pt>
                <c:pt idx="2">
                  <c:v>dic.-20</c:v>
                </c:pt>
                <c:pt idx="3">
                  <c:v>ene.-21</c:v>
                </c:pt>
                <c:pt idx="4">
                  <c:v>feb.-21</c:v>
                </c:pt>
                <c:pt idx="5">
                  <c:v>mar.-21</c:v>
                </c:pt>
                <c:pt idx="6">
                  <c:v>abr.-21</c:v>
                </c:pt>
                <c:pt idx="7">
                  <c:v>may.-21</c:v>
                </c:pt>
                <c:pt idx="8">
                  <c:v>jun.-21</c:v>
                </c:pt>
                <c:pt idx="9">
                  <c:v>jul.-21</c:v>
                </c:pt>
                <c:pt idx="10">
                  <c:v>ago.-21</c:v>
                </c:pt>
                <c:pt idx="11">
                  <c:v>sep.-21</c:v>
                </c:pt>
                <c:pt idx="12">
                  <c:v>oct.-21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98.440837000000002</c:v>
                </c:pt>
                <c:pt idx="1">
                  <c:v>54.913390999999997</c:v>
                </c:pt>
                <c:pt idx="2">
                  <c:v>61.422595000000001</c:v>
                </c:pt>
                <c:pt idx="3">
                  <c:v>81.695520000000002</c:v>
                </c:pt>
                <c:pt idx="4">
                  <c:v>58.505417000000001</c:v>
                </c:pt>
                <c:pt idx="5">
                  <c:v>84.841812000000004</c:v>
                </c:pt>
                <c:pt idx="6">
                  <c:v>52.700510000000001</c:v>
                </c:pt>
                <c:pt idx="7">
                  <c:v>162.60342700000001</c:v>
                </c:pt>
                <c:pt idx="8">
                  <c:v>148.01756800000001</c:v>
                </c:pt>
                <c:pt idx="9">
                  <c:v>158.51529099999999</c:v>
                </c:pt>
                <c:pt idx="10">
                  <c:v>145.85740200000001</c:v>
                </c:pt>
                <c:pt idx="11">
                  <c:v>106.41552299999999</c:v>
                </c:pt>
                <c:pt idx="12">
                  <c:v>121.87329699999999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oct.-20</c:v>
                </c:pt>
                <c:pt idx="1">
                  <c:v>nov.-20</c:v>
                </c:pt>
                <c:pt idx="2">
                  <c:v>dic.-20</c:v>
                </c:pt>
                <c:pt idx="3">
                  <c:v>ene.-21</c:v>
                </c:pt>
                <c:pt idx="4">
                  <c:v>feb.-21</c:v>
                </c:pt>
                <c:pt idx="5">
                  <c:v>mar.-21</c:v>
                </c:pt>
                <c:pt idx="6">
                  <c:v>abr.-21</c:v>
                </c:pt>
                <c:pt idx="7">
                  <c:v>may.-21</c:v>
                </c:pt>
                <c:pt idx="8">
                  <c:v>jun.-21</c:v>
                </c:pt>
                <c:pt idx="9">
                  <c:v>jul.-21</c:v>
                </c:pt>
                <c:pt idx="10">
                  <c:v>ago.-21</c:v>
                </c:pt>
                <c:pt idx="11">
                  <c:v>sep.-21</c:v>
                </c:pt>
                <c:pt idx="12">
                  <c:v>oct.-21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20.015422000000001</c:v>
                </c:pt>
                <c:pt idx="1">
                  <c:v>16.227492000000002</c:v>
                </c:pt>
                <c:pt idx="2">
                  <c:v>15.507413</c:v>
                </c:pt>
                <c:pt idx="3">
                  <c:v>16.464936000000002</c:v>
                </c:pt>
                <c:pt idx="4">
                  <c:v>17.884999000000001</c:v>
                </c:pt>
                <c:pt idx="5">
                  <c:v>24.290976000000001</c:v>
                </c:pt>
                <c:pt idx="6">
                  <c:v>22.565013</c:v>
                </c:pt>
                <c:pt idx="7">
                  <c:v>27.019202</c:v>
                </c:pt>
                <c:pt idx="8">
                  <c:v>24.71088</c:v>
                </c:pt>
                <c:pt idx="9">
                  <c:v>27.905276000000001</c:v>
                </c:pt>
                <c:pt idx="10">
                  <c:v>26.100961999999999</c:v>
                </c:pt>
                <c:pt idx="11">
                  <c:v>21.461660999999999</c:v>
                </c:pt>
                <c:pt idx="12">
                  <c:v>20.903444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oct.-20</c:v>
                </c:pt>
                <c:pt idx="1">
                  <c:v>nov.-20</c:v>
                </c:pt>
                <c:pt idx="2">
                  <c:v>dic.-20</c:v>
                </c:pt>
                <c:pt idx="3">
                  <c:v>ene.-21</c:v>
                </c:pt>
                <c:pt idx="4">
                  <c:v>feb.-21</c:v>
                </c:pt>
                <c:pt idx="5">
                  <c:v>mar.-21</c:v>
                </c:pt>
                <c:pt idx="6">
                  <c:v>abr.-21</c:v>
                </c:pt>
                <c:pt idx="7">
                  <c:v>may.-21</c:v>
                </c:pt>
                <c:pt idx="8">
                  <c:v>jun.-21</c:v>
                </c:pt>
                <c:pt idx="9">
                  <c:v>jul.-21</c:v>
                </c:pt>
                <c:pt idx="10">
                  <c:v>ago.-21</c:v>
                </c:pt>
                <c:pt idx="11">
                  <c:v>sep.-21</c:v>
                </c:pt>
                <c:pt idx="12">
                  <c:v>oct.-21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0.78250799999999998</c:v>
                </c:pt>
                <c:pt idx="1">
                  <c:v>0.74310299999999996</c:v>
                </c:pt>
                <c:pt idx="2">
                  <c:v>0.75252699999999995</c:v>
                </c:pt>
                <c:pt idx="3">
                  <c:v>0.35872300000000001</c:v>
                </c:pt>
                <c:pt idx="4">
                  <c:v>0.69978200000000002</c:v>
                </c:pt>
                <c:pt idx="5">
                  <c:v>0.79178499999999996</c:v>
                </c:pt>
                <c:pt idx="6">
                  <c:v>0.72202100000000002</c:v>
                </c:pt>
                <c:pt idx="7">
                  <c:v>0.72256799999999999</c:v>
                </c:pt>
                <c:pt idx="8">
                  <c:v>0.72395900000000002</c:v>
                </c:pt>
                <c:pt idx="9">
                  <c:v>0.73402900000000004</c:v>
                </c:pt>
                <c:pt idx="10">
                  <c:v>0.56980699999999995</c:v>
                </c:pt>
                <c:pt idx="11">
                  <c:v>0.40013300000000002</c:v>
                </c:pt>
                <c:pt idx="12">
                  <c:v>0.75599700000000003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33" sqref="E33"/>
    </sheetView>
  </sheetViews>
  <sheetFormatPr baseColWidth="10" defaultColWidth="11.42578125" defaultRowHeight="12.75"/>
  <cols>
    <col min="1" max="1" width="0.140625" style="92" customWidth="1"/>
    <col min="2" max="2" width="2.5703125" style="92" customWidth="1"/>
    <col min="3" max="3" width="16.42578125" style="92" customWidth="1"/>
    <col min="4" max="4" width="4.5703125" style="92" customWidth="1"/>
    <col min="5" max="5" width="95.570312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Octubre 2021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A45" zoomScaleNormal="100" workbookViewId="0">
      <selection activeCell="G73" sqref="G73:G77"/>
    </sheetView>
  </sheetViews>
  <sheetFormatPr baseColWidth="10" defaultColWidth="11.42578125" defaultRowHeight="12"/>
  <cols>
    <col min="1" max="1" width="9.42578125" style="111" bestFit="1" customWidth="1"/>
    <col min="2" max="2" width="12.85546875" style="111" bestFit="1" customWidth="1"/>
    <col min="3" max="3" width="23.7109375" style="111" bestFit="1" customWidth="1"/>
    <col min="4" max="4" width="19.85546875" style="111" bestFit="1" customWidth="1"/>
    <col min="5" max="5" width="20.42578125" style="111" bestFit="1" customWidth="1"/>
    <col min="6" max="6" width="31.85546875" style="111" bestFit="1" customWidth="1"/>
    <col min="7" max="7" width="23.7109375" style="111" bestFit="1" customWidth="1"/>
    <col min="8" max="8" width="19.85546875" style="111" bestFit="1" customWidth="1"/>
    <col min="9" max="9" width="20.42578125" style="111" bestFit="1" customWidth="1"/>
    <col min="10" max="11" width="27.85546875" style="111" bestFit="1" customWidth="1"/>
    <col min="12" max="12" width="24" style="111" bestFit="1" customWidth="1"/>
    <col min="13" max="13" width="24.5703125" style="111" bestFit="1" customWidth="1"/>
    <col min="14" max="14" width="31.85546875" style="111" bestFit="1" customWidth="1"/>
    <col min="15" max="33" width="21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127</v>
      </c>
      <c r="B2" s="144" t="s">
        <v>128</v>
      </c>
    </row>
    <row r="4" spans="1:33" ht="15">
      <c r="A4" s="145" t="s">
        <v>67</v>
      </c>
      <c r="B4" s="207" t="s">
        <v>127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</row>
    <row r="5" spans="1:33" ht="15">
      <c r="A5" s="145" t="s">
        <v>68</v>
      </c>
      <c r="B5" s="223" t="s">
        <v>15</v>
      </c>
      <c r="C5" s="224"/>
      <c r="D5" s="224"/>
      <c r="E5" s="224"/>
      <c r="F5" s="224"/>
      <c r="G5" s="224"/>
      <c r="H5" s="224"/>
      <c r="I5" s="225"/>
      <c r="J5" s="223" t="s">
        <v>14</v>
      </c>
      <c r="K5" s="224"/>
      <c r="L5" s="224"/>
      <c r="M5" s="224"/>
      <c r="N5" s="224"/>
      <c r="O5" s="224"/>
      <c r="P5" s="224"/>
      <c r="Q5" s="225"/>
      <c r="R5" s="223" t="s">
        <v>57</v>
      </c>
      <c r="S5" s="224"/>
      <c r="T5" s="224"/>
      <c r="U5" s="224"/>
      <c r="V5" s="224"/>
      <c r="W5" s="224"/>
      <c r="X5" s="224"/>
      <c r="Y5" s="225"/>
      <c r="Z5" s="223" t="s">
        <v>58</v>
      </c>
      <c r="AA5" s="224"/>
      <c r="AB5" s="224"/>
      <c r="AC5" s="224"/>
      <c r="AD5" s="224"/>
      <c r="AE5" s="224"/>
      <c r="AF5" s="224"/>
      <c r="AG5" s="224"/>
    </row>
    <row r="6" spans="1:33">
      <c r="A6" s="145" t="s">
        <v>69</v>
      </c>
      <c r="B6" s="191" t="s">
        <v>59</v>
      </c>
      <c r="C6" s="191" t="s">
        <v>60</v>
      </c>
      <c r="D6" s="191" t="s">
        <v>61</v>
      </c>
      <c r="E6" s="191" t="s">
        <v>62</v>
      </c>
      <c r="F6" s="191" t="s">
        <v>63</v>
      </c>
      <c r="G6" s="191" t="s">
        <v>64</v>
      </c>
      <c r="H6" s="191" t="s">
        <v>65</v>
      </c>
      <c r="I6" s="191" t="s">
        <v>66</v>
      </c>
      <c r="J6" s="191" t="s">
        <v>59</v>
      </c>
      <c r="K6" s="191" t="s">
        <v>60</v>
      </c>
      <c r="L6" s="191" t="s">
        <v>61</v>
      </c>
      <c r="M6" s="191" t="s">
        <v>62</v>
      </c>
      <c r="N6" s="191" t="s">
        <v>63</v>
      </c>
      <c r="O6" s="191" t="s">
        <v>64</v>
      </c>
      <c r="P6" s="191" t="s">
        <v>65</v>
      </c>
      <c r="Q6" s="191" t="s">
        <v>66</v>
      </c>
      <c r="R6" s="191" t="s">
        <v>59</v>
      </c>
      <c r="S6" s="191" t="s">
        <v>60</v>
      </c>
      <c r="T6" s="191" t="s">
        <v>61</v>
      </c>
      <c r="U6" s="191" t="s">
        <v>62</v>
      </c>
      <c r="V6" s="191" t="s">
        <v>63</v>
      </c>
      <c r="W6" s="191" t="s">
        <v>64</v>
      </c>
      <c r="X6" s="191" t="s">
        <v>65</v>
      </c>
      <c r="Y6" s="191" t="s">
        <v>66</v>
      </c>
      <c r="Z6" s="191" t="s">
        <v>59</v>
      </c>
      <c r="AA6" s="191" t="s">
        <v>60</v>
      </c>
      <c r="AB6" s="191" t="s">
        <v>61</v>
      </c>
      <c r="AC6" s="191" t="s">
        <v>62</v>
      </c>
      <c r="AD6" s="191" t="s">
        <v>63</v>
      </c>
      <c r="AE6" s="191" t="s">
        <v>64</v>
      </c>
      <c r="AF6" s="191" t="s">
        <v>65</v>
      </c>
      <c r="AG6" s="191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282.13099999999997</v>
      </c>
      <c r="AA8" s="158">
        <v>299.75599999999997</v>
      </c>
      <c r="AB8" s="151">
        <v>-5.8797822200000002E-2</v>
      </c>
      <c r="AC8" s="158">
        <v>2656.2840000000001</v>
      </c>
      <c r="AD8" s="158">
        <v>2896.346</v>
      </c>
      <c r="AE8" s="151">
        <v>-8.2884434399999998E-2</v>
      </c>
      <c r="AF8" s="158">
        <v>3241.1410000000001</v>
      </c>
      <c r="AG8" s="151">
        <v>-7.1841922700000005E-2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-583.27700000000004</v>
      </c>
      <c r="S9" s="158">
        <v>69531.804000000004</v>
      </c>
      <c r="T9" s="151">
        <v>-1.0083886361000001</v>
      </c>
      <c r="U9" s="158">
        <v>45798.949000000001</v>
      </c>
      <c r="V9" s="158">
        <v>124896.62300000001</v>
      </c>
      <c r="W9" s="151">
        <v>-0.63330514550000006</v>
      </c>
      <c r="X9" s="158">
        <v>142563.81700000001</v>
      </c>
      <c r="Y9" s="151">
        <v>-0.63550585989999997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16421.031999999999</v>
      </c>
      <c r="C10" s="158">
        <v>15993.171</v>
      </c>
      <c r="D10" s="151">
        <v>2.67527309E-2</v>
      </c>
      <c r="E10" s="158">
        <v>163807.076</v>
      </c>
      <c r="F10" s="158">
        <v>166190.96100000001</v>
      </c>
      <c r="G10" s="151">
        <v>-1.43442519E-2</v>
      </c>
      <c r="H10" s="158">
        <v>196644.97</v>
      </c>
      <c r="I10" s="151">
        <v>-2.1948708800000001E-2</v>
      </c>
      <c r="J10" s="158">
        <v>15435.549000000001</v>
      </c>
      <c r="K10" s="158">
        <v>15391.599</v>
      </c>
      <c r="L10" s="151">
        <v>2.8554537999999998E-3</v>
      </c>
      <c r="M10" s="158">
        <v>162402.16800000001</v>
      </c>
      <c r="N10" s="158">
        <v>165637.64600000001</v>
      </c>
      <c r="O10" s="151">
        <v>-1.9533470099999999E-2</v>
      </c>
      <c r="P10" s="158">
        <v>193551.06400000001</v>
      </c>
      <c r="Q10" s="151">
        <v>-1.6683809399999999E-2</v>
      </c>
      <c r="R10" s="158">
        <v>40707.25</v>
      </c>
      <c r="S10" s="158">
        <v>16937.937999999998</v>
      </c>
      <c r="T10" s="151">
        <v>1.4033179245</v>
      </c>
      <c r="U10" s="158">
        <v>350532.88799999998</v>
      </c>
      <c r="V10" s="158">
        <v>241646.492</v>
      </c>
      <c r="W10" s="151">
        <v>0.4506020141</v>
      </c>
      <c r="X10" s="158">
        <v>391250.20400000003</v>
      </c>
      <c r="Y10" s="151">
        <v>0.3572881906</v>
      </c>
      <c r="Z10" s="158">
        <v>160016.73800000001</v>
      </c>
      <c r="AA10" s="158">
        <v>140275.62899999999</v>
      </c>
      <c r="AB10" s="151">
        <v>0.1407308535</v>
      </c>
      <c r="AC10" s="158">
        <v>1409810.0719999999</v>
      </c>
      <c r="AD10" s="158">
        <v>1423517.4350000001</v>
      </c>
      <c r="AE10" s="151">
        <v>-9.6292202999999996E-3</v>
      </c>
      <c r="AF10" s="158">
        <v>1703701.78</v>
      </c>
      <c r="AG10" s="151">
        <v>-2.4219557799999999E-2</v>
      </c>
    </row>
    <row r="11" spans="1:33">
      <c r="A11" s="144" t="s">
        <v>9</v>
      </c>
      <c r="B11" s="158">
        <v>27.757000000000001</v>
      </c>
      <c r="C11" s="158">
        <v>102.59699999999999</v>
      </c>
      <c r="D11" s="151">
        <v>-0.72945602700000001</v>
      </c>
      <c r="E11" s="158">
        <v>194.44200000000001</v>
      </c>
      <c r="F11" s="158">
        <v>160.46</v>
      </c>
      <c r="G11" s="151">
        <v>0.2117786364</v>
      </c>
      <c r="H11" s="158">
        <v>203.22900000000001</v>
      </c>
      <c r="I11" s="151">
        <v>0.25419806340000001</v>
      </c>
      <c r="J11" s="158">
        <v>0</v>
      </c>
      <c r="K11" s="158">
        <v>1.2989999999999999</v>
      </c>
      <c r="L11" s="151">
        <v>-1</v>
      </c>
      <c r="M11" s="158">
        <v>90.411000000000001</v>
      </c>
      <c r="N11" s="158">
        <v>88.421000000000006</v>
      </c>
      <c r="O11" s="151">
        <v>2.25059658E-2</v>
      </c>
      <c r="P11" s="158">
        <v>97.893000000000001</v>
      </c>
      <c r="Q11" s="151">
        <v>9.0207477199999997E-2</v>
      </c>
      <c r="R11" s="158">
        <v>18871.455999999998</v>
      </c>
      <c r="S11" s="158">
        <v>8933.6270000000004</v>
      </c>
      <c r="T11" s="151">
        <v>1.1124069765</v>
      </c>
      <c r="U11" s="158">
        <v>197249.467</v>
      </c>
      <c r="V11" s="158">
        <v>188541.57199999999</v>
      </c>
      <c r="W11" s="151">
        <v>4.6185543599999997E-2</v>
      </c>
      <c r="X11" s="158">
        <v>219264.86300000001</v>
      </c>
      <c r="Y11" s="151">
        <v>-7.7608511399999996E-2</v>
      </c>
      <c r="Z11" s="158">
        <v>27415.594000000001</v>
      </c>
      <c r="AA11" s="158">
        <v>32544.134999999998</v>
      </c>
      <c r="AB11" s="151">
        <v>-0.15758725800000001</v>
      </c>
      <c r="AC11" s="158">
        <v>166932.929</v>
      </c>
      <c r="AD11" s="158">
        <v>161600</v>
      </c>
      <c r="AE11" s="151">
        <v>3.3000798300000002E-2</v>
      </c>
      <c r="AF11" s="158">
        <v>201093.622</v>
      </c>
      <c r="AG11" s="151">
        <v>2.07279935E-2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112484.255</v>
      </c>
      <c r="AA12" s="158">
        <v>128214.5</v>
      </c>
      <c r="AB12" s="151">
        <v>-0.1226869426</v>
      </c>
      <c r="AC12" s="158">
        <v>880030.71499999997</v>
      </c>
      <c r="AD12" s="158">
        <v>1156260.2180000001</v>
      </c>
      <c r="AE12" s="151">
        <v>-0.23889908060000001</v>
      </c>
      <c r="AF12" s="158">
        <v>1111378.0209999999</v>
      </c>
      <c r="AG12" s="151">
        <v>-0.26411664530000001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312103.40600000002</v>
      </c>
      <c r="S13" s="158">
        <v>141135.88200000001</v>
      </c>
      <c r="T13" s="151">
        <v>1.2113682331</v>
      </c>
      <c r="U13" s="158">
        <v>2844189.92</v>
      </c>
      <c r="V13" s="158">
        <v>2067768.0319999999</v>
      </c>
      <c r="W13" s="151">
        <v>0.37548790580000002</v>
      </c>
      <c r="X13" s="158">
        <v>3188558.7340000002</v>
      </c>
      <c r="Y13" s="151">
        <v>0.40844483009999999</v>
      </c>
      <c r="Z13" s="158">
        <v>288429.16700000002</v>
      </c>
      <c r="AA13" s="158">
        <v>252830.72899999999</v>
      </c>
      <c r="AB13" s="151">
        <v>0.14079949119999999</v>
      </c>
      <c r="AC13" s="158">
        <v>2794954.2319999998</v>
      </c>
      <c r="AD13" s="158">
        <v>2647676.8020000001</v>
      </c>
      <c r="AE13" s="151">
        <v>5.5625154099999997E-2</v>
      </c>
      <c r="AF13" s="158">
        <v>3401547.3250000002</v>
      </c>
      <c r="AG13" s="151">
        <v>6.87754805E-2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988.81299999999999</v>
      </c>
      <c r="S14" s="158">
        <v>739.75400000000002</v>
      </c>
      <c r="T14" s="151">
        <v>0.33667813889999998</v>
      </c>
      <c r="U14" s="158">
        <v>12023.662</v>
      </c>
      <c r="V14" s="158">
        <v>3903.8110000000001</v>
      </c>
      <c r="W14" s="151">
        <v>2.0799805625999999</v>
      </c>
      <c r="X14" s="158">
        <v>12023.662</v>
      </c>
      <c r="Y14" s="151">
        <v>2.0799805625999999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1852.6790000000001</v>
      </c>
      <c r="AA15" s="158">
        <v>1456.723</v>
      </c>
      <c r="AB15" s="151">
        <v>0.27181282919999999</v>
      </c>
      <c r="AC15" s="158">
        <v>20720.606</v>
      </c>
      <c r="AD15" s="158">
        <v>17759.923999999999</v>
      </c>
      <c r="AE15" s="151">
        <v>0.16670578089999999</v>
      </c>
      <c r="AF15" s="158">
        <v>22500.909</v>
      </c>
      <c r="AG15" s="151">
        <v>7.06502096E-2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269.74799999999999</v>
      </c>
      <c r="S16" s="158">
        <v>327.89299999999997</v>
      </c>
      <c r="T16" s="151">
        <v>-0.1773291897</v>
      </c>
      <c r="U16" s="158">
        <v>2173.4949999999999</v>
      </c>
      <c r="V16" s="158">
        <v>3005.625</v>
      </c>
      <c r="W16" s="151">
        <v>-0.27685755870000001</v>
      </c>
      <c r="X16" s="158">
        <v>2808.7930000000001</v>
      </c>
      <c r="Y16" s="151">
        <v>-0.28820912230000001</v>
      </c>
      <c r="Z16" s="158">
        <v>121873.29700000001</v>
      </c>
      <c r="AA16" s="158">
        <v>98440.837</v>
      </c>
      <c r="AB16" s="151">
        <v>0.2380359688</v>
      </c>
      <c r="AC16" s="158">
        <v>1121025.767</v>
      </c>
      <c r="AD16" s="158">
        <v>984213.33700000006</v>
      </c>
      <c r="AE16" s="151">
        <v>0.13900688480000001</v>
      </c>
      <c r="AF16" s="158">
        <v>1237361.753</v>
      </c>
      <c r="AG16" s="151">
        <v>5.0342248800000003E-2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6.0289999999999999</v>
      </c>
      <c r="K17" s="158">
        <v>6.2949999999999999</v>
      </c>
      <c r="L17" s="151">
        <v>-4.2255758499999997E-2</v>
      </c>
      <c r="M17" s="158">
        <v>54.93</v>
      </c>
      <c r="N17" s="158">
        <v>68.147000000000006</v>
      </c>
      <c r="O17" s="151">
        <v>-0.1939483763</v>
      </c>
      <c r="P17" s="158">
        <v>63.49</v>
      </c>
      <c r="Q17" s="151">
        <v>-0.1716246542</v>
      </c>
      <c r="R17" s="158">
        <v>16793.078000000001</v>
      </c>
      <c r="S17" s="158">
        <v>9724.9750000000004</v>
      </c>
      <c r="T17" s="151">
        <v>0.72679909200000004</v>
      </c>
      <c r="U17" s="158">
        <v>168007.90299999999</v>
      </c>
      <c r="V17" s="158">
        <v>104969.852</v>
      </c>
      <c r="W17" s="151">
        <v>0.6005348183</v>
      </c>
      <c r="X17" s="158">
        <v>181505.14300000001</v>
      </c>
      <c r="Y17" s="151">
        <v>0.54903896510000005</v>
      </c>
      <c r="Z17" s="158">
        <v>20903.444</v>
      </c>
      <c r="AA17" s="158">
        <v>20015.421999999999</v>
      </c>
      <c r="AB17" s="151">
        <v>4.4366888700000003E-2</v>
      </c>
      <c r="AC17" s="158">
        <v>229307.34899999999</v>
      </c>
      <c r="AD17" s="158">
        <v>227128.516</v>
      </c>
      <c r="AE17" s="151">
        <v>9.5929521999999993E-3</v>
      </c>
      <c r="AF17" s="158">
        <v>261042.25399999999</v>
      </c>
      <c r="AG17" s="151">
        <v>-6.4313186999999999E-3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243.059</v>
      </c>
      <c r="S18" s="158">
        <v>27.317</v>
      </c>
      <c r="T18" s="151">
        <v>7.8977193688999998</v>
      </c>
      <c r="U18" s="158">
        <v>1100.3630000000001</v>
      </c>
      <c r="V18" s="158">
        <v>520.39400000000001</v>
      </c>
      <c r="W18" s="151">
        <v>1.1144805665999999</v>
      </c>
      <c r="X18" s="158">
        <v>1209.3689999999999</v>
      </c>
      <c r="Y18" s="151">
        <v>0.52268792659999996</v>
      </c>
      <c r="Z18" s="158">
        <v>755.99699999999996</v>
      </c>
      <c r="AA18" s="158">
        <v>782.50800000000004</v>
      </c>
      <c r="AB18" s="151">
        <v>-3.3879525799999997E-2</v>
      </c>
      <c r="AC18" s="158">
        <v>6478.8040000000001</v>
      </c>
      <c r="AD18" s="158">
        <v>7691.3509999999997</v>
      </c>
      <c r="AE18" s="151">
        <v>-0.157650717</v>
      </c>
      <c r="AF18" s="158">
        <v>7974.4340000000002</v>
      </c>
      <c r="AG18" s="151">
        <v>-0.15788145319999999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4020.5720000000001</v>
      </c>
      <c r="S19" s="158">
        <v>2333.3560000000002</v>
      </c>
      <c r="T19" s="151">
        <v>0.72308554719999996</v>
      </c>
      <c r="U19" s="158">
        <v>35516.002</v>
      </c>
      <c r="V19" s="158">
        <v>27932.512999999999</v>
      </c>
      <c r="W19" s="151">
        <v>0.27149325949999997</v>
      </c>
      <c r="X19" s="158">
        <v>41406.671999999999</v>
      </c>
      <c r="Y19" s="151">
        <v>0.18173503260000001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513.67200000000003</v>
      </c>
      <c r="K20" s="158">
        <v>576.14449999999999</v>
      </c>
      <c r="L20" s="151">
        <v>-0.1084319993</v>
      </c>
      <c r="M20" s="158">
        <v>5131.6170000000002</v>
      </c>
      <c r="N20" s="158">
        <v>4706.7025000000003</v>
      </c>
      <c r="O20" s="151">
        <v>9.0278597399999994E-2</v>
      </c>
      <c r="P20" s="158">
        <v>5950.47</v>
      </c>
      <c r="Q20" s="151">
        <v>6.5233792700000001E-2</v>
      </c>
      <c r="R20" s="158">
        <v>6414.6</v>
      </c>
      <c r="S20" s="158">
        <v>6238.7214999999997</v>
      </c>
      <c r="T20" s="151">
        <v>2.81914331E-2</v>
      </c>
      <c r="U20" s="158">
        <v>98193.351500000004</v>
      </c>
      <c r="V20" s="158">
        <v>92583.796499999997</v>
      </c>
      <c r="W20" s="151">
        <v>6.05889498E-2</v>
      </c>
      <c r="X20" s="158">
        <v>119611.40300000001</v>
      </c>
      <c r="Y20" s="151">
        <v>4.0038572000000001E-2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513.67200000000003</v>
      </c>
      <c r="K21" s="158">
        <v>576.14449999999999</v>
      </c>
      <c r="L21" s="151">
        <v>-0.1084319993</v>
      </c>
      <c r="M21" s="158">
        <v>5131.6170000000002</v>
      </c>
      <c r="N21" s="158">
        <v>4706.7025000000003</v>
      </c>
      <c r="O21" s="151">
        <v>9.0278597399999994E-2</v>
      </c>
      <c r="P21" s="158">
        <v>5950.47</v>
      </c>
      <c r="Q21" s="151">
        <v>6.5233792700000001E-2</v>
      </c>
      <c r="R21" s="158">
        <v>6414.6</v>
      </c>
      <c r="S21" s="158">
        <v>6238.7214999999997</v>
      </c>
      <c r="T21" s="151">
        <v>2.81914331E-2</v>
      </c>
      <c r="U21" s="158">
        <v>98193.351500000004</v>
      </c>
      <c r="V21" s="158">
        <v>92583.796499999997</v>
      </c>
      <c r="W21" s="151">
        <v>6.05889498E-2</v>
      </c>
      <c r="X21" s="158">
        <v>119611.40300000001</v>
      </c>
      <c r="Y21" s="151">
        <v>4.0038572000000001E-2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16448.789000000001</v>
      </c>
      <c r="C22" s="159">
        <v>16095.768</v>
      </c>
      <c r="D22" s="152">
        <v>2.19325353E-2</v>
      </c>
      <c r="E22" s="159">
        <v>164001.51800000001</v>
      </c>
      <c r="F22" s="159">
        <v>166351.421</v>
      </c>
      <c r="G22" s="152">
        <v>-1.41261372E-2</v>
      </c>
      <c r="H22" s="159">
        <v>196848.19899999999</v>
      </c>
      <c r="I22" s="152">
        <v>-2.1726332500000001E-2</v>
      </c>
      <c r="J22" s="159">
        <v>16468.921999999999</v>
      </c>
      <c r="K22" s="159">
        <v>16551.482</v>
      </c>
      <c r="L22" s="152">
        <v>-4.988073E-3</v>
      </c>
      <c r="M22" s="159">
        <v>172810.74299999999</v>
      </c>
      <c r="N22" s="159">
        <v>175207.61900000001</v>
      </c>
      <c r="O22" s="152">
        <v>-1.3680204200000001E-2</v>
      </c>
      <c r="P22" s="159">
        <v>205613.38699999999</v>
      </c>
      <c r="Q22" s="152">
        <v>-1.22984424E-2</v>
      </c>
      <c r="R22" s="159">
        <v>406243.30499999999</v>
      </c>
      <c r="S22" s="159">
        <v>262169.989</v>
      </c>
      <c r="T22" s="152">
        <v>0.54954160289999998</v>
      </c>
      <c r="U22" s="159">
        <v>3852979.352</v>
      </c>
      <c r="V22" s="159">
        <v>2948352.5070000002</v>
      </c>
      <c r="W22" s="152">
        <v>0.3068245208</v>
      </c>
      <c r="X22" s="159">
        <v>4419814.0630000001</v>
      </c>
      <c r="Y22" s="152">
        <v>0.23740006180000001</v>
      </c>
      <c r="Z22" s="159">
        <v>734013.30200000003</v>
      </c>
      <c r="AA22" s="159">
        <v>674860.23899999994</v>
      </c>
      <c r="AB22" s="152">
        <v>8.7652316100000002E-2</v>
      </c>
      <c r="AC22" s="159">
        <v>6631916.7580000004</v>
      </c>
      <c r="AD22" s="159">
        <v>6628743.9289999995</v>
      </c>
      <c r="AE22" s="152">
        <v>4.7864709999999999E-4</v>
      </c>
      <c r="AF22" s="159">
        <v>7949841.2390000001</v>
      </c>
      <c r="AG22" s="152">
        <v>-1.9831278500000001E-2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38285.525000000001</v>
      </c>
      <c r="S23" s="158">
        <v>105943.50599999999</v>
      </c>
      <c r="T23" s="151">
        <v>-0.63862320169999998</v>
      </c>
      <c r="U23" s="158">
        <v>829522.42599999998</v>
      </c>
      <c r="V23" s="158">
        <v>1191948.3060000001</v>
      </c>
      <c r="W23" s="151">
        <v>-0.30406174339999997</v>
      </c>
      <c r="X23" s="158">
        <v>1064111.645</v>
      </c>
      <c r="Y23" s="151">
        <v>-0.2415235741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16448.789000000001</v>
      </c>
      <c r="C24" s="159">
        <v>16095.768</v>
      </c>
      <c r="D24" s="152">
        <v>2.19325353E-2</v>
      </c>
      <c r="E24" s="159">
        <v>164001.51800000001</v>
      </c>
      <c r="F24" s="159">
        <v>166351.421</v>
      </c>
      <c r="G24" s="152">
        <v>-1.41261372E-2</v>
      </c>
      <c r="H24" s="159">
        <v>196848.19899999999</v>
      </c>
      <c r="I24" s="152">
        <v>-2.1726332500000001E-2</v>
      </c>
      <c r="J24" s="159">
        <v>16468.921999999999</v>
      </c>
      <c r="K24" s="159">
        <v>16551.482</v>
      </c>
      <c r="L24" s="152">
        <v>-4.988073E-3</v>
      </c>
      <c r="M24" s="159">
        <v>172810.74299999999</v>
      </c>
      <c r="N24" s="159">
        <v>175207.61900000001</v>
      </c>
      <c r="O24" s="152">
        <v>-1.3680204200000001E-2</v>
      </c>
      <c r="P24" s="159">
        <v>205613.38699999999</v>
      </c>
      <c r="Q24" s="152">
        <v>-1.22984424E-2</v>
      </c>
      <c r="R24" s="159">
        <v>444528.83</v>
      </c>
      <c r="S24" s="159">
        <v>368113.495</v>
      </c>
      <c r="T24" s="152">
        <v>0.20758634510000001</v>
      </c>
      <c r="U24" s="159">
        <v>4682501.7779999999</v>
      </c>
      <c r="V24" s="159">
        <v>4140300.8130000001</v>
      </c>
      <c r="W24" s="152">
        <v>0.13095690130000001</v>
      </c>
      <c r="X24" s="159">
        <v>5483925.7079999996</v>
      </c>
      <c r="Y24" s="152">
        <v>0.10233766179999999</v>
      </c>
      <c r="Z24" s="159">
        <v>734013.30200000003</v>
      </c>
      <c r="AA24" s="159">
        <v>674860.23899999994</v>
      </c>
      <c r="AB24" s="152">
        <v>8.7652316100000002E-2</v>
      </c>
      <c r="AC24" s="159">
        <v>6631916.7580000004</v>
      </c>
      <c r="AD24" s="159">
        <v>6628743.9289999995</v>
      </c>
      <c r="AE24" s="152">
        <v>4.7864709999999999E-4</v>
      </c>
      <c r="AF24" s="159">
        <v>7949841.2390000001</v>
      </c>
      <c r="AG24" s="152">
        <v>-1.9831278500000001E-2</v>
      </c>
    </row>
    <row r="26" spans="1:33">
      <c r="A26" s="111" t="s">
        <v>103</v>
      </c>
      <c r="B26" s="179">
        <f>SUM(B24,J24,R24,Z24)</f>
        <v>1211459.8430000001</v>
      </c>
      <c r="C26" s="179">
        <f>SUM(C24,K24,S24,AA24)</f>
        <v>1075620.9839999999</v>
      </c>
      <c r="D26" s="180">
        <f>((B26/C26)-1)*100</f>
        <v>12.628877738592003</v>
      </c>
      <c r="R26" s="180"/>
    </row>
    <row r="29" spans="1:33" ht="15">
      <c r="A29" s="145" t="s">
        <v>67</v>
      </c>
      <c r="B29" s="207" t="str">
        <f>A2</f>
        <v>Octubre 2021</v>
      </c>
      <c r="C29" s="208"/>
    </row>
    <row r="30" spans="1:33" ht="15">
      <c r="A30" s="145" t="s">
        <v>69</v>
      </c>
      <c r="B30" s="219" t="s">
        <v>72</v>
      </c>
      <c r="C30" s="220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4">
      <c r="A33" s="144" t="s">
        <v>12</v>
      </c>
      <c r="B33" s="147"/>
      <c r="C33" s="147">
        <v>1.52</v>
      </c>
    </row>
    <row r="34" spans="1:4">
      <c r="A34" s="144" t="s">
        <v>11</v>
      </c>
      <c r="B34" s="147">
        <v>241.2</v>
      </c>
      <c r="C34" s="147"/>
    </row>
    <row r="35" spans="1:4">
      <c r="A35" s="144" t="s">
        <v>78</v>
      </c>
      <c r="B35" s="147">
        <v>139.4</v>
      </c>
      <c r="C35" s="147">
        <v>487.64</v>
      </c>
    </row>
    <row r="36" spans="1:4">
      <c r="A36" s="144" t="s">
        <v>9</v>
      </c>
      <c r="B36" s="147">
        <v>603.1</v>
      </c>
      <c r="C36" s="147">
        <v>520.75</v>
      </c>
    </row>
    <row r="37" spans="1:4">
      <c r="A37" s="144" t="s">
        <v>8</v>
      </c>
      <c r="B37" s="147"/>
      <c r="C37" s="147">
        <v>482.64</v>
      </c>
    </row>
    <row r="38" spans="1:4">
      <c r="A38" s="144" t="s">
        <v>25</v>
      </c>
      <c r="B38" s="147">
        <v>822.9</v>
      </c>
      <c r="C38" s="147">
        <v>865.4</v>
      </c>
    </row>
    <row r="39" spans="1:4">
      <c r="A39" s="144" t="s">
        <v>24</v>
      </c>
      <c r="B39" s="147"/>
      <c r="C39" s="147"/>
    </row>
    <row r="40" spans="1:4">
      <c r="A40" s="144" t="s">
        <v>6</v>
      </c>
      <c r="B40" s="147"/>
      <c r="C40" s="147">
        <v>11.32</v>
      </c>
    </row>
    <row r="41" spans="1:4">
      <c r="A41" s="144" t="s">
        <v>5</v>
      </c>
      <c r="B41" s="147">
        <v>3.6074999999999999</v>
      </c>
      <c r="C41" s="147">
        <v>499.71499999999997</v>
      </c>
      <c r="D41" s="186"/>
    </row>
    <row r="42" spans="1:4">
      <c r="A42" s="144" t="s">
        <v>4</v>
      </c>
      <c r="B42" s="147">
        <v>149.05525499999999</v>
      </c>
      <c r="C42" s="147">
        <v>167.90214499999999</v>
      </c>
      <c r="D42" s="186"/>
    </row>
    <row r="43" spans="1:4">
      <c r="A43" s="144" t="s">
        <v>22</v>
      </c>
      <c r="B43" s="147">
        <v>2.13</v>
      </c>
      <c r="C43" s="147">
        <v>3.6960000000000002</v>
      </c>
    </row>
    <row r="44" spans="1:4">
      <c r="A44" s="144" t="s">
        <v>23</v>
      </c>
      <c r="B44" s="147">
        <v>11.523</v>
      </c>
      <c r="C44" s="147">
        <v>38.200000000000003</v>
      </c>
    </row>
    <row r="45" spans="1:4">
      <c r="A45" s="144" t="s">
        <v>54</v>
      </c>
      <c r="B45" s="147">
        <v>37.4</v>
      </c>
      <c r="C45" s="147"/>
    </row>
    <row r="46" spans="1:4">
      <c r="A46" s="144" t="s">
        <v>55</v>
      </c>
      <c r="B46" s="147">
        <v>37.4</v>
      </c>
      <c r="C46" s="147"/>
    </row>
    <row r="47" spans="1:4">
      <c r="A47" s="149" t="s">
        <v>2</v>
      </c>
      <c r="B47" s="184">
        <f>SUM(B33:B46)</f>
        <v>2047.7157550000002</v>
      </c>
      <c r="C47" s="184">
        <f>SUM(C33:C46)</f>
        <v>3078.7831449999999</v>
      </c>
    </row>
    <row r="48" spans="1:4" ht="15">
      <c r="A48"/>
      <c r="C48"/>
      <c r="D48" s="185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241.2</v>
      </c>
      <c r="C52" s="116">
        <f t="shared" ref="C52:C57" si="0">B52/$B$63*100</f>
        <v>11.778978572150507</v>
      </c>
      <c r="D52" s="182"/>
      <c r="F52" s="114" t="s">
        <v>10</v>
      </c>
      <c r="G52" s="115">
        <f>C35</f>
        <v>487.64</v>
      </c>
      <c r="H52" s="116">
        <f>G52/$G$62*100</f>
        <v>15.838725140220944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6.8075854600239669</v>
      </c>
      <c r="D53" s="182"/>
      <c r="F53" s="114" t="s">
        <v>9</v>
      </c>
      <c r="G53" s="115">
        <f>C36</f>
        <v>520.75</v>
      </c>
      <c r="H53" s="116">
        <f t="shared" ref="H53:H61" si="2">G53/$G$62*100</f>
        <v>16.91415002208608</v>
      </c>
    </row>
    <row r="54" spans="1:8">
      <c r="A54" s="114" t="s">
        <v>9</v>
      </c>
      <c r="B54" s="115">
        <f t="shared" si="1"/>
        <v>603.1</v>
      </c>
      <c r="C54" s="116">
        <f t="shared" si="0"/>
        <v>29.452329920663228</v>
      </c>
      <c r="D54" s="182"/>
      <c r="F54" s="114" t="s">
        <v>8</v>
      </c>
      <c r="G54" s="115">
        <f>C37</f>
        <v>482.64</v>
      </c>
      <c r="H54" s="116">
        <f t="shared" si="2"/>
        <v>15.676323315716994</v>
      </c>
    </row>
    <row r="55" spans="1:8">
      <c r="A55" s="114" t="s">
        <v>25</v>
      </c>
      <c r="B55" s="115">
        <f>B38</f>
        <v>822.9</v>
      </c>
      <c r="C55" s="116">
        <f t="shared" si="0"/>
        <v>40.186241571404032</v>
      </c>
      <c r="D55" s="182"/>
      <c r="F55" s="114" t="s">
        <v>25</v>
      </c>
      <c r="G55" s="115">
        <f>C38</f>
        <v>865.4</v>
      </c>
      <c r="H55" s="116">
        <f t="shared" si="2"/>
        <v>28.108507785143143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2"/>
      <c r="F56" s="114" t="s">
        <v>23</v>
      </c>
      <c r="G56" s="115">
        <f>C44</f>
        <v>38.200000000000003</v>
      </c>
      <c r="H56" s="116">
        <f t="shared" si="2"/>
        <v>1.2407499392101551</v>
      </c>
    </row>
    <row r="57" spans="1:8">
      <c r="A57" s="114" t="s">
        <v>23</v>
      </c>
      <c r="B57" s="115">
        <f>B44</f>
        <v>11.523</v>
      </c>
      <c r="C57" s="116">
        <f t="shared" si="0"/>
        <v>0.56272458576654349</v>
      </c>
      <c r="D57" s="182"/>
      <c r="F57" s="114" t="s">
        <v>12</v>
      </c>
      <c r="G57" s="116">
        <f>C33</f>
        <v>1.52</v>
      </c>
      <c r="H57" s="116">
        <f t="shared" si="2"/>
        <v>4.9370154649199895E-2</v>
      </c>
    </row>
    <row r="58" spans="1:8">
      <c r="A58" s="114" t="s">
        <v>55</v>
      </c>
      <c r="B58" s="115">
        <f>B46</f>
        <v>37.4</v>
      </c>
      <c r="C58" s="116">
        <f t="shared" ref="C58:C62" si="3">B58/$B$63*100</f>
        <v>1.8264253673235031</v>
      </c>
      <c r="D58" s="182"/>
      <c r="F58" s="114" t="s">
        <v>6</v>
      </c>
      <c r="G58" s="115">
        <f>C40</f>
        <v>11.32</v>
      </c>
      <c r="H58" s="116">
        <f t="shared" si="2"/>
        <v>0.36767773067693604</v>
      </c>
    </row>
    <row r="59" spans="1:8">
      <c r="A59" s="114" t="s">
        <v>54</v>
      </c>
      <c r="B59" s="115">
        <f>B45</f>
        <v>37.4</v>
      </c>
      <c r="C59" s="116">
        <f t="shared" si="3"/>
        <v>1.8264253673235031</v>
      </c>
      <c r="D59" s="182"/>
      <c r="F59" s="114" t="s">
        <v>5</v>
      </c>
      <c r="G59" s="115">
        <f>C41</f>
        <v>499.71499999999997</v>
      </c>
      <c r="H59" s="116">
        <f t="shared" si="2"/>
        <v>16.230925546397977</v>
      </c>
    </row>
    <row r="60" spans="1:8">
      <c r="A60" s="114" t="s">
        <v>5</v>
      </c>
      <c r="B60" s="115">
        <f>B41</f>
        <v>3.6074999999999999</v>
      </c>
      <c r="C60" s="116">
        <f t="shared" si="3"/>
        <v>0.17617191210212668</v>
      </c>
      <c r="D60" s="182"/>
      <c r="F60" s="114" t="s">
        <v>4</v>
      </c>
      <c r="G60" s="115">
        <f>C42</f>
        <v>167.90214499999999</v>
      </c>
      <c r="H60" s="116">
        <f t="shared" si="2"/>
        <v>5.4535229372252525</v>
      </c>
    </row>
    <row r="61" spans="1:8">
      <c r="A61" s="114" t="s">
        <v>4</v>
      </c>
      <c r="B61" s="115">
        <f>B42</f>
        <v>149.05525499999999</v>
      </c>
      <c r="C61" s="116">
        <f t="shared" si="3"/>
        <v>7.2790989001303057</v>
      </c>
      <c r="D61" s="182"/>
      <c r="F61" s="114" t="s">
        <v>22</v>
      </c>
      <c r="G61" s="115">
        <f>C43</f>
        <v>3.6960000000000002</v>
      </c>
      <c r="H61" s="116">
        <f t="shared" si="2"/>
        <v>0.12004742867331762</v>
      </c>
    </row>
    <row r="62" spans="1:8">
      <c r="A62" s="114" t="s">
        <v>22</v>
      </c>
      <c r="B62" s="115">
        <f>B43</f>
        <v>2.13</v>
      </c>
      <c r="C62" s="116">
        <f t="shared" si="3"/>
        <v>0.10401834311227437</v>
      </c>
      <c r="D62" s="182"/>
      <c r="F62" s="117" t="s">
        <v>20</v>
      </c>
      <c r="G62" s="118">
        <f>SUM(G52:G61)</f>
        <v>3078.7831449999999</v>
      </c>
      <c r="H62" s="119">
        <f>SUM(H52:H61)</f>
        <v>100</v>
      </c>
    </row>
    <row r="63" spans="1:8">
      <c r="A63" s="117" t="s">
        <v>20</v>
      </c>
      <c r="B63" s="118">
        <f>SUM(B52:B62)</f>
        <v>2047.7157550000002</v>
      </c>
      <c r="C63" s="119">
        <f>SUM(C52:C62)</f>
        <v>99.999999999999986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106</v>
      </c>
      <c r="F67" s="112"/>
      <c r="G67" s="113" t="s">
        <v>26</v>
      </c>
    </row>
    <row r="68" spans="1:7">
      <c r="A68" s="114" t="s">
        <v>11</v>
      </c>
      <c r="B68" s="116">
        <f>C68/$C$80*100</f>
        <v>0</v>
      </c>
      <c r="C68" s="115">
        <f>IF(R9&lt;0,0,R9)</f>
        <v>0</v>
      </c>
      <c r="D68" s="187">
        <f>(C68/SUM($C$68:$C$78))*100</f>
        <v>0</v>
      </c>
      <c r="F68" s="114" t="s">
        <v>10</v>
      </c>
      <c r="G68" s="116">
        <f>Z10/Z$24*100</f>
        <v>21.800250426524286</v>
      </c>
    </row>
    <row r="69" spans="1:7">
      <c r="A69" s="114" t="s">
        <v>10</v>
      </c>
      <c r="B69" s="116">
        <f t="shared" ref="B69:B78" si="4">C69/$C$80*100</f>
        <v>9.1453926684586886</v>
      </c>
      <c r="C69" s="115">
        <f>R10</f>
        <v>40707.25</v>
      </c>
      <c r="D69" s="187">
        <f t="shared" ref="D69:D78" si="5">(C69/SUM($C$68:$C$78))*100</f>
        <v>10.006044786916112</v>
      </c>
      <c r="F69" s="114" t="s">
        <v>9</v>
      </c>
      <c r="G69" s="116">
        <f>Z11/Z$24*100</f>
        <v>3.7350268619518832</v>
      </c>
    </row>
    <row r="70" spans="1:7">
      <c r="A70" s="114" t="s">
        <v>9</v>
      </c>
      <c r="B70" s="116">
        <f t="shared" si="4"/>
        <v>4.2397085370674938</v>
      </c>
      <c r="C70" s="115">
        <f>R11</f>
        <v>18871.455999999998</v>
      </c>
      <c r="D70" s="187">
        <f t="shared" si="5"/>
        <v>4.6386978715171567</v>
      </c>
      <c r="F70" s="114" t="s">
        <v>8</v>
      </c>
      <c r="G70" s="116">
        <f>Z12/Z$24*100</f>
        <v>15.324552660491159</v>
      </c>
    </row>
    <row r="71" spans="1:7">
      <c r="A71" s="114" t="s">
        <v>25</v>
      </c>
      <c r="B71" s="116">
        <f t="shared" si="4"/>
        <v>70.117932334741013</v>
      </c>
      <c r="C71" s="115">
        <f>R13</f>
        <v>312103.40600000002</v>
      </c>
      <c r="D71" s="187">
        <f>(C71/SUM($C$68:$C$78))*100</f>
        <v>76.716571583319009</v>
      </c>
      <c r="F71" s="114" t="s">
        <v>25</v>
      </c>
      <c r="G71" s="116">
        <f>Z13/Z$24*100</f>
        <v>39.294814714406904</v>
      </c>
    </row>
    <row r="72" spans="1:7">
      <c r="A72" s="114" t="s">
        <v>24</v>
      </c>
      <c r="B72" s="116">
        <f t="shared" si="4"/>
        <v>0.22214920341405137</v>
      </c>
      <c r="C72" s="115">
        <f>R14</f>
        <v>988.81299999999999</v>
      </c>
      <c r="D72" s="188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4"/>
        <v>0.90327176834127321</v>
      </c>
      <c r="C73" s="115">
        <f>R19</f>
        <v>4020.5720000000001</v>
      </c>
      <c r="D73" s="187">
        <f t="shared" si="5"/>
        <v>0.98827662151142337</v>
      </c>
      <c r="F73" s="114" t="s">
        <v>12</v>
      </c>
      <c r="G73" s="116">
        <f>Z8/Z$24*100</f>
        <v>3.8436769365250541E-2</v>
      </c>
    </row>
    <row r="74" spans="1:7">
      <c r="A74" s="114" t="s">
        <v>55</v>
      </c>
      <c r="B74" s="116">
        <f t="shared" si="4"/>
        <v>1.4411200906741457</v>
      </c>
      <c r="C74" s="115">
        <f>R21</f>
        <v>6414.6</v>
      </c>
      <c r="D74" s="187">
        <f t="shared" si="5"/>
        <v>1.5767406270419175</v>
      </c>
      <c r="F74" s="114" t="s">
        <v>6</v>
      </c>
      <c r="G74" s="116">
        <f>Z15/Z$24*100</f>
        <v>0.25240400888538667</v>
      </c>
    </row>
    <row r="75" spans="1:7">
      <c r="A75" s="114" t="s">
        <v>54</v>
      </c>
      <c r="B75" s="116">
        <f t="shared" si="4"/>
        <v>1.4411200906741457</v>
      </c>
      <c r="C75" s="115">
        <f>R20</f>
        <v>6414.6</v>
      </c>
      <c r="D75" s="187">
        <f t="shared" si="5"/>
        <v>1.5767406270419175</v>
      </c>
      <c r="F75" s="114" t="s">
        <v>5</v>
      </c>
      <c r="G75" s="116">
        <f>Z16/Z$24*100</f>
        <v>16.603690514589612</v>
      </c>
    </row>
    <row r="76" spans="1:7">
      <c r="A76" s="114" t="s">
        <v>5</v>
      </c>
      <c r="B76" s="116">
        <f t="shared" si="4"/>
        <v>6.060226081426269E-2</v>
      </c>
      <c r="C76" s="115">
        <f>R16</f>
        <v>269.74799999999999</v>
      </c>
      <c r="D76" s="187">
        <f t="shared" si="5"/>
        <v>6.630540184318634E-2</v>
      </c>
      <c r="F76" s="114" t="s">
        <v>4</v>
      </c>
      <c r="G76" s="116">
        <f>Z17/Z$24*100</f>
        <v>2.847829043839317</v>
      </c>
    </row>
    <row r="77" spans="1:7">
      <c r="A77" s="114" t="s">
        <v>4</v>
      </c>
      <c r="B77" s="116">
        <f t="shared" si="4"/>
        <v>3.7727749337539365</v>
      </c>
      <c r="C77" s="115">
        <f>R17</f>
        <v>16793.078000000001</v>
      </c>
      <c r="D77" s="187">
        <f t="shared" si="5"/>
        <v>4.1278222080385101</v>
      </c>
      <c r="F77" s="114" t="s">
        <v>22</v>
      </c>
      <c r="G77" s="116">
        <f>Z18/Z$24*100</f>
        <v>0.10299499994619987</v>
      </c>
    </row>
    <row r="78" spans="1:7">
      <c r="A78" s="114" t="s">
        <v>22</v>
      </c>
      <c r="B78" s="116">
        <f t="shared" si="4"/>
        <v>5.460624327614616E-2</v>
      </c>
      <c r="C78" s="115">
        <f>R18</f>
        <v>243.059</v>
      </c>
      <c r="D78" s="187">
        <f t="shared" si="5"/>
        <v>5.9745112722255696E-2</v>
      </c>
      <c r="F78" s="117" t="s">
        <v>20</v>
      </c>
      <c r="G78" s="119">
        <f>SUM(G68:G77)</f>
        <v>100</v>
      </c>
    </row>
    <row r="79" spans="1:7">
      <c r="A79" s="114" t="s">
        <v>21</v>
      </c>
      <c r="B79" s="116">
        <f>C79/$C$80*100</f>
        <v>8.6013218687848454</v>
      </c>
      <c r="C79" s="115">
        <f>R23</f>
        <v>38285.525000000001</v>
      </c>
      <c r="D79" s="182"/>
    </row>
    <row r="80" spans="1:7">
      <c r="A80" s="117" t="s">
        <v>20</v>
      </c>
      <c r="B80" s="119">
        <f>SUM(B68:B79)</f>
        <v>100</v>
      </c>
      <c r="C80" s="118">
        <f>SUM(C68:C79)</f>
        <v>445112.10700000002</v>
      </c>
      <c r="D80" s="182"/>
    </row>
    <row r="85" spans="1:26" ht="15">
      <c r="A85" s="145"/>
      <c r="B85" s="145" t="s">
        <v>69</v>
      </c>
      <c r="C85" s="221" t="s">
        <v>13</v>
      </c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/>
    </row>
    <row r="86" spans="1:26" ht="15">
      <c r="A86" s="145"/>
      <c r="B86" s="143" t="s">
        <v>67</v>
      </c>
      <c r="C86" s="189" t="s">
        <v>104</v>
      </c>
      <c r="D86" s="189" t="s">
        <v>105</v>
      </c>
      <c r="E86" s="189" t="s">
        <v>107</v>
      </c>
      <c r="F86" s="189" t="s">
        <v>109</v>
      </c>
      <c r="G86" s="189" t="s">
        <v>110</v>
      </c>
      <c r="H86" s="189" t="s">
        <v>111</v>
      </c>
      <c r="I86" s="189" t="s">
        <v>112</v>
      </c>
      <c r="J86" s="189" t="s">
        <v>113</v>
      </c>
      <c r="K86" s="189" t="s">
        <v>114</v>
      </c>
      <c r="L86" s="189" t="s">
        <v>115</v>
      </c>
      <c r="M86" s="189" t="s">
        <v>116</v>
      </c>
      <c r="N86" s="189" t="s">
        <v>117</v>
      </c>
      <c r="O86" s="189" t="s">
        <v>118</v>
      </c>
      <c r="P86" s="189" t="s">
        <v>119</v>
      </c>
      <c r="Q86" s="189" t="s">
        <v>120</v>
      </c>
      <c r="R86" s="189" t="s">
        <v>121</v>
      </c>
      <c r="S86" s="189" t="s">
        <v>122</v>
      </c>
      <c r="T86" s="189" t="s">
        <v>123</v>
      </c>
      <c r="U86" s="189" t="s">
        <v>124</v>
      </c>
      <c r="V86" s="189" t="s">
        <v>125</v>
      </c>
      <c r="W86" s="189" t="s">
        <v>126</v>
      </c>
      <c r="X86" s="189" t="s">
        <v>127</v>
      </c>
      <c r="Y86" s="189" t="s">
        <v>131</v>
      </c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/>
    </row>
    <row r="88" spans="1:26" ht="15">
      <c r="A88" s="218" t="s">
        <v>57</v>
      </c>
      <c r="B88" s="144" t="s">
        <v>11</v>
      </c>
      <c r="C88" s="147">
        <v>-3.1773479999999998</v>
      </c>
      <c r="D88" s="147">
        <v>-1.357415</v>
      </c>
      <c r="E88" s="147">
        <v>-1.701627</v>
      </c>
      <c r="F88" s="147">
        <v>-1.684542</v>
      </c>
      <c r="G88" s="147">
        <v>-1.8020959999999999</v>
      </c>
      <c r="H88" s="147">
        <v>-1.2808299999999999</v>
      </c>
      <c r="I88" s="147">
        <v>-1.119569</v>
      </c>
      <c r="J88" s="147">
        <v>-1.1268309999999999</v>
      </c>
      <c r="K88" s="147">
        <v>68.615076999999999</v>
      </c>
      <c r="L88" s="147">
        <v>69.531803999999994</v>
      </c>
      <c r="M88" s="147">
        <v>18.689830000000001</v>
      </c>
      <c r="N88" s="147">
        <v>78.075038000000006</v>
      </c>
      <c r="O88" s="147">
        <v>-0.63269200000000003</v>
      </c>
      <c r="P88" s="147">
        <v>-0.606159</v>
      </c>
      <c r="Q88" s="147">
        <v>-0.651559</v>
      </c>
      <c r="R88" s="147">
        <v>-0.59136100000000003</v>
      </c>
      <c r="S88" s="147">
        <v>-1.103416</v>
      </c>
      <c r="T88" s="147">
        <v>41.953423999999998</v>
      </c>
      <c r="U88" s="147">
        <v>9.292719</v>
      </c>
      <c r="V88" s="147">
        <v>-0.72875599999999996</v>
      </c>
      <c r="W88" s="147">
        <v>-0.54997399999999996</v>
      </c>
      <c r="X88" s="147">
        <v>-0.58327700000000005</v>
      </c>
      <c r="Y88" s="147">
        <v>0</v>
      </c>
      <c r="Z88"/>
    </row>
    <row r="89" spans="1:26" ht="15">
      <c r="A89" s="216"/>
      <c r="B89" s="144" t="s">
        <v>78</v>
      </c>
      <c r="C89" s="147">
        <v>25.163323999999999</v>
      </c>
      <c r="D89" s="147">
        <v>20.211247</v>
      </c>
      <c r="E89" s="147">
        <v>15.845757000000001</v>
      </c>
      <c r="F89" s="147">
        <v>18.686546</v>
      </c>
      <c r="G89" s="147">
        <v>20.180289999999999</v>
      </c>
      <c r="H89" s="147">
        <v>17.902134</v>
      </c>
      <c r="I89" s="147">
        <v>32.575167</v>
      </c>
      <c r="J89" s="147">
        <v>48.229475999999998</v>
      </c>
      <c r="K89" s="147">
        <v>25.914612999999999</v>
      </c>
      <c r="L89" s="147">
        <v>16.937937999999999</v>
      </c>
      <c r="M89" s="147">
        <v>18.608250999999999</v>
      </c>
      <c r="N89" s="147">
        <v>22.109065000000001</v>
      </c>
      <c r="O89" s="147">
        <v>27.196950000000001</v>
      </c>
      <c r="P89" s="147">
        <v>18.940327</v>
      </c>
      <c r="Q89" s="147">
        <v>14.240815</v>
      </c>
      <c r="R89" s="147">
        <v>18.127455999999999</v>
      </c>
      <c r="S89" s="147">
        <v>20.114982000000001</v>
      </c>
      <c r="T89" s="147">
        <v>40.523569999999999</v>
      </c>
      <c r="U89" s="147">
        <v>56.775785999999997</v>
      </c>
      <c r="V89" s="147">
        <v>61.091033000000003</v>
      </c>
      <c r="W89" s="147">
        <v>52.814718999999997</v>
      </c>
      <c r="X89" s="147">
        <v>40.707250000000002</v>
      </c>
      <c r="Y89" s="147">
        <v>8.0266120000000001</v>
      </c>
      <c r="Z89"/>
    </row>
    <row r="90" spans="1:26" ht="15">
      <c r="A90" s="216"/>
      <c r="B90" s="144" t="s">
        <v>9</v>
      </c>
      <c r="C90" s="147">
        <v>21.825088000000001</v>
      </c>
      <c r="D90" s="147">
        <v>17.386634999999998</v>
      </c>
      <c r="E90" s="147">
        <v>18.912102999999998</v>
      </c>
      <c r="F90" s="147">
        <v>9.9217499999999994</v>
      </c>
      <c r="G90" s="147">
        <v>9.5129249999999992</v>
      </c>
      <c r="H90" s="147">
        <v>15.970385</v>
      </c>
      <c r="I90" s="147">
        <v>33.700387999999997</v>
      </c>
      <c r="J90" s="147">
        <v>37.145944999999998</v>
      </c>
      <c r="K90" s="147">
        <v>15.232726</v>
      </c>
      <c r="L90" s="147">
        <v>8.9336269999999995</v>
      </c>
      <c r="M90" s="147">
        <v>10.474845</v>
      </c>
      <c r="N90" s="147">
        <v>11.540551000000001</v>
      </c>
      <c r="O90" s="147">
        <v>18.542487000000001</v>
      </c>
      <c r="P90" s="147">
        <v>7.6657599999999997</v>
      </c>
      <c r="Q90" s="147">
        <v>13.131584999999999</v>
      </c>
      <c r="R90" s="147">
        <v>8.3072920000000003</v>
      </c>
      <c r="S90" s="147">
        <v>7.7047420000000004</v>
      </c>
      <c r="T90" s="147">
        <v>18.862037999999998</v>
      </c>
      <c r="U90" s="147">
        <v>27.349309999999999</v>
      </c>
      <c r="V90" s="147">
        <v>38.115422000000002</v>
      </c>
      <c r="W90" s="147">
        <v>38.699375000000003</v>
      </c>
      <c r="X90" s="147">
        <v>18.871455999999998</v>
      </c>
      <c r="Y90" s="147">
        <v>4.364776</v>
      </c>
      <c r="Z90"/>
    </row>
    <row r="91" spans="1:26" ht="15">
      <c r="A91" s="216"/>
      <c r="B91" s="144" t="s">
        <v>25</v>
      </c>
      <c r="C91" s="147">
        <v>247.42845600000001</v>
      </c>
      <c r="D91" s="147">
        <v>226.17381</v>
      </c>
      <c r="E91" s="147">
        <v>223.68827999999999</v>
      </c>
      <c r="F91" s="147">
        <v>190.73178300000001</v>
      </c>
      <c r="G91" s="147">
        <v>192.66073600000001</v>
      </c>
      <c r="H91" s="147">
        <v>191.22599500000001</v>
      </c>
      <c r="I91" s="147">
        <v>258.52646600000003</v>
      </c>
      <c r="J91" s="147">
        <v>260.88770599999998</v>
      </c>
      <c r="K91" s="147">
        <v>135.30891800000001</v>
      </c>
      <c r="L91" s="147">
        <v>141.13588200000001</v>
      </c>
      <c r="M91" s="147">
        <v>185.01524499999999</v>
      </c>
      <c r="N91" s="147">
        <v>159.35356899999999</v>
      </c>
      <c r="O91" s="147">
        <v>260.27204499999999</v>
      </c>
      <c r="P91" s="147">
        <v>187.465463</v>
      </c>
      <c r="Q91" s="147">
        <v>217.47864799999999</v>
      </c>
      <c r="R91" s="147">
        <v>208.53059300000001</v>
      </c>
      <c r="S91" s="147">
        <v>203.81251599999999</v>
      </c>
      <c r="T91" s="147">
        <v>240.57820899999999</v>
      </c>
      <c r="U91" s="147">
        <v>408.79444899999999</v>
      </c>
      <c r="V91" s="147">
        <v>437.91378300000002</v>
      </c>
      <c r="W91" s="147">
        <v>367.24080800000002</v>
      </c>
      <c r="X91" s="147">
        <v>312.10340600000001</v>
      </c>
      <c r="Y91" s="147">
        <v>111.402891</v>
      </c>
      <c r="Z91"/>
    </row>
    <row r="92" spans="1:26" ht="15">
      <c r="A92" s="216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</v>
      </c>
      <c r="H92" s="147">
        <v>0</v>
      </c>
      <c r="I92" s="147">
        <v>0</v>
      </c>
      <c r="J92" s="147">
        <v>2.5841270000000001</v>
      </c>
      <c r="K92" s="147">
        <v>0.57992999999999995</v>
      </c>
      <c r="L92" s="147">
        <v>0.73975400000000002</v>
      </c>
      <c r="M92" s="147">
        <v>0</v>
      </c>
      <c r="N92" s="147">
        <v>0</v>
      </c>
      <c r="O92" s="147">
        <v>0</v>
      </c>
      <c r="P92" s="147">
        <v>0</v>
      </c>
      <c r="Q92" s="147">
        <v>-2.3999999999999998E-3</v>
      </c>
      <c r="R92" s="147">
        <v>0</v>
      </c>
      <c r="S92" s="147">
        <v>1.1771689999999999</v>
      </c>
      <c r="T92" s="147">
        <v>0.95765299999999998</v>
      </c>
      <c r="U92" s="147">
        <v>2.9751430000000001</v>
      </c>
      <c r="V92" s="147">
        <v>3.834768</v>
      </c>
      <c r="W92" s="147">
        <v>2.0925159999999998</v>
      </c>
      <c r="X92" s="147">
        <v>0.98881300000000005</v>
      </c>
      <c r="Y92" s="147">
        <v>0</v>
      </c>
      <c r="Z92"/>
    </row>
    <row r="93" spans="1:26" ht="15">
      <c r="A93" s="216"/>
      <c r="B93" s="144" t="s">
        <v>5</v>
      </c>
      <c r="C93" s="147">
        <v>0.37082599999999999</v>
      </c>
      <c r="D93" s="147">
        <v>0.33927600000000002</v>
      </c>
      <c r="E93" s="147">
        <v>0.53315400000000002</v>
      </c>
      <c r="F93" s="147">
        <v>0.241702</v>
      </c>
      <c r="G93" s="147">
        <v>0.35256199999999999</v>
      </c>
      <c r="H93" s="147">
        <v>0.22043199999999999</v>
      </c>
      <c r="I93" s="147">
        <v>0.22134999999999999</v>
      </c>
      <c r="J93" s="147">
        <v>0.20865500000000001</v>
      </c>
      <c r="K93" s="147">
        <v>0.189775</v>
      </c>
      <c r="L93" s="147">
        <v>0.32789299999999999</v>
      </c>
      <c r="M93" s="147">
        <v>0.34884399999999999</v>
      </c>
      <c r="N93" s="147">
        <v>0.28645399999999999</v>
      </c>
      <c r="O93" s="147">
        <v>0.27796300000000002</v>
      </c>
      <c r="P93" s="147">
        <v>0.15948300000000001</v>
      </c>
      <c r="Q93" s="147">
        <v>0.30611500000000003</v>
      </c>
      <c r="R93" s="147">
        <v>0.29466900000000001</v>
      </c>
      <c r="S93" s="147">
        <v>0.189554</v>
      </c>
      <c r="T93" s="147">
        <v>9.4216999999999995E-2</v>
      </c>
      <c r="U93" s="147">
        <v>0.106017</v>
      </c>
      <c r="V93" s="147">
        <v>0.20128099999999999</v>
      </c>
      <c r="W93" s="147">
        <v>0.27444800000000003</v>
      </c>
      <c r="X93" s="147">
        <v>0.26974799999999999</v>
      </c>
      <c r="Y93" s="147">
        <v>0.20624000000000001</v>
      </c>
      <c r="Z93"/>
    </row>
    <row r="94" spans="1:26" ht="15">
      <c r="A94" s="216"/>
      <c r="B94" s="144" t="s">
        <v>4</v>
      </c>
      <c r="C94" s="147">
        <v>5.9343859999999999</v>
      </c>
      <c r="D94" s="147">
        <v>8.7361280000000008</v>
      </c>
      <c r="E94" s="147">
        <v>9.2085500000000007</v>
      </c>
      <c r="F94" s="147">
        <v>10.827855</v>
      </c>
      <c r="G94" s="147">
        <v>12.909148999999999</v>
      </c>
      <c r="H94" s="147">
        <v>12.248321000000001</v>
      </c>
      <c r="I94" s="147">
        <v>12.754592000000001</v>
      </c>
      <c r="J94" s="147">
        <v>12.079867</v>
      </c>
      <c r="K94" s="147">
        <v>10.546029000000001</v>
      </c>
      <c r="L94" s="147">
        <v>9.7249750000000006</v>
      </c>
      <c r="M94" s="147">
        <v>6.7605230000000001</v>
      </c>
      <c r="N94" s="147">
        <v>6.7367169999999996</v>
      </c>
      <c r="O94" s="147">
        <v>8.4045810000000003</v>
      </c>
      <c r="P94" s="147">
        <v>9.5098800000000008</v>
      </c>
      <c r="Q94" s="147">
        <v>13.293218</v>
      </c>
      <c r="R94" s="147">
        <v>14.709775</v>
      </c>
      <c r="S94" s="147">
        <v>22.195191000000001</v>
      </c>
      <c r="T94" s="147">
        <v>21.167138000000001</v>
      </c>
      <c r="U94" s="147">
        <v>22.964213999999998</v>
      </c>
      <c r="V94" s="147">
        <v>21.349046000000001</v>
      </c>
      <c r="W94" s="147">
        <v>17.621782</v>
      </c>
      <c r="X94" s="147">
        <v>16.793078000000001</v>
      </c>
      <c r="Y94" s="147">
        <v>3.2995999999999999</v>
      </c>
      <c r="Z94"/>
    </row>
    <row r="95" spans="1:26" ht="15">
      <c r="A95" s="216"/>
      <c r="B95" s="144" t="s">
        <v>22</v>
      </c>
      <c r="C95" s="147">
        <v>0.20147399999999999</v>
      </c>
      <c r="D95" s="147">
        <v>8.1622E-2</v>
      </c>
      <c r="E95" s="147">
        <v>2.6786999999999998E-2</v>
      </c>
      <c r="F95" s="147">
        <v>1.5415999999999999E-2</v>
      </c>
      <c r="G95" s="147">
        <v>2.3830000000000001E-3</v>
      </c>
      <c r="H95" s="147">
        <v>5.9750999999999999E-2</v>
      </c>
      <c r="I95" s="147">
        <v>5.2531000000000001E-2</v>
      </c>
      <c r="J95" s="147">
        <v>5.0303E-2</v>
      </c>
      <c r="K95" s="147">
        <v>2.81E-3</v>
      </c>
      <c r="L95" s="147">
        <v>2.7317000000000001E-2</v>
      </c>
      <c r="M95" s="147">
        <v>6.9145999999999999E-2</v>
      </c>
      <c r="N95" s="147">
        <v>3.986E-2</v>
      </c>
      <c r="O95" s="147">
        <v>5.7757000000000003E-2</v>
      </c>
      <c r="P95" s="147">
        <v>7.6887999999999998E-2</v>
      </c>
      <c r="Q95" s="147">
        <v>0.13778699999999999</v>
      </c>
      <c r="R95" s="147">
        <v>0.10574</v>
      </c>
      <c r="S95" s="147">
        <v>0.118546</v>
      </c>
      <c r="T95" s="147">
        <v>9.8640000000000005E-2</v>
      </c>
      <c r="U95" s="147">
        <v>9.6151E-2</v>
      </c>
      <c r="V95" s="147">
        <v>8.4413000000000002E-2</v>
      </c>
      <c r="W95" s="147">
        <v>8.1381999999999996E-2</v>
      </c>
      <c r="X95" s="147">
        <v>0.243059</v>
      </c>
      <c r="Y95" s="147">
        <v>7.8539999999999999E-2</v>
      </c>
      <c r="Z95"/>
    </row>
    <row r="96" spans="1:26" ht="15">
      <c r="A96" s="216"/>
      <c r="B96" s="144" t="s">
        <v>23</v>
      </c>
      <c r="C96" s="147">
        <v>4.0380969999999996</v>
      </c>
      <c r="D96" s="147">
        <v>3.7449910000000002</v>
      </c>
      <c r="E96" s="147">
        <v>3.4759910000000001</v>
      </c>
      <c r="F96" s="147">
        <v>2.759617</v>
      </c>
      <c r="G96" s="147">
        <v>2.681413</v>
      </c>
      <c r="H96" s="147">
        <v>2.5969359999999999</v>
      </c>
      <c r="I96" s="147">
        <v>2.3319320000000001</v>
      </c>
      <c r="J96" s="147">
        <v>1.922374</v>
      </c>
      <c r="K96" s="147">
        <v>2.047806</v>
      </c>
      <c r="L96" s="147">
        <v>2.3333560000000002</v>
      </c>
      <c r="M96" s="147">
        <v>2.521382</v>
      </c>
      <c r="N96" s="147">
        <v>3.3692880000000001</v>
      </c>
      <c r="O96" s="147">
        <v>4.0659429999999999</v>
      </c>
      <c r="P96" s="147">
        <v>3.641699</v>
      </c>
      <c r="Q96" s="147">
        <v>3.9954990000000001</v>
      </c>
      <c r="R96" s="147">
        <v>3.2208809999999999</v>
      </c>
      <c r="S96" s="147">
        <v>2.5715810000000001</v>
      </c>
      <c r="T96" s="147">
        <v>3.062163</v>
      </c>
      <c r="U96" s="147">
        <v>3.6905410000000001</v>
      </c>
      <c r="V96" s="147">
        <v>3.5683280000000002</v>
      </c>
      <c r="W96" s="147">
        <v>3.678795</v>
      </c>
      <c r="X96" s="147">
        <v>4.0205719999999996</v>
      </c>
      <c r="Y96" s="147">
        <v>0.16542000000000001</v>
      </c>
      <c r="Z96"/>
    </row>
    <row r="97" spans="1:26" ht="15">
      <c r="A97" s="216"/>
      <c r="B97" s="144" t="s">
        <v>54</v>
      </c>
      <c r="C97" s="147">
        <v>9.2619229999999995</v>
      </c>
      <c r="D97" s="147">
        <v>6.0955329999999996</v>
      </c>
      <c r="E97" s="147">
        <v>10.531687</v>
      </c>
      <c r="F97" s="147">
        <v>4.8152900000000001</v>
      </c>
      <c r="G97" s="147">
        <v>5.3655939999999998</v>
      </c>
      <c r="H97" s="147">
        <v>14.316091999999999</v>
      </c>
      <c r="I97" s="147">
        <v>10.772016499999999</v>
      </c>
      <c r="J97" s="147">
        <v>10.810641499999999</v>
      </c>
      <c r="K97" s="147">
        <v>14.376298</v>
      </c>
      <c r="L97" s="147">
        <v>6.2387214999999996</v>
      </c>
      <c r="M97" s="147">
        <v>12.812825</v>
      </c>
      <c r="N97" s="147">
        <v>8.6052265000000006</v>
      </c>
      <c r="O97" s="147">
        <v>7.1515275000000003</v>
      </c>
      <c r="P97" s="147">
        <v>10.723705000000001</v>
      </c>
      <c r="Q97" s="147">
        <v>10.093087499999999</v>
      </c>
      <c r="R97" s="147">
        <v>7.5393055000000002</v>
      </c>
      <c r="S97" s="147">
        <v>6.0236640000000001</v>
      </c>
      <c r="T97" s="147">
        <v>13.481942</v>
      </c>
      <c r="U97" s="147">
        <v>11.473026000000001</v>
      </c>
      <c r="V97" s="147">
        <v>13.3199895</v>
      </c>
      <c r="W97" s="147">
        <v>11.972504499999999</v>
      </c>
      <c r="X97" s="147">
        <v>6.4146000000000001</v>
      </c>
      <c r="Y97" s="147">
        <v>3.7064499999999998</v>
      </c>
      <c r="Z97"/>
    </row>
    <row r="98" spans="1:26" ht="15">
      <c r="A98" s="216"/>
      <c r="B98" s="144" t="s">
        <v>55</v>
      </c>
      <c r="C98" s="147">
        <v>9.2619229999999995</v>
      </c>
      <c r="D98" s="147">
        <v>6.0955329999999996</v>
      </c>
      <c r="E98" s="147">
        <v>10.531687</v>
      </c>
      <c r="F98" s="147">
        <v>4.8152900000000001</v>
      </c>
      <c r="G98" s="147">
        <v>5.3655939999999998</v>
      </c>
      <c r="H98" s="147">
        <v>14.316091999999999</v>
      </c>
      <c r="I98" s="147">
        <v>10.772016499999999</v>
      </c>
      <c r="J98" s="147">
        <v>10.810641499999999</v>
      </c>
      <c r="K98" s="147">
        <v>14.376298</v>
      </c>
      <c r="L98" s="147">
        <v>6.2387214999999996</v>
      </c>
      <c r="M98" s="147">
        <v>12.812825</v>
      </c>
      <c r="N98" s="147">
        <v>8.6052265000000006</v>
      </c>
      <c r="O98" s="147">
        <v>7.1515275000000003</v>
      </c>
      <c r="P98" s="147">
        <v>10.723705000000001</v>
      </c>
      <c r="Q98" s="147">
        <v>10.093087499999999</v>
      </c>
      <c r="R98" s="147">
        <v>7.5393055000000002</v>
      </c>
      <c r="S98" s="147">
        <v>6.0236640000000001</v>
      </c>
      <c r="T98" s="147">
        <v>13.481942</v>
      </c>
      <c r="U98" s="147">
        <v>11.473026000000001</v>
      </c>
      <c r="V98" s="147">
        <v>13.3199895</v>
      </c>
      <c r="W98" s="147">
        <v>11.972504499999999</v>
      </c>
      <c r="X98" s="147">
        <v>6.4146000000000001</v>
      </c>
      <c r="Y98" s="147">
        <v>3.7064499999999998</v>
      </c>
      <c r="Z98"/>
    </row>
    <row r="99" spans="1:26" ht="15">
      <c r="A99" s="216"/>
      <c r="B99" s="149" t="s">
        <v>2</v>
      </c>
      <c r="C99" s="150">
        <v>320.30814900000001</v>
      </c>
      <c r="D99" s="150">
        <v>287.50736000000001</v>
      </c>
      <c r="E99" s="150">
        <v>291.052369</v>
      </c>
      <c r="F99" s="150">
        <v>241.130707</v>
      </c>
      <c r="G99" s="150">
        <v>247.22855000000001</v>
      </c>
      <c r="H99" s="150">
        <v>267.57530800000001</v>
      </c>
      <c r="I99" s="150">
        <v>360.58688999999998</v>
      </c>
      <c r="J99" s="150">
        <v>383.60290500000002</v>
      </c>
      <c r="K99" s="150">
        <v>287.19027999999997</v>
      </c>
      <c r="L99" s="150">
        <v>262.16998899999999</v>
      </c>
      <c r="M99" s="150">
        <v>268.11371600000001</v>
      </c>
      <c r="N99" s="150">
        <v>298.72099500000002</v>
      </c>
      <c r="O99" s="150">
        <v>332.488089</v>
      </c>
      <c r="P99" s="150">
        <v>248.30075099999999</v>
      </c>
      <c r="Q99" s="150">
        <v>282.115883</v>
      </c>
      <c r="R99" s="150">
        <v>267.78365600000001</v>
      </c>
      <c r="S99" s="150">
        <v>268.828193</v>
      </c>
      <c r="T99" s="150">
        <v>394.26093600000002</v>
      </c>
      <c r="U99" s="150">
        <v>554.99038199999995</v>
      </c>
      <c r="V99" s="150">
        <v>592.06929700000001</v>
      </c>
      <c r="W99" s="150">
        <v>505.89886000000001</v>
      </c>
      <c r="X99" s="150">
        <v>406.24330500000002</v>
      </c>
      <c r="Y99" s="150">
        <v>134.95697899999999</v>
      </c>
      <c r="Z99"/>
    </row>
    <row r="100" spans="1:26" ht="15">
      <c r="A100" s="216"/>
      <c r="B100" s="144" t="s">
        <v>21</v>
      </c>
      <c r="C100" s="147">
        <v>136.155901</v>
      </c>
      <c r="D100" s="147">
        <v>115.92849699999999</v>
      </c>
      <c r="E100" s="147">
        <v>112.780382</v>
      </c>
      <c r="F100" s="147">
        <v>80.581305999999998</v>
      </c>
      <c r="G100" s="147">
        <v>79.946523999999997</v>
      </c>
      <c r="H100" s="147">
        <v>93.289579000000003</v>
      </c>
      <c r="I100" s="147">
        <v>168.331695</v>
      </c>
      <c r="J100" s="147">
        <v>182.71595500000001</v>
      </c>
      <c r="K100" s="147">
        <v>116.274961</v>
      </c>
      <c r="L100" s="147">
        <v>105.943506</v>
      </c>
      <c r="M100" s="147">
        <v>96.327618999999999</v>
      </c>
      <c r="N100" s="147">
        <v>138.26159999999999</v>
      </c>
      <c r="O100" s="147">
        <v>138.25041200000001</v>
      </c>
      <c r="P100" s="147">
        <v>113.412009</v>
      </c>
      <c r="Q100" s="147">
        <v>127.985573</v>
      </c>
      <c r="R100" s="147">
        <v>111.02179700000001</v>
      </c>
      <c r="S100" s="147">
        <v>111.601713</v>
      </c>
      <c r="T100" s="147">
        <v>65.429468</v>
      </c>
      <c r="U100" s="147">
        <v>45.879221000000001</v>
      </c>
      <c r="V100" s="147">
        <v>40.107311000000003</v>
      </c>
      <c r="W100" s="147">
        <v>37.549396999999999</v>
      </c>
      <c r="X100" s="147">
        <v>38.285525</v>
      </c>
      <c r="Y100" s="147">
        <v>9.2615999999999996</v>
      </c>
      <c r="Z100"/>
    </row>
    <row r="101" spans="1:26" ht="15">
      <c r="A101" s="217"/>
      <c r="B101" s="149" t="s">
        <v>79</v>
      </c>
      <c r="C101" s="150">
        <v>456.46404999999999</v>
      </c>
      <c r="D101" s="150">
        <v>403.435857</v>
      </c>
      <c r="E101" s="150">
        <v>403.83275099999997</v>
      </c>
      <c r="F101" s="150">
        <v>321.71201300000001</v>
      </c>
      <c r="G101" s="150">
        <v>327.175074</v>
      </c>
      <c r="H101" s="150">
        <v>360.86488700000001</v>
      </c>
      <c r="I101" s="150">
        <v>528.91858500000001</v>
      </c>
      <c r="J101" s="150">
        <v>566.31885999999997</v>
      </c>
      <c r="K101" s="150">
        <v>403.46524099999999</v>
      </c>
      <c r="L101" s="150">
        <v>368.113495</v>
      </c>
      <c r="M101" s="150">
        <v>364.44133499999998</v>
      </c>
      <c r="N101" s="150">
        <v>436.982595</v>
      </c>
      <c r="O101" s="150">
        <v>470.73850099999999</v>
      </c>
      <c r="P101" s="150">
        <v>361.71276</v>
      </c>
      <c r="Q101" s="150">
        <v>410.10145599999998</v>
      </c>
      <c r="R101" s="150">
        <v>378.805453</v>
      </c>
      <c r="S101" s="150">
        <v>380.42990600000002</v>
      </c>
      <c r="T101" s="150">
        <v>459.690404</v>
      </c>
      <c r="U101" s="150">
        <v>600.86960299999998</v>
      </c>
      <c r="V101" s="150">
        <v>632.17660799999999</v>
      </c>
      <c r="W101" s="150">
        <v>543.44825700000001</v>
      </c>
      <c r="X101" s="150">
        <v>444.52883000000003</v>
      </c>
      <c r="Y101" s="150">
        <v>144.21857900000001</v>
      </c>
      <c r="Z101"/>
    </row>
    <row r="102" spans="1:26" ht="15">
      <c r="A102" s="215" t="s">
        <v>58</v>
      </c>
      <c r="B102" s="144" t="s">
        <v>12</v>
      </c>
      <c r="C102" s="147">
        <v>0.30431399999999997</v>
      </c>
      <c r="D102" s="147">
        <v>0.26768999999999998</v>
      </c>
      <c r="E102" s="147">
        <v>0.29931200000000002</v>
      </c>
      <c r="F102" s="147">
        <v>0.288387</v>
      </c>
      <c r="G102" s="147">
        <v>0.28846300000000002</v>
      </c>
      <c r="H102" s="147">
        <v>0.27233299999999999</v>
      </c>
      <c r="I102" s="147">
        <v>0.29030099999999998</v>
      </c>
      <c r="J102" s="147">
        <v>0.29413899999999998</v>
      </c>
      <c r="K102" s="147">
        <v>0.29165099999999999</v>
      </c>
      <c r="L102" s="147">
        <v>0.29975600000000002</v>
      </c>
      <c r="M102" s="147">
        <v>0.28527599999999997</v>
      </c>
      <c r="N102" s="147">
        <v>0.29958099999999999</v>
      </c>
      <c r="O102" s="147">
        <v>0.29762100000000002</v>
      </c>
      <c r="P102" s="147">
        <v>0.25852999999999998</v>
      </c>
      <c r="Q102" s="147">
        <v>0.28226499999999999</v>
      </c>
      <c r="R102" s="147">
        <v>0.13780600000000001</v>
      </c>
      <c r="S102" s="147">
        <v>0.26783600000000002</v>
      </c>
      <c r="T102" s="147">
        <v>0.28217700000000001</v>
      </c>
      <c r="U102" s="147">
        <v>0.28972599999999998</v>
      </c>
      <c r="V102" s="147">
        <v>0.28065899999999999</v>
      </c>
      <c r="W102" s="147">
        <v>0.27753299999999997</v>
      </c>
      <c r="X102" s="147">
        <v>0.28213100000000002</v>
      </c>
      <c r="Y102" s="147">
        <v>0</v>
      </c>
      <c r="Z102"/>
    </row>
    <row r="103" spans="1:26" ht="15">
      <c r="A103" s="216"/>
      <c r="B103" s="144" t="s">
        <v>78</v>
      </c>
      <c r="C103" s="147">
        <v>175.82359</v>
      </c>
      <c r="D103" s="147">
        <v>160.69778299999999</v>
      </c>
      <c r="E103" s="147">
        <v>133.86502100000001</v>
      </c>
      <c r="F103" s="147">
        <v>118.219841</v>
      </c>
      <c r="G103" s="147">
        <v>127.46634299999999</v>
      </c>
      <c r="H103" s="147">
        <v>122.84934</v>
      </c>
      <c r="I103" s="147">
        <v>140.50550799999999</v>
      </c>
      <c r="J103" s="147">
        <v>152.65874500000001</v>
      </c>
      <c r="K103" s="147">
        <v>151.15563499999999</v>
      </c>
      <c r="L103" s="147">
        <v>140.27562900000001</v>
      </c>
      <c r="M103" s="147">
        <v>147.43617</v>
      </c>
      <c r="N103" s="147">
        <v>146.45553799999999</v>
      </c>
      <c r="O103" s="147">
        <v>141.05104299999999</v>
      </c>
      <c r="P103" s="147">
        <v>112.359525</v>
      </c>
      <c r="Q103" s="147">
        <v>128.50312700000001</v>
      </c>
      <c r="R103" s="147">
        <v>140.012246</v>
      </c>
      <c r="S103" s="147">
        <v>126.338086</v>
      </c>
      <c r="T103" s="147">
        <v>133.47633400000001</v>
      </c>
      <c r="U103" s="147">
        <v>143.30591200000001</v>
      </c>
      <c r="V103" s="147">
        <v>156.76769400000001</v>
      </c>
      <c r="W103" s="147">
        <v>167.979367</v>
      </c>
      <c r="X103" s="147">
        <v>160.016738</v>
      </c>
      <c r="Y103" s="147">
        <v>57.27017</v>
      </c>
      <c r="Z103"/>
    </row>
    <row r="104" spans="1:26" ht="15">
      <c r="A104" s="216"/>
      <c r="B104" s="144" t="s">
        <v>9</v>
      </c>
      <c r="C104" s="147">
        <v>17.105090000000001</v>
      </c>
      <c r="D104" s="147">
        <v>21.870190999999998</v>
      </c>
      <c r="E104" s="147">
        <v>12.226845000000001</v>
      </c>
      <c r="F104" s="147">
        <v>5.7932370000000004</v>
      </c>
      <c r="G104" s="147">
        <v>9.4236719999999998</v>
      </c>
      <c r="H104" s="147">
        <v>8.6874149999999997</v>
      </c>
      <c r="I104" s="147">
        <v>15.04932</v>
      </c>
      <c r="J104" s="147">
        <v>17.289342999999999</v>
      </c>
      <c r="K104" s="147">
        <v>21.610752000000002</v>
      </c>
      <c r="L104" s="147">
        <v>32.544134999999997</v>
      </c>
      <c r="M104" s="147">
        <v>18.073917999999999</v>
      </c>
      <c r="N104" s="147">
        <v>16.086774999999999</v>
      </c>
      <c r="O104" s="147">
        <v>10.157844000000001</v>
      </c>
      <c r="P104" s="147">
        <v>10.355027</v>
      </c>
      <c r="Q104" s="147">
        <v>14.760713000000001</v>
      </c>
      <c r="R104" s="147">
        <v>16.229486999999999</v>
      </c>
      <c r="S104" s="147">
        <v>17.203126999999999</v>
      </c>
      <c r="T104" s="147">
        <v>15.24977</v>
      </c>
      <c r="U104" s="147">
        <v>13.198846</v>
      </c>
      <c r="V104" s="147">
        <v>9.7369489999999992</v>
      </c>
      <c r="W104" s="147">
        <v>32.625571999999998</v>
      </c>
      <c r="X104" s="147">
        <v>27.415593999999999</v>
      </c>
      <c r="Y104" s="147">
        <v>4.0673630000000003</v>
      </c>
      <c r="Z104"/>
    </row>
    <row r="105" spans="1:26" ht="15">
      <c r="A105" s="216"/>
      <c r="B105" s="144" t="s">
        <v>8</v>
      </c>
      <c r="C105" s="147">
        <v>146.91851800000001</v>
      </c>
      <c r="D105" s="147">
        <v>128.34914699999999</v>
      </c>
      <c r="E105" s="147">
        <v>114.048723</v>
      </c>
      <c r="F105" s="147">
        <v>98.923323999999994</v>
      </c>
      <c r="G105" s="147">
        <v>116.06845300000001</v>
      </c>
      <c r="H105" s="147">
        <v>83.296143000000001</v>
      </c>
      <c r="I105" s="147">
        <v>114.33213000000001</v>
      </c>
      <c r="J105" s="147">
        <v>127.712586</v>
      </c>
      <c r="K105" s="147">
        <v>98.396693999999997</v>
      </c>
      <c r="L105" s="147">
        <v>128.21449999999999</v>
      </c>
      <c r="M105" s="147">
        <v>121.615077</v>
      </c>
      <c r="N105" s="147">
        <v>109.732229</v>
      </c>
      <c r="O105" s="147">
        <v>116.282053</v>
      </c>
      <c r="P105" s="147">
        <v>104.960847</v>
      </c>
      <c r="Q105" s="147">
        <v>100.758259</v>
      </c>
      <c r="R105" s="147">
        <v>70.652975999999995</v>
      </c>
      <c r="S105" s="147">
        <v>62.41677</v>
      </c>
      <c r="T105" s="147">
        <v>33.486941999999999</v>
      </c>
      <c r="U105" s="147">
        <v>66.134209999999996</v>
      </c>
      <c r="V105" s="147">
        <v>99.644189999999995</v>
      </c>
      <c r="W105" s="147">
        <v>113.210213</v>
      </c>
      <c r="X105" s="147">
        <v>112.484255</v>
      </c>
      <c r="Y105" s="147">
        <v>39.517172000000002</v>
      </c>
      <c r="Z105"/>
    </row>
    <row r="106" spans="1:26" ht="15">
      <c r="A106" s="216"/>
      <c r="B106" s="144" t="s">
        <v>25</v>
      </c>
      <c r="C106" s="147">
        <v>336.41169600000001</v>
      </c>
      <c r="D106" s="147">
        <v>279.07848200000001</v>
      </c>
      <c r="E106" s="147">
        <v>300.75480199999998</v>
      </c>
      <c r="F106" s="147">
        <v>246.048203</v>
      </c>
      <c r="G106" s="147">
        <v>229.928777</v>
      </c>
      <c r="H106" s="147">
        <v>258.95318400000002</v>
      </c>
      <c r="I106" s="147">
        <v>229.38776100000001</v>
      </c>
      <c r="J106" s="147">
        <v>217.204814</v>
      </c>
      <c r="K106" s="147">
        <v>297.07835399999999</v>
      </c>
      <c r="L106" s="147">
        <v>252.83072899999999</v>
      </c>
      <c r="M106" s="147">
        <v>292.22053799999998</v>
      </c>
      <c r="N106" s="147">
        <v>314.37255499999998</v>
      </c>
      <c r="O106" s="147">
        <v>280.66014899999999</v>
      </c>
      <c r="P106" s="147">
        <v>269.76136200000002</v>
      </c>
      <c r="Q106" s="147">
        <v>284.19602200000003</v>
      </c>
      <c r="R106" s="147">
        <v>311.21022299999998</v>
      </c>
      <c r="S106" s="147">
        <v>236.28277700000001</v>
      </c>
      <c r="T106" s="147">
        <v>276.61590899999999</v>
      </c>
      <c r="U106" s="147">
        <v>284.60979800000001</v>
      </c>
      <c r="V106" s="147">
        <v>284.30052499999999</v>
      </c>
      <c r="W106" s="147">
        <v>278.88830000000002</v>
      </c>
      <c r="X106" s="147">
        <v>288.42916700000001</v>
      </c>
      <c r="Y106" s="147">
        <v>103.704628</v>
      </c>
      <c r="Z106"/>
    </row>
    <row r="107" spans="1:26" ht="15">
      <c r="A107" s="216"/>
      <c r="B107" s="144" t="s">
        <v>6</v>
      </c>
      <c r="C107" s="147">
        <v>0.82455000000000001</v>
      </c>
      <c r="D107" s="147">
        <v>1.3385149999999999</v>
      </c>
      <c r="E107" s="147">
        <v>1.8236140000000001</v>
      </c>
      <c r="F107" s="147">
        <v>0.99112500000000003</v>
      </c>
      <c r="G107" s="147">
        <v>1.4427080000000001</v>
      </c>
      <c r="H107" s="147">
        <v>0.74262799999999995</v>
      </c>
      <c r="I107" s="147">
        <v>3.6524220000000001</v>
      </c>
      <c r="J107" s="147">
        <v>3.5757409999999998</v>
      </c>
      <c r="K107" s="147">
        <v>1.9118980000000001</v>
      </c>
      <c r="L107" s="147">
        <v>1.456723</v>
      </c>
      <c r="M107" s="147">
        <v>0.821801</v>
      </c>
      <c r="N107" s="147">
        <v>0.95850199999999997</v>
      </c>
      <c r="O107" s="147">
        <v>0.99317</v>
      </c>
      <c r="P107" s="147">
        <v>1.226483</v>
      </c>
      <c r="Q107" s="147">
        <v>1.921443</v>
      </c>
      <c r="R107" s="147">
        <v>0.83590799999999998</v>
      </c>
      <c r="S107" s="147">
        <v>3.227077</v>
      </c>
      <c r="T107" s="147">
        <v>3.0020419999999999</v>
      </c>
      <c r="U107" s="147">
        <v>3.5782180000000001</v>
      </c>
      <c r="V107" s="147">
        <v>2.663478</v>
      </c>
      <c r="W107" s="147">
        <v>1.4201079999999999</v>
      </c>
      <c r="X107" s="147">
        <v>1.852679</v>
      </c>
      <c r="Y107" s="147">
        <v>0.59120399999999995</v>
      </c>
      <c r="Z107"/>
    </row>
    <row r="108" spans="1:26" ht="15">
      <c r="A108" s="216"/>
      <c r="B108" s="144" t="s">
        <v>5</v>
      </c>
      <c r="C108" s="147">
        <v>60.189520999999999</v>
      </c>
      <c r="D108" s="147">
        <v>93.155251000000007</v>
      </c>
      <c r="E108" s="147">
        <v>97.166353000000001</v>
      </c>
      <c r="F108" s="147">
        <v>54.728521000000001</v>
      </c>
      <c r="G108" s="147">
        <v>69.749658999999994</v>
      </c>
      <c r="H108" s="147">
        <v>103.362193</v>
      </c>
      <c r="I108" s="147">
        <v>148.25852599999999</v>
      </c>
      <c r="J108" s="147">
        <v>166.39016100000001</v>
      </c>
      <c r="K108" s="147">
        <v>92.772315000000006</v>
      </c>
      <c r="L108" s="147">
        <v>98.440837000000002</v>
      </c>
      <c r="M108" s="147">
        <v>54.913390999999997</v>
      </c>
      <c r="N108" s="147">
        <v>61.422595000000001</v>
      </c>
      <c r="O108" s="147">
        <v>81.695520000000002</v>
      </c>
      <c r="P108" s="147">
        <v>58.505417000000001</v>
      </c>
      <c r="Q108" s="147">
        <v>84.841812000000004</v>
      </c>
      <c r="R108" s="147">
        <v>52.700510000000001</v>
      </c>
      <c r="S108" s="147">
        <v>162.60342700000001</v>
      </c>
      <c r="T108" s="147">
        <v>148.01756800000001</v>
      </c>
      <c r="U108" s="147">
        <v>158.51529099999999</v>
      </c>
      <c r="V108" s="147">
        <v>145.85740200000001</v>
      </c>
      <c r="W108" s="147">
        <v>106.41552299999999</v>
      </c>
      <c r="X108" s="147">
        <v>121.87329699999999</v>
      </c>
      <c r="Y108" s="147">
        <v>50.261406999999998</v>
      </c>
      <c r="Z108"/>
    </row>
    <row r="109" spans="1:26" ht="15">
      <c r="A109" s="216"/>
      <c r="B109" s="144" t="s">
        <v>4</v>
      </c>
      <c r="C109" s="147">
        <v>18.499904999999998</v>
      </c>
      <c r="D109" s="147">
        <v>20.258367</v>
      </c>
      <c r="E109" s="147">
        <v>21.187944000000002</v>
      </c>
      <c r="F109" s="147">
        <v>22.649498000000001</v>
      </c>
      <c r="G109" s="147">
        <v>26.043626</v>
      </c>
      <c r="H109" s="147">
        <v>23.750543</v>
      </c>
      <c r="I109" s="147">
        <v>27.01446</v>
      </c>
      <c r="J109" s="147">
        <v>26.700037999999999</v>
      </c>
      <c r="K109" s="147">
        <v>21.008713</v>
      </c>
      <c r="L109" s="147">
        <v>20.015422000000001</v>
      </c>
      <c r="M109" s="147">
        <v>16.227492000000002</v>
      </c>
      <c r="N109" s="147">
        <v>15.507413</v>
      </c>
      <c r="O109" s="147">
        <v>16.464936000000002</v>
      </c>
      <c r="P109" s="147">
        <v>17.884999000000001</v>
      </c>
      <c r="Q109" s="147">
        <v>24.290976000000001</v>
      </c>
      <c r="R109" s="147">
        <v>22.565013</v>
      </c>
      <c r="S109" s="147">
        <v>27.019202</v>
      </c>
      <c r="T109" s="147">
        <v>24.71088</v>
      </c>
      <c r="U109" s="147">
        <v>27.905276000000001</v>
      </c>
      <c r="V109" s="147">
        <v>26.100961999999999</v>
      </c>
      <c r="W109" s="147">
        <v>21.461660999999999</v>
      </c>
      <c r="X109" s="147">
        <v>20.903444</v>
      </c>
      <c r="Y109" s="147">
        <v>6.39649</v>
      </c>
      <c r="Z109"/>
    </row>
    <row r="110" spans="1:26" ht="15">
      <c r="A110" s="216"/>
      <c r="B110" s="144" t="s">
        <v>22</v>
      </c>
      <c r="C110" s="147">
        <v>0.87627999999999995</v>
      </c>
      <c r="D110" s="147">
        <v>0.84570599999999996</v>
      </c>
      <c r="E110" s="147">
        <v>0.82168300000000005</v>
      </c>
      <c r="F110" s="147">
        <v>0.83979599999999999</v>
      </c>
      <c r="G110" s="147">
        <v>0.70590200000000003</v>
      </c>
      <c r="H110" s="147">
        <v>0.78505800000000003</v>
      </c>
      <c r="I110" s="147">
        <v>0.69386000000000003</v>
      </c>
      <c r="J110" s="147">
        <v>0.69097799999999998</v>
      </c>
      <c r="K110" s="147">
        <v>0.64958000000000005</v>
      </c>
      <c r="L110" s="147">
        <v>0.78250799999999998</v>
      </c>
      <c r="M110" s="147">
        <v>0.74310299999999996</v>
      </c>
      <c r="N110" s="147">
        <v>0.75252699999999995</v>
      </c>
      <c r="O110" s="147">
        <v>0.35872300000000001</v>
      </c>
      <c r="P110" s="147">
        <v>0.69978200000000002</v>
      </c>
      <c r="Q110" s="147">
        <v>0.79178499999999996</v>
      </c>
      <c r="R110" s="147">
        <v>0.72202100000000002</v>
      </c>
      <c r="S110" s="147">
        <v>0.72256799999999999</v>
      </c>
      <c r="T110" s="147">
        <v>0.72395900000000002</v>
      </c>
      <c r="U110" s="147">
        <v>0.73402900000000004</v>
      </c>
      <c r="V110" s="147">
        <v>0.56980699999999995</v>
      </c>
      <c r="W110" s="147">
        <v>0.40013300000000002</v>
      </c>
      <c r="X110" s="147">
        <v>0.75599700000000003</v>
      </c>
      <c r="Y110" s="147">
        <v>0</v>
      </c>
      <c r="Z110"/>
    </row>
    <row r="111" spans="1:26" ht="15">
      <c r="A111" s="216"/>
      <c r="B111" s="149" t="s">
        <v>2</v>
      </c>
      <c r="C111" s="150">
        <v>756.95346400000005</v>
      </c>
      <c r="D111" s="150">
        <v>705.861132</v>
      </c>
      <c r="E111" s="150">
        <v>682.19429700000001</v>
      </c>
      <c r="F111" s="150">
        <v>548.48193200000003</v>
      </c>
      <c r="G111" s="150">
        <v>581.11760300000003</v>
      </c>
      <c r="H111" s="150">
        <v>602.69883700000003</v>
      </c>
      <c r="I111" s="150">
        <v>679.18428800000004</v>
      </c>
      <c r="J111" s="150">
        <v>712.51654499999995</v>
      </c>
      <c r="K111" s="150">
        <v>684.87559199999998</v>
      </c>
      <c r="L111" s="150">
        <v>674.86023899999998</v>
      </c>
      <c r="M111" s="150">
        <v>652.33676600000001</v>
      </c>
      <c r="N111" s="150">
        <v>665.587715</v>
      </c>
      <c r="O111" s="150">
        <v>647.96105899999998</v>
      </c>
      <c r="P111" s="150">
        <v>576.01197200000001</v>
      </c>
      <c r="Q111" s="150">
        <v>640.34640200000001</v>
      </c>
      <c r="R111" s="150">
        <v>615.06619000000001</v>
      </c>
      <c r="S111" s="150">
        <v>636.08087</v>
      </c>
      <c r="T111" s="150">
        <v>635.56558099999995</v>
      </c>
      <c r="U111" s="150">
        <v>698.27130599999998</v>
      </c>
      <c r="V111" s="150">
        <v>725.92166599999996</v>
      </c>
      <c r="W111" s="150">
        <v>722.67840999999999</v>
      </c>
      <c r="X111" s="150">
        <v>734.01330199999995</v>
      </c>
      <c r="Y111" s="150">
        <v>261.80843399999998</v>
      </c>
      <c r="Z111"/>
    </row>
    <row r="112" spans="1:26" ht="15">
      <c r="A112" s="217"/>
      <c r="B112" s="149" t="s">
        <v>79</v>
      </c>
      <c r="C112" s="150">
        <v>756.95346400000005</v>
      </c>
      <c r="D112" s="150">
        <v>705.861132</v>
      </c>
      <c r="E112" s="150">
        <v>682.19429700000001</v>
      </c>
      <c r="F112" s="150">
        <v>548.48193200000003</v>
      </c>
      <c r="G112" s="150">
        <v>581.11760300000003</v>
      </c>
      <c r="H112" s="150">
        <v>602.69883700000003</v>
      </c>
      <c r="I112" s="150">
        <v>679.18428800000004</v>
      </c>
      <c r="J112" s="150">
        <v>712.51654499999995</v>
      </c>
      <c r="K112" s="150">
        <v>684.87559199999998</v>
      </c>
      <c r="L112" s="150">
        <v>674.86023899999998</v>
      </c>
      <c r="M112" s="150">
        <v>652.33676600000001</v>
      </c>
      <c r="N112" s="150">
        <v>665.587715</v>
      </c>
      <c r="O112" s="150">
        <v>647.96105899999998</v>
      </c>
      <c r="P112" s="150">
        <v>576.01197200000001</v>
      </c>
      <c r="Q112" s="150">
        <v>640.34640200000001</v>
      </c>
      <c r="R112" s="150">
        <v>615.06619000000001</v>
      </c>
      <c r="S112" s="150">
        <v>636.08087</v>
      </c>
      <c r="T112" s="150">
        <v>635.56558099999995</v>
      </c>
      <c r="U112" s="150">
        <v>698.27130599999998</v>
      </c>
      <c r="V112" s="150">
        <v>725.92166599999996</v>
      </c>
      <c r="W112" s="150">
        <v>722.67840999999999</v>
      </c>
      <c r="X112" s="150">
        <v>734.01330199999995</v>
      </c>
      <c r="Y112" s="150">
        <v>261.80843399999998</v>
      </c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3" t="s">
        <v>73</v>
      </c>
      <c r="C117" s="120" t="str">
        <f>TEXT(EDATE(D117,-1),"mmmm aaaa")</f>
        <v>octubre 2020</v>
      </c>
      <c r="D117" s="120" t="str">
        <f t="shared" ref="D117:M117" si="6">TEXT(EDATE(E117,-1),"mmmm aaaa")</f>
        <v>noviembre 2020</v>
      </c>
      <c r="E117" s="120" t="str">
        <f t="shared" si="6"/>
        <v>diciembre 2020</v>
      </c>
      <c r="F117" s="120" t="str">
        <f t="shared" si="6"/>
        <v>enero 2021</v>
      </c>
      <c r="G117" s="120" t="str">
        <f t="shared" si="6"/>
        <v>febrero 2021</v>
      </c>
      <c r="H117" s="120" t="str">
        <f t="shared" si="6"/>
        <v>marzo 2021</v>
      </c>
      <c r="I117" s="120" t="str">
        <f t="shared" si="6"/>
        <v>abril 2021</v>
      </c>
      <c r="J117" s="120" t="str">
        <f t="shared" si="6"/>
        <v>mayo 2021</v>
      </c>
      <c r="K117" s="120" t="str">
        <f t="shared" si="6"/>
        <v>junio 2021</v>
      </c>
      <c r="L117" s="120" t="str">
        <f t="shared" si="6"/>
        <v>julio 2021</v>
      </c>
      <c r="M117" s="120" t="str">
        <f t="shared" si="6"/>
        <v>agosto 2021</v>
      </c>
      <c r="N117" s="120" t="str">
        <f>TEXT(EDATE(O117,-1),"mmmm aaaa")</f>
        <v>septiembre 2021</v>
      </c>
      <c r="O117" s="121" t="str">
        <f>A2</f>
        <v>Octubre 2021</v>
      </c>
    </row>
    <row r="118" spans="1:19">
      <c r="B118" s="214"/>
      <c r="C118" s="131" t="str">
        <f>TEXT(EDATE($A$2,-12),"mmm")&amp;".-"&amp;TEXT(EDATE($A$2,-12),"aa")</f>
        <v>oct.-20</v>
      </c>
      <c r="D118" s="131" t="str">
        <f>TEXT(EDATE($A$2,-11),"mmm")&amp;".-"&amp;TEXT(EDATE($A$2,-11),"aa")</f>
        <v>nov.-20</v>
      </c>
      <c r="E118" s="131" t="str">
        <f>TEXT(EDATE($A$2,-10),"mmm")&amp;".-"&amp;TEXT(EDATE($A$2,-10),"aa")</f>
        <v>dic.-20</v>
      </c>
      <c r="F118" s="131" t="str">
        <f>TEXT(EDATE($A$2,-9),"mmm")&amp;".-"&amp;TEXT(EDATE($A$2,-9),"aa")</f>
        <v>ene.-21</v>
      </c>
      <c r="G118" s="131" t="str">
        <f>TEXT(EDATE($A$2,-8),"mmm")&amp;".-"&amp;TEXT(EDATE($A$2,-8),"aa")</f>
        <v>feb.-21</v>
      </c>
      <c r="H118" s="131" t="str">
        <f>TEXT(EDATE($A$2,-7),"mmm")&amp;".-"&amp;TEXT(EDATE($A$2,-7),"aa")</f>
        <v>mar.-21</v>
      </c>
      <c r="I118" s="131" t="str">
        <f>TEXT(EDATE($A$2,-6),"mmm")&amp;".-"&amp;TEXT(EDATE($A$2,-6),"aa")</f>
        <v>abr.-21</v>
      </c>
      <c r="J118" s="131" t="str">
        <f>TEXT(EDATE($A$2,-5),"mmm")&amp;".-"&amp;TEXT(EDATE($A$2,-5),"aa")</f>
        <v>may.-21</v>
      </c>
      <c r="K118" s="131" t="str">
        <f>TEXT(EDATE($A$2,-4),"mmm")&amp;".-"&amp;TEXT(EDATE($A$2,-4),"aa")</f>
        <v>jun.-21</v>
      </c>
      <c r="L118" s="131" t="str">
        <f>TEXT(EDATE($A$2,-3),"mmm")&amp;".-"&amp;TEXT(EDATE($A$2,-3),"aa")</f>
        <v>jul.-21</v>
      </c>
      <c r="M118" s="131" t="str">
        <f>TEXT(EDATE($A$2,-2),"mmm")&amp;".-"&amp;TEXT(EDATE($A$2,-2),"aa")</f>
        <v>ago.-21</v>
      </c>
      <c r="N118" s="131" t="str">
        <f>TEXT(EDATE($A$2,-1),"mmm")&amp;".-"&amp;TEXT(EDATE($A$2,-1),"aa")</f>
        <v>sep.-21</v>
      </c>
      <c r="O118" s="160" t="str">
        <f>TEXT($A$2,"mmm")&amp;".-"&amp;TEXT($A$2,"aa")</f>
        <v>oct.-21</v>
      </c>
    </row>
    <row r="119" spans="1:19">
      <c r="A119" s="210" t="s">
        <v>76</v>
      </c>
      <c r="B119" s="132" t="s">
        <v>11</v>
      </c>
      <c r="C119" s="133">
        <f>HLOOKUP(C$117,$86:$101,3,FALSE)</f>
        <v>69.531803999999994</v>
      </c>
      <c r="D119" s="133">
        <f t="shared" ref="D119:N119" si="7">HLOOKUP(D$117,$86:$101,3,FALSE)</f>
        <v>18.689830000000001</v>
      </c>
      <c r="E119" s="133">
        <f t="shared" si="7"/>
        <v>78.075038000000006</v>
      </c>
      <c r="F119" s="133">
        <f t="shared" si="7"/>
        <v>-0.63269200000000003</v>
      </c>
      <c r="G119" s="133">
        <f t="shared" si="7"/>
        <v>-0.606159</v>
      </c>
      <c r="H119" s="133">
        <f t="shared" si="7"/>
        <v>-0.651559</v>
      </c>
      <c r="I119" s="133">
        <f t="shared" si="7"/>
        <v>-0.59136100000000003</v>
      </c>
      <c r="J119" s="133">
        <f t="shared" si="7"/>
        <v>-1.103416</v>
      </c>
      <c r="K119" s="133">
        <f t="shared" si="7"/>
        <v>41.953423999999998</v>
      </c>
      <c r="L119" s="133">
        <f t="shared" si="7"/>
        <v>9.292719</v>
      </c>
      <c r="M119" s="133">
        <f t="shared" si="7"/>
        <v>-0.72875599999999996</v>
      </c>
      <c r="N119" s="133">
        <f t="shared" si="7"/>
        <v>-0.54997399999999996</v>
      </c>
      <c r="O119" s="134">
        <f>HLOOKUP(O$117,$86:$101,3,FALSE)</f>
        <v>-0.58327700000000005</v>
      </c>
    </row>
    <row r="120" spans="1:19">
      <c r="A120" s="211"/>
      <c r="B120" s="122" t="s">
        <v>10</v>
      </c>
      <c r="C120" s="116">
        <f>HLOOKUP(C$117,$86:$101,4,FALSE)</f>
        <v>16.937937999999999</v>
      </c>
      <c r="D120" s="116">
        <f t="shared" ref="D120:O120" si="8">HLOOKUP(D$117,$86:$101,4,FALSE)</f>
        <v>18.608250999999999</v>
      </c>
      <c r="E120" s="116">
        <f t="shared" si="8"/>
        <v>22.109065000000001</v>
      </c>
      <c r="F120" s="116">
        <f t="shared" si="8"/>
        <v>27.196950000000001</v>
      </c>
      <c r="G120" s="116">
        <f t="shared" si="8"/>
        <v>18.940327</v>
      </c>
      <c r="H120" s="116">
        <f t="shared" si="8"/>
        <v>14.240815</v>
      </c>
      <c r="I120" s="116">
        <f t="shared" si="8"/>
        <v>18.127455999999999</v>
      </c>
      <c r="J120" s="116">
        <f t="shared" si="8"/>
        <v>20.114982000000001</v>
      </c>
      <c r="K120" s="116">
        <f t="shared" si="8"/>
        <v>40.523569999999999</v>
      </c>
      <c r="L120" s="116">
        <f t="shared" si="8"/>
        <v>56.775785999999997</v>
      </c>
      <c r="M120" s="116">
        <f t="shared" si="8"/>
        <v>61.091033000000003</v>
      </c>
      <c r="N120" s="116">
        <f t="shared" si="8"/>
        <v>52.814718999999997</v>
      </c>
      <c r="O120" s="134">
        <f t="shared" si="8"/>
        <v>40.707250000000002</v>
      </c>
    </row>
    <row r="121" spans="1:19">
      <c r="A121" s="211"/>
      <c r="B121" s="122" t="s">
        <v>9</v>
      </c>
      <c r="C121" s="116">
        <f>HLOOKUP(C$117,$86:$101,5,FALSE)</f>
        <v>8.9336269999999995</v>
      </c>
      <c r="D121" s="116">
        <f t="shared" ref="D121:O121" si="9">HLOOKUP(D$117,$86:$101,5,FALSE)</f>
        <v>10.474845</v>
      </c>
      <c r="E121" s="116">
        <f t="shared" si="9"/>
        <v>11.540551000000001</v>
      </c>
      <c r="F121" s="116">
        <f t="shared" si="9"/>
        <v>18.542487000000001</v>
      </c>
      <c r="G121" s="116">
        <f t="shared" si="9"/>
        <v>7.6657599999999997</v>
      </c>
      <c r="H121" s="116">
        <f t="shared" si="9"/>
        <v>13.131584999999999</v>
      </c>
      <c r="I121" s="116">
        <f t="shared" si="9"/>
        <v>8.3072920000000003</v>
      </c>
      <c r="J121" s="116">
        <f t="shared" si="9"/>
        <v>7.7047420000000004</v>
      </c>
      <c r="K121" s="116">
        <f t="shared" si="9"/>
        <v>18.862037999999998</v>
      </c>
      <c r="L121" s="116">
        <f t="shared" si="9"/>
        <v>27.349309999999999</v>
      </c>
      <c r="M121" s="116">
        <f t="shared" si="9"/>
        <v>38.115422000000002</v>
      </c>
      <c r="N121" s="116">
        <f t="shared" si="9"/>
        <v>38.699375000000003</v>
      </c>
      <c r="O121" s="134">
        <f t="shared" si="9"/>
        <v>18.871455999999998</v>
      </c>
    </row>
    <row r="122" spans="1:19" ht="14.25">
      <c r="A122" s="211"/>
      <c r="B122" s="122" t="s">
        <v>74</v>
      </c>
      <c r="C122" s="116">
        <f>HLOOKUP(C$117,$86:$101,6,FALSE)</f>
        <v>141.13588200000001</v>
      </c>
      <c r="D122" s="116">
        <f t="shared" ref="D122:O122" si="10">HLOOKUP(D$117,$86:$101,6,FALSE)</f>
        <v>185.01524499999999</v>
      </c>
      <c r="E122" s="116">
        <f t="shared" si="10"/>
        <v>159.35356899999999</v>
      </c>
      <c r="F122" s="116">
        <f t="shared" si="10"/>
        <v>260.27204499999999</v>
      </c>
      <c r="G122" s="116">
        <f t="shared" si="10"/>
        <v>187.465463</v>
      </c>
      <c r="H122" s="116">
        <f t="shared" si="10"/>
        <v>217.47864799999999</v>
      </c>
      <c r="I122" s="116">
        <f t="shared" si="10"/>
        <v>208.53059300000001</v>
      </c>
      <c r="J122" s="116">
        <f t="shared" si="10"/>
        <v>203.81251599999999</v>
      </c>
      <c r="K122" s="116">
        <f t="shared" si="10"/>
        <v>240.57820899999999</v>
      </c>
      <c r="L122" s="116">
        <f t="shared" si="10"/>
        <v>408.79444899999999</v>
      </c>
      <c r="M122" s="116">
        <f t="shared" si="10"/>
        <v>437.91378300000002</v>
      </c>
      <c r="N122" s="116">
        <f t="shared" si="10"/>
        <v>367.24080800000002</v>
      </c>
      <c r="O122" s="134">
        <f t="shared" si="10"/>
        <v>312.10340600000001</v>
      </c>
    </row>
    <row r="123" spans="1:19">
      <c r="A123" s="211"/>
      <c r="B123" s="122" t="s">
        <v>24</v>
      </c>
      <c r="C123" s="116">
        <f>HLOOKUP(C$117,$86:$101,7,FALSE)</f>
        <v>0.73975400000000002</v>
      </c>
      <c r="D123" s="116">
        <f t="shared" ref="D123:O123" si="11">HLOOKUP(D$117,$86:$101,7,FALSE)</f>
        <v>0</v>
      </c>
      <c r="E123" s="116">
        <f t="shared" si="11"/>
        <v>0</v>
      </c>
      <c r="F123" s="116">
        <f t="shared" si="11"/>
        <v>0</v>
      </c>
      <c r="G123" s="116">
        <f t="shared" si="11"/>
        <v>0</v>
      </c>
      <c r="H123" s="116">
        <f t="shared" si="11"/>
        <v>-2.3999999999999998E-3</v>
      </c>
      <c r="I123" s="116">
        <f t="shared" si="11"/>
        <v>0</v>
      </c>
      <c r="J123" s="116">
        <f t="shared" si="11"/>
        <v>1.1771689999999999</v>
      </c>
      <c r="K123" s="116">
        <f t="shared" si="11"/>
        <v>0.95765299999999998</v>
      </c>
      <c r="L123" s="116">
        <f t="shared" si="11"/>
        <v>2.9751430000000001</v>
      </c>
      <c r="M123" s="116">
        <f t="shared" si="11"/>
        <v>3.834768</v>
      </c>
      <c r="N123" s="116">
        <f t="shared" si="11"/>
        <v>2.0925159999999998</v>
      </c>
      <c r="O123" s="134">
        <f t="shared" si="11"/>
        <v>0.98881300000000005</v>
      </c>
    </row>
    <row r="124" spans="1:19">
      <c r="A124" s="211"/>
      <c r="B124" s="122" t="s">
        <v>5</v>
      </c>
      <c r="C124" s="116">
        <f>HLOOKUP(C$117,$86:$102,8,FALSE)</f>
        <v>0.32789299999999999</v>
      </c>
      <c r="D124" s="116">
        <f t="shared" ref="D124:O124" si="12">HLOOKUP(D$117,$86:$102,8,FALSE)</f>
        <v>0.34884399999999999</v>
      </c>
      <c r="E124" s="116">
        <f t="shared" si="12"/>
        <v>0.28645399999999999</v>
      </c>
      <c r="F124" s="116">
        <f t="shared" si="12"/>
        <v>0.27796300000000002</v>
      </c>
      <c r="G124" s="116">
        <f t="shared" si="12"/>
        <v>0.15948300000000001</v>
      </c>
      <c r="H124" s="116">
        <f t="shared" si="12"/>
        <v>0.30611500000000003</v>
      </c>
      <c r="I124" s="116">
        <f t="shared" si="12"/>
        <v>0.29466900000000001</v>
      </c>
      <c r="J124" s="116">
        <f t="shared" si="12"/>
        <v>0.189554</v>
      </c>
      <c r="K124" s="116">
        <f t="shared" si="12"/>
        <v>9.4216999999999995E-2</v>
      </c>
      <c r="L124" s="116">
        <f t="shared" si="12"/>
        <v>0.106017</v>
      </c>
      <c r="M124" s="116">
        <f t="shared" si="12"/>
        <v>0.20128099999999999</v>
      </c>
      <c r="N124" s="116">
        <f t="shared" si="12"/>
        <v>0.27444800000000003</v>
      </c>
      <c r="O124" s="134">
        <f t="shared" si="12"/>
        <v>0.26974799999999999</v>
      </c>
    </row>
    <row r="125" spans="1:19">
      <c r="A125" s="211"/>
      <c r="B125" s="122" t="s">
        <v>4</v>
      </c>
      <c r="C125" s="116">
        <f>HLOOKUP(C$117,$86:$102,9,FALSE)</f>
        <v>9.7249750000000006</v>
      </c>
      <c r="D125" s="116">
        <f t="shared" ref="D125:O125" si="13">HLOOKUP(D$117,$86:$102,9,FALSE)</f>
        <v>6.7605230000000001</v>
      </c>
      <c r="E125" s="116">
        <f t="shared" si="13"/>
        <v>6.7367169999999996</v>
      </c>
      <c r="F125" s="116">
        <f t="shared" si="13"/>
        <v>8.4045810000000003</v>
      </c>
      <c r="G125" s="116">
        <f t="shared" si="13"/>
        <v>9.5098800000000008</v>
      </c>
      <c r="H125" s="116">
        <f t="shared" si="13"/>
        <v>13.293218</v>
      </c>
      <c r="I125" s="116">
        <f t="shared" si="13"/>
        <v>14.709775</v>
      </c>
      <c r="J125" s="116">
        <f t="shared" si="13"/>
        <v>22.195191000000001</v>
      </c>
      <c r="K125" s="116">
        <f t="shared" si="13"/>
        <v>21.167138000000001</v>
      </c>
      <c r="L125" s="116">
        <f t="shared" si="13"/>
        <v>22.964213999999998</v>
      </c>
      <c r="M125" s="116">
        <f t="shared" si="13"/>
        <v>21.349046000000001</v>
      </c>
      <c r="N125" s="116">
        <f t="shared" si="13"/>
        <v>17.621782</v>
      </c>
      <c r="O125" s="134">
        <f t="shared" si="13"/>
        <v>16.793078000000001</v>
      </c>
    </row>
    <row r="126" spans="1:19">
      <c r="A126" s="211"/>
      <c r="B126" s="123" t="s">
        <v>22</v>
      </c>
      <c r="C126" s="116">
        <f>HLOOKUP(C$117,$86:$102,10,FALSE)</f>
        <v>2.7317000000000001E-2</v>
      </c>
      <c r="D126" s="116">
        <f t="shared" ref="D126:O126" si="14">HLOOKUP(D$117,$86:$102,10,FALSE)</f>
        <v>6.9145999999999999E-2</v>
      </c>
      <c r="E126" s="116">
        <f t="shared" si="14"/>
        <v>3.986E-2</v>
      </c>
      <c r="F126" s="116">
        <f t="shared" si="14"/>
        <v>5.7757000000000003E-2</v>
      </c>
      <c r="G126" s="116">
        <f t="shared" si="14"/>
        <v>7.6887999999999998E-2</v>
      </c>
      <c r="H126" s="116">
        <f t="shared" si="14"/>
        <v>0.13778699999999999</v>
      </c>
      <c r="I126" s="116">
        <f t="shared" si="14"/>
        <v>0.10574</v>
      </c>
      <c r="J126" s="116">
        <f t="shared" si="14"/>
        <v>0.118546</v>
      </c>
      <c r="K126" s="116">
        <f t="shared" si="14"/>
        <v>9.8640000000000005E-2</v>
      </c>
      <c r="L126" s="116">
        <f t="shared" si="14"/>
        <v>9.6151E-2</v>
      </c>
      <c r="M126" s="116">
        <f t="shared" si="14"/>
        <v>8.4413000000000002E-2</v>
      </c>
      <c r="N126" s="116">
        <f t="shared" si="14"/>
        <v>8.1381999999999996E-2</v>
      </c>
      <c r="O126" s="134">
        <f t="shared" si="14"/>
        <v>0.243059</v>
      </c>
    </row>
    <row r="127" spans="1:19">
      <c r="A127" s="211"/>
      <c r="B127" s="123" t="s">
        <v>23</v>
      </c>
      <c r="C127" s="116">
        <f>HLOOKUP(C$117,$86:$102,11,FALSE)</f>
        <v>2.3333560000000002</v>
      </c>
      <c r="D127" s="116">
        <f t="shared" ref="D127:O127" si="15">HLOOKUP(D$117,$86:$102,11,FALSE)</f>
        <v>2.521382</v>
      </c>
      <c r="E127" s="116">
        <f t="shared" si="15"/>
        <v>3.3692880000000001</v>
      </c>
      <c r="F127" s="116">
        <f t="shared" si="15"/>
        <v>4.0659429999999999</v>
      </c>
      <c r="G127" s="116">
        <f t="shared" si="15"/>
        <v>3.641699</v>
      </c>
      <c r="H127" s="116">
        <f t="shared" si="15"/>
        <v>3.9954990000000001</v>
      </c>
      <c r="I127" s="116">
        <f t="shared" si="15"/>
        <v>3.2208809999999999</v>
      </c>
      <c r="J127" s="116">
        <f t="shared" si="15"/>
        <v>2.5715810000000001</v>
      </c>
      <c r="K127" s="116">
        <f t="shared" si="15"/>
        <v>3.062163</v>
      </c>
      <c r="L127" s="116">
        <f t="shared" si="15"/>
        <v>3.6905410000000001</v>
      </c>
      <c r="M127" s="116">
        <f t="shared" si="15"/>
        <v>3.5683280000000002</v>
      </c>
      <c r="N127" s="116">
        <f t="shared" si="15"/>
        <v>3.678795</v>
      </c>
      <c r="O127" s="134">
        <f t="shared" si="15"/>
        <v>4.0205719999999996</v>
      </c>
    </row>
    <row r="128" spans="1:19">
      <c r="A128" s="211"/>
      <c r="B128" s="122" t="s">
        <v>55</v>
      </c>
      <c r="C128" s="116">
        <f t="shared" ref="C128:O128" si="16">HLOOKUP(C$117,$86:$102,13,FALSE)</f>
        <v>6.2387214999999996</v>
      </c>
      <c r="D128" s="116">
        <f t="shared" si="16"/>
        <v>12.812825</v>
      </c>
      <c r="E128" s="116">
        <f t="shared" si="16"/>
        <v>8.6052265000000006</v>
      </c>
      <c r="F128" s="116">
        <f t="shared" si="16"/>
        <v>7.1515275000000003</v>
      </c>
      <c r="G128" s="116">
        <f t="shared" si="16"/>
        <v>10.723705000000001</v>
      </c>
      <c r="H128" s="116">
        <f t="shared" si="16"/>
        <v>10.093087499999999</v>
      </c>
      <c r="I128" s="116">
        <f t="shared" si="16"/>
        <v>7.5393055000000002</v>
      </c>
      <c r="J128" s="116">
        <f t="shared" si="16"/>
        <v>6.0236640000000001</v>
      </c>
      <c r="K128" s="116">
        <f t="shared" si="16"/>
        <v>13.481942</v>
      </c>
      <c r="L128" s="116">
        <f t="shared" si="16"/>
        <v>11.473026000000001</v>
      </c>
      <c r="M128" s="116">
        <f t="shared" si="16"/>
        <v>13.3199895</v>
      </c>
      <c r="N128" s="116">
        <f t="shared" si="16"/>
        <v>11.972504499999999</v>
      </c>
      <c r="O128" s="134">
        <f t="shared" si="16"/>
        <v>6.4146000000000001</v>
      </c>
    </row>
    <row r="129" spans="1:15">
      <c r="A129" s="211"/>
      <c r="B129" s="122" t="s">
        <v>54</v>
      </c>
      <c r="C129" s="116">
        <f>HLOOKUP(C$117,$86:$102,12,FALSE)</f>
        <v>6.2387214999999996</v>
      </c>
      <c r="D129" s="116">
        <f t="shared" ref="D129:O129" si="17">HLOOKUP(D$117,$86:$102,12,FALSE)</f>
        <v>12.812825</v>
      </c>
      <c r="E129" s="116">
        <f t="shared" si="17"/>
        <v>8.6052265000000006</v>
      </c>
      <c r="F129" s="116">
        <f t="shared" si="17"/>
        <v>7.1515275000000003</v>
      </c>
      <c r="G129" s="116">
        <f t="shared" si="17"/>
        <v>10.723705000000001</v>
      </c>
      <c r="H129" s="116">
        <f t="shared" si="17"/>
        <v>10.093087499999999</v>
      </c>
      <c r="I129" s="116">
        <f t="shared" si="17"/>
        <v>7.5393055000000002</v>
      </c>
      <c r="J129" s="116">
        <f t="shared" si="17"/>
        <v>6.0236640000000001</v>
      </c>
      <c r="K129" s="116">
        <f t="shared" si="17"/>
        <v>13.481942</v>
      </c>
      <c r="L129" s="116">
        <f t="shared" si="17"/>
        <v>11.473026000000001</v>
      </c>
      <c r="M129" s="116">
        <f t="shared" si="17"/>
        <v>13.3199895</v>
      </c>
      <c r="N129" s="116">
        <f t="shared" si="17"/>
        <v>11.972504499999999</v>
      </c>
      <c r="O129" s="134">
        <f t="shared" si="17"/>
        <v>6.4146000000000001</v>
      </c>
    </row>
    <row r="130" spans="1:15">
      <c r="A130" s="211"/>
      <c r="B130" s="124" t="s">
        <v>2</v>
      </c>
      <c r="C130" s="125">
        <f>HLOOKUP(C$117,$86:$102,14,FALSE)</f>
        <v>262.16998899999999</v>
      </c>
      <c r="D130" s="125">
        <f t="shared" ref="D130:O130" si="18">HLOOKUP(D$117,$86:$102,14,FALSE)</f>
        <v>268.11371600000001</v>
      </c>
      <c r="E130" s="125">
        <f t="shared" si="18"/>
        <v>298.72099500000002</v>
      </c>
      <c r="F130" s="125">
        <f t="shared" si="18"/>
        <v>332.488089</v>
      </c>
      <c r="G130" s="125">
        <f t="shared" si="18"/>
        <v>248.30075099999999</v>
      </c>
      <c r="H130" s="125">
        <f t="shared" si="18"/>
        <v>282.115883</v>
      </c>
      <c r="I130" s="125">
        <f t="shared" si="18"/>
        <v>267.78365600000001</v>
      </c>
      <c r="J130" s="125">
        <f t="shared" si="18"/>
        <v>268.828193</v>
      </c>
      <c r="K130" s="125">
        <f t="shared" si="18"/>
        <v>394.26093600000002</v>
      </c>
      <c r="L130" s="125">
        <f t="shared" si="18"/>
        <v>554.99038199999995</v>
      </c>
      <c r="M130" s="125">
        <f t="shared" si="18"/>
        <v>592.06929700000001</v>
      </c>
      <c r="N130" s="125">
        <f t="shared" si="18"/>
        <v>505.89886000000001</v>
      </c>
      <c r="O130" s="135">
        <f t="shared" si="18"/>
        <v>406.24330500000002</v>
      </c>
    </row>
    <row r="131" spans="1:15">
      <c r="A131" s="211"/>
      <c r="B131" s="122" t="s">
        <v>21</v>
      </c>
      <c r="C131" s="126">
        <f>HLOOKUP(C$117,$86:$102,15,FALSE)</f>
        <v>105.943506</v>
      </c>
      <c r="D131" s="126">
        <f t="shared" ref="D131:O131" si="19">HLOOKUP(D$117,$86:$102,15,FALSE)</f>
        <v>96.327618999999999</v>
      </c>
      <c r="E131" s="126">
        <f t="shared" si="19"/>
        <v>138.26159999999999</v>
      </c>
      <c r="F131" s="126">
        <f t="shared" si="19"/>
        <v>138.25041200000001</v>
      </c>
      <c r="G131" s="126">
        <f t="shared" si="19"/>
        <v>113.412009</v>
      </c>
      <c r="H131" s="126">
        <f t="shared" si="19"/>
        <v>127.985573</v>
      </c>
      <c r="I131" s="126">
        <f t="shared" si="19"/>
        <v>111.02179700000001</v>
      </c>
      <c r="J131" s="126">
        <f t="shared" si="19"/>
        <v>111.601713</v>
      </c>
      <c r="K131" s="126">
        <f t="shared" si="19"/>
        <v>65.429468</v>
      </c>
      <c r="L131" s="126">
        <f t="shared" si="19"/>
        <v>45.879221000000001</v>
      </c>
      <c r="M131" s="126">
        <f t="shared" si="19"/>
        <v>40.107311000000003</v>
      </c>
      <c r="N131" s="126">
        <f t="shared" si="19"/>
        <v>37.549396999999999</v>
      </c>
      <c r="O131" s="126">
        <f t="shared" si="19"/>
        <v>38.285525</v>
      </c>
    </row>
    <row r="132" spans="1:15">
      <c r="A132" s="211"/>
      <c r="B132" s="127" t="s">
        <v>1</v>
      </c>
      <c r="C132" s="128">
        <f>HLOOKUP(C$117,$86:$102,16,FALSE)</f>
        <v>368.113495</v>
      </c>
      <c r="D132" s="128">
        <f t="shared" ref="D132:O132" si="20">HLOOKUP(D$117,$86:$102,16,FALSE)</f>
        <v>364.44133499999998</v>
      </c>
      <c r="E132" s="128">
        <f t="shared" si="20"/>
        <v>436.982595</v>
      </c>
      <c r="F132" s="128">
        <f t="shared" si="20"/>
        <v>470.73850099999999</v>
      </c>
      <c r="G132" s="128">
        <f t="shared" si="20"/>
        <v>361.71276</v>
      </c>
      <c r="H132" s="128">
        <f t="shared" si="20"/>
        <v>410.10145599999998</v>
      </c>
      <c r="I132" s="128">
        <f t="shared" si="20"/>
        <v>378.805453</v>
      </c>
      <c r="J132" s="128">
        <f t="shared" si="20"/>
        <v>380.42990600000002</v>
      </c>
      <c r="K132" s="128">
        <f t="shared" si="20"/>
        <v>459.690404</v>
      </c>
      <c r="L132" s="128">
        <f t="shared" si="20"/>
        <v>600.86960299999998</v>
      </c>
      <c r="M132" s="128">
        <f t="shared" si="20"/>
        <v>632.17660799999999</v>
      </c>
      <c r="N132" s="128">
        <f t="shared" si="20"/>
        <v>543.44825700000001</v>
      </c>
      <c r="O132" s="128">
        <f t="shared" si="20"/>
        <v>444.52883000000003</v>
      </c>
    </row>
    <row r="133" spans="1:15" ht="14.25">
      <c r="A133" s="212"/>
      <c r="B133" s="137" t="s">
        <v>75</v>
      </c>
      <c r="C133" s="138">
        <f>C120+C121+C123</f>
        <v>26.611318999999998</v>
      </c>
      <c r="D133" s="138">
        <f>D120+D121+D123</f>
        <v>29.083095999999998</v>
      </c>
      <c r="E133" s="138">
        <f t="shared" ref="E133:O133" si="21">E120+E121+E123</f>
        <v>33.649616000000002</v>
      </c>
      <c r="F133" s="138">
        <f t="shared" si="21"/>
        <v>45.739437000000002</v>
      </c>
      <c r="G133" s="138">
        <f t="shared" si="21"/>
        <v>26.606086999999999</v>
      </c>
      <c r="H133" s="138">
        <f t="shared" si="21"/>
        <v>27.369999999999997</v>
      </c>
      <c r="I133" s="138">
        <f t="shared" si="21"/>
        <v>26.434747999999999</v>
      </c>
      <c r="J133" s="138">
        <f t="shared" si="21"/>
        <v>28.996893</v>
      </c>
      <c r="K133" s="138">
        <f t="shared" si="21"/>
        <v>60.343260999999998</v>
      </c>
      <c r="L133" s="138">
        <f t="shared" si="21"/>
        <v>87.100239000000002</v>
      </c>
      <c r="M133" s="138">
        <f t="shared" si="21"/>
        <v>103.041223</v>
      </c>
      <c r="N133" s="138">
        <f t="shared" si="21"/>
        <v>93.606610000000003</v>
      </c>
      <c r="O133" s="138">
        <f t="shared" si="21"/>
        <v>60.567518999999997</v>
      </c>
    </row>
    <row r="134" spans="1:15">
      <c r="A134" s="210" t="s">
        <v>77</v>
      </c>
      <c r="B134" s="139" t="s">
        <v>73</v>
      </c>
      <c r="C134" s="120" t="str">
        <f>TEXT(EDATE($A$2,-12),"mmm")&amp;".-"&amp;TEXT(EDATE($A$2,-12),"aa")</f>
        <v>oct.-20</v>
      </c>
      <c r="D134" s="120" t="str">
        <f>TEXT(EDATE($A$2,-11),"mmm")&amp;".-"&amp;TEXT(EDATE($A$2,-11),"aa")</f>
        <v>nov.-20</v>
      </c>
      <c r="E134" s="120" t="str">
        <f>TEXT(EDATE($A$2,-10),"mmm")&amp;".-"&amp;TEXT(EDATE($A$2,-10),"aa")</f>
        <v>dic.-20</v>
      </c>
      <c r="F134" s="120" t="str">
        <f>TEXT(EDATE($A$2,-9),"mmm")&amp;".-"&amp;TEXT(EDATE($A$2,-9),"aa")</f>
        <v>ene.-21</v>
      </c>
      <c r="G134" s="120" t="str">
        <f>TEXT(EDATE($A$2,-8),"mmm")&amp;".-"&amp;TEXT(EDATE($A$2,-8),"aa")</f>
        <v>feb.-21</v>
      </c>
      <c r="H134" s="120" t="str">
        <f>TEXT(EDATE($A$2,-7),"mmm")&amp;".-"&amp;TEXT(EDATE($A$2,-7),"aa")</f>
        <v>mar.-21</v>
      </c>
      <c r="I134" s="120" t="str">
        <f>TEXT(EDATE($A$2,-6),"mmm")&amp;".-"&amp;TEXT(EDATE($A$2,-6),"aa")</f>
        <v>abr.-21</v>
      </c>
      <c r="J134" s="120" t="str">
        <f>TEXT(EDATE($A$2,-5),"mmm")&amp;".-"&amp;TEXT(EDATE($A$2,-5),"aa")</f>
        <v>may.-21</v>
      </c>
      <c r="K134" s="120" t="str">
        <f>TEXT(EDATE($A$2,-4),"mmm")&amp;".-"&amp;TEXT(EDATE($A$2,-4),"aa")</f>
        <v>jun.-21</v>
      </c>
      <c r="L134" s="120" t="str">
        <f>TEXT(EDATE($A$2,-3),"mmm")&amp;".-"&amp;TEXT(EDATE($A$2,-3),"aa")</f>
        <v>jul.-21</v>
      </c>
      <c r="M134" s="120" t="str">
        <f>TEXT(EDATE($A$2,-2),"mmm")&amp;".-"&amp;TEXT(EDATE($A$2,-2),"aa")</f>
        <v>ago.-21</v>
      </c>
      <c r="N134" s="120" t="str">
        <f>TEXT(EDATE($A$2,-1),"mmm")&amp;".-"&amp;TEXT(EDATE($A$2,-1),"aa")</f>
        <v>sep.-21</v>
      </c>
      <c r="O134" s="121" t="str">
        <f>TEXT($A$2,"mmm")&amp;".-"&amp;TEXT($A$2,"aa")</f>
        <v>oct.-21</v>
      </c>
    </row>
    <row r="135" spans="1:15" ht="15" customHeight="1">
      <c r="A135" s="211"/>
      <c r="B135" s="122" t="s">
        <v>12</v>
      </c>
      <c r="C135" s="116">
        <f>HLOOKUP(C$117,$86:$115,17,FALSE)</f>
        <v>0.29975600000000002</v>
      </c>
      <c r="D135" s="116">
        <f t="shared" ref="D135:O135" si="22">HLOOKUP(D$117,$86:$115,17,FALSE)</f>
        <v>0.28527599999999997</v>
      </c>
      <c r="E135" s="116">
        <f t="shared" si="22"/>
        <v>0.29958099999999999</v>
      </c>
      <c r="F135" s="116">
        <f t="shared" si="22"/>
        <v>0.29762100000000002</v>
      </c>
      <c r="G135" s="116">
        <f t="shared" si="22"/>
        <v>0.25852999999999998</v>
      </c>
      <c r="H135" s="116">
        <f t="shared" si="22"/>
        <v>0.28226499999999999</v>
      </c>
      <c r="I135" s="116">
        <f t="shared" si="22"/>
        <v>0.13780600000000001</v>
      </c>
      <c r="J135" s="116">
        <f t="shared" si="22"/>
        <v>0.26783600000000002</v>
      </c>
      <c r="K135" s="116">
        <f t="shared" si="22"/>
        <v>0.28217700000000001</v>
      </c>
      <c r="L135" s="116">
        <f t="shared" si="22"/>
        <v>0.28972599999999998</v>
      </c>
      <c r="M135" s="116">
        <f t="shared" si="22"/>
        <v>0.28065899999999999</v>
      </c>
      <c r="N135" s="116">
        <f t="shared" si="22"/>
        <v>0.27753299999999997</v>
      </c>
      <c r="O135" s="161">
        <f t="shared" si="22"/>
        <v>0.28213100000000002</v>
      </c>
    </row>
    <row r="136" spans="1:15">
      <c r="A136" s="211"/>
      <c r="B136" s="122" t="s">
        <v>10</v>
      </c>
      <c r="C136" s="116">
        <f>HLOOKUP(C$117,$86:$115,18,FALSE)</f>
        <v>140.27562900000001</v>
      </c>
      <c r="D136" s="116">
        <f t="shared" ref="D136:O136" si="23">HLOOKUP(D$117,$86:$115,18,FALSE)</f>
        <v>147.43617</v>
      </c>
      <c r="E136" s="116">
        <f t="shared" si="23"/>
        <v>146.45553799999999</v>
      </c>
      <c r="F136" s="116">
        <f t="shared" si="23"/>
        <v>141.05104299999999</v>
      </c>
      <c r="G136" s="116">
        <f t="shared" si="23"/>
        <v>112.359525</v>
      </c>
      <c r="H136" s="116">
        <f t="shared" si="23"/>
        <v>128.50312700000001</v>
      </c>
      <c r="I136" s="116">
        <f t="shared" si="23"/>
        <v>140.012246</v>
      </c>
      <c r="J136" s="116">
        <f t="shared" si="23"/>
        <v>126.338086</v>
      </c>
      <c r="K136" s="116">
        <f t="shared" si="23"/>
        <v>133.47633400000001</v>
      </c>
      <c r="L136" s="116">
        <f t="shared" si="23"/>
        <v>143.30591200000001</v>
      </c>
      <c r="M136" s="116">
        <f t="shared" si="23"/>
        <v>156.76769400000001</v>
      </c>
      <c r="N136" s="116">
        <f t="shared" si="23"/>
        <v>167.979367</v>
      </c>
      <c r="O136" s="134">
        <f t="shared" si="23"/>
        <v>160.016738</v>
      </c>
    </row>
    <row r="137" spans="1:15">
      <c r="A137" s="211"/>
      <c r="B137" s="122" t="s">
        <v>9</v>
      </c>
      <c r="C137" s="116">
        <f>HLOOKUP(C$117,$86:$115,19,FALSE)</f>
        <v>32.544134999999997</v>
      </c>
      <c r="D137" s="116">
        <f t="shared" ref="D137:O137" si="24">HLOOKUP(D$117,$86:$115,19,FALSE)</f>
        <v>18.073917999999999</v>
      </c>
      <c r="E137" s="116">
        <f t="shared" si="24"/>
        <v>16.086774999999999</v>
      </c>
      <c r="F137" s="116">
        <f t="shared" si="24"/>
        <v>10.157844000000001</v>
      </c>
      <c r="G137" s="116">
        <f t="shared" si="24"/>
        <v>10.355027</v>
      </c>
      <c r="H137" s="116">
        <f t="shared" si="24"/>
        <v>14.760713000000001</v>
      </c>
      <c r="I137" s="116">
        <f t="shared" si="24"/>
        <v>16.229486999999999</v>
      </c>
      <c r="J137" s="116">
        <f t="shared" si="24"/>
        <v>17.203126999999999</v>
      </c>
      <c r="K137" s="116">
        <f t="shared" si="24"/>
        <v>15.24977</v>
      </c>
      <c r="L137" s="116">
        <f t="shared" si="24"/>
        <v>13.198846</v>
      </c>
      <c r="M137" s="116">
        <f t="shared" si="24"/>
        <v>9.7369489999999992</v>
      </c>
      <c r="N137" s="116">
        <f t="shared" si="24"/>
        <v>32.625571999999998</v>
      </c>
      <c r="O137" s="134">
        <f t="shared" si="24"/>
        <v>27.415593999999999</v>
      </c>
    </row>
    <row r="138" spans="1:15">
      <c r="A138" s="211"/>
      <c r="B138" s="122" t="s">
        <v>8</v>
      </c>
      <c r="C138" s="116">
        <f>HLOOKUP(C$117,$86:$115,20,FALSE)</f>
        <v>128.21449999999999</v>
      </c>
      <c r="D138" s="116">
        <f t="shared" ref="D138:O138" si="25">HLOOKUP(D$117,$86:$115,20,FALSE)</f>
        <v>121.615077</v>
      </c>
      <c r="E138" s="116">
        <f t="shared" si="25"/>
        <v>109.732229</v>
      </c>
      <c r="F138" s="116">
        <f t="shared" si="25"/>
        <v>116.282053</v>
      </c>
      <c r="G138" s="116">
        <f t="shared" si="25"/>
        <v>104.960847</v>
      </c>
      <c r="H138" s="116">
        <f t="shared" si="25"/>
        <v>100.758259</v>
      </c>
      <c r="I138" s="116">
        <f t="shared" si="25"/>
        <v>70.652975999999995</v>
      </c>
      <c r="J138" s="116">
        <f t="shared" si="25"/>
        <v>62.41677</v>
      </c>
      <c r="K138" s="116">
        <f t="shared" si="25"/>
        <v>33.486941999999999</v>
      </c>
      <c r="L138" s="116">
        <f t="shared" si="25"/>
        <v>66.134209999999996</v>
      </c>
      <c r="M138" s="116">
        <f t="shared" si="25"/>
        <v>99.644189999999995</v>
      </c>
      <c r="N138" s="116">
        <f t="shared" si="25"/>
        <v>113.210213</v>
      </c>
      <c r="O138" s="134">
        <f t="shared" si="25"/>
        <v>112.484255</v>
      </c>
    </row>
    <row r="139" spans="1:15" ht="14.25">
      <c r="A139" s="211"/>
      <c r="B139" s="122" t="s">
        <v>74</v>
      </c>
      <c r="C139" s="116">
        <f>HLOOKUP(C$117,$86:$115,21,FALSE)</f>
        <v>252.83072899999999</v>
      </c>
      <c r="D139" s="116">
        <f t="shared" ref="D139:O139" si="26">HLOOKUP(D$117,$86:$115,21,FALSE)</f>
        <v>292.22053799999998</v>
      </c>
      <c r="E139" s="116">
        <f t="shared" si="26"/>
        <v>314.37255499999998</v>
      </c>
      <c r="F139" s="116">
        <f t="shared" si="26"/>
        <v>280.66014899999999</v>
      </c>
      <c r="G139" s="116">
        <f t="shared" si="26"/>
        <v>269.76136200000002</v>
      </c>
      <c r="H139" s="116">
        <f t="shared" si="26"/>
        <v>284.19602200000003</v>
      </c>
      <c r="I139" s="116">
        <f t="shared" si="26"/>
        <v>311.21022299999998</v>
      </c>
      <c r="J139" s="116">
        <f t="shared" si="26"/>
        <v>236.28277700000001</v>
      </c>
      <c r="K139" s="116">
        <f t="shared" si="26"/>
        <v>276.61590899999999</v>
      </c>
      <c r="L139" s="116">
        <f t="shared" si="26"/>
        <v>284.60979800000001</v>
      </c>
      <c r="M139" s="116">
        <f t="shared" si="26"/>
        <v>284.30052499999999</v>
      </c>
      <c r="N139" s="116">
        <f t="shared" si="26"/>
        <v>278.88830000000002</v>
      </c>
      <c r="O139" s="134">
        <f t="shared" si="26"/>
        <v>288.42916700000001</v>
      </c>
    </row>
    <row r="140" spans="1:15">
      <c r="A140" s="211"/>
      <c r="B140" s="122" t="s">
        <v>6</v>
      </c>
      <c r="C140" s="116">
        <f>HLOOKUP(C$117,$86:$115,22,FALSE)</f>
        <v>1.456723</v>
      </c>
      <c r="D140" s="116">
        <f t="shared" ref="D140:O140" si="27">HLOOKUP(D$117,$86:$115,22,FALSE)</f>
        <v>0.821801</v>
      </c>
      <c r="E140" s="116">
        <f t="shared" si="27"/>
        <v>0.95850199999999997</v>
      </c>
      <c r="F140" s="116">
        <f t="shared" si="27"/>
        <v>0.99317</v>
      </c>
      <c r="G140" s="116">
        <f t="shared" si="27"/>
        <v>1.226483</v>
      </c>
      <c r="H140" s="116">
        <f t="shared" si="27"/>
        <v>1.921443</v>
      </c>
      <c r="I140" s="116">
        <f t="shared" si="27"/>
        <v>0.83590799999999998</v>
      </c>
      <c r="J140" s="116">
        <f t="shared" si="27"/>
        <v>3.227077</v>
      </c>
      <c r="K140" s="116">
        <f t="shared" si="27"/>
        <v>3.0020419999999999</v>
      </c>
      <c r="L140" s="116">
        <f t="shared" si="27"/>
        <v>3.5782180000000001</v>
      </c>
      <c r="M140" s="116">
        <f t="shared" si="27"/>
        <v>2.663478</v>
      </c>
      <c r="N140" s="116">
        <f t="shared" si="27"/>
        <v>1.4201079999999999</v>
      </c>
      <c r="O140" s="134">
        <f t="shared" si="27"/>
        <v>1.852679</v>
      </c>
    </row>
    <row r="141" spans="1:15">
      <c r="A141" s="211"/>
      <c r="B141" s="122" t="s">
        <v>5</v>
      </c>
      <c r="C141" s="116">
        <f>HLOOKUP(C$117,$86:$115,23,FALSE)</f>
        <v>98.440837000000002</v>
      </c>
      <c r="D141" s="116">
        <f t="shared" ref="D141:O141" si="28">HLOOKUP(D$117,$86:$115,23,FALSE)</f>
        <v>54.913390999999997</v>
      </c>
      <c r="E141" s="116">
        <f t="shared" si="28"/>
        <v>61.422595000000001</v>
      </c>
      <c r="F141" s="116">
        <f t="shared" si="28"/>
        <v>81.695520000000002</v>
      </c>
      <c r="G141" s="116">
        <f t="shared" si="28"/>
        <v>58.505417000000001</v>
      </c>
      <c r="H141" s="116">
        <f t="shared" si="28"/>
        <v>84.841812000000004</v>
      </c>
      <c r="I141" s="116">
        <f t="shared" si="28"/>
        <v>52.700510000000001</v>
      </c>
      <c r="J141" s="116">
        <f t="shared" si="28"/>
        <v>162.60342700000001</v>
      </c>
      <c r="K141" s="116">
        <f t="shared" si="28"/>
        <v>148.01756800000001</v>
      </c>
      <c r="L141" s="116">
        <f t="shared" si="28"/>
        <v>158.51529099999999</v>
      </c>
      <c r="M141" s="116">
        <f t="shared" si="28"/>
        <v>145.85740200000001</v>
      </c>
      <c r="N141" s="116">
        <f t="shared" si="28"/>
        <v>106.41552299999999</v>
      </c>
      <c r="O141" s="134">
        <f t="shared" si="28"/>
        <v>121.87329699999999</v>
      </c>
    </row>
    <row r="142" spans="1:15">
      <c r="A142" s="211"/>
      <c r="B142" s="122" t="s">
        <v>4</v>
      </c>
      <c r="C142" s="116">
        <f>HLOOKUP(C$117,$86:$115,24,FALSE)</f>
        <v>20.015422000000001</v>
      </c>
      <c r="D142" s="116">
        <f t="shared" ref="D142:O142" si="29">HLOOKUP(D$117,$86:$115,24,FALSE)</f>
        <v>16.227492000000002</v>
      </c>
      <c r="E142" s="116">
        <f t="shared" si="29"/>
        <v>15.507413</v>
      </c>
      <c r="F142" s="116">
        <f t="shared" si="29"/>
        <v>16.464936000000002</v>
      </c>
      <c r="G142" s="116">
        <f t="shared" si="29"/>
        <v>17.884999000000001</v>
      </c>
      <c r="H142" s="116">
        <f t="shared" si="29"/>
        <v>24.290976000000001</v>
      </c>
      <c r="I142" s="116">
        <f t="shared" si="29"/>
        <v>22.565013</v>
      </c>
      <c r="J142" s="116">
        <f t="shared" si="29"/>
        <v>27.019202</v>
      </c>
      <c r="K142" s="116">
        <f t="shared" si="29"/>
        <v>24.71088</v>
      </c>
      <c r="L142" s="116">
        <f t="shared" si="29"/>
        <v>27.905276000000001</v>
      </c>
      <c r="M142" s="116">
        <f t="shared" si="29"/>
        <v>26.100961999999999</v>
      </c>
      <c r="N142" s="116">
        <f t="shared" si="29"/>
        <v>21.461660999999999</v>
      </c>
      <c r="O142" s="134">
        <f t="shared" si="29"/>
        <v>20.903444</v>
      </c>
    </row>
    <row r="143" spans="1:15">
      <c r="A143" s="211"/>
      <c r="B143" s="122" t="s">
        <v>22</v>
      </c>
      <c r="C143" s="116">
        <f>HLOOKUP(C$117,$86:$115,25,FALSE)</f>
        <v>0.78250799999999998</v>
      </c>
      <c r="D143" s="116">
        <f t="shared" ref="D143:O143" si="30">HLOOKUP(D$117,$86:$115,25,FALSE)</f>
        <v>0.74310299999999996</v>
      </c>
      <c r="E143" s="116">
        <f t="shared" si="30"/>
        <v>0.75252699999999995</v>
      </c>
      <c r="F143" s="116">
        <f t="shared" si="30"/>
        <v>0.35872300000000001</v>
      </c>
      <c r="G143" s="116">
        <f t="shared" si="30"/>
        <v>0.69978200000000002</v>
      </c>
      <c r="H143" s="116">
        <f t="shared" si="30"/>
        <v>0.79178499999999996</v>
      </c>
      <c r="I143" s="116">
        <f t="shared" si="30"/>
        <v>0.72202100000000002</v>
      </c>
      <c r="J143" s="116">
        <f t="shared" si="30"/>
        <v>0.72256799999999999</v>
      </c>
      <c r="K143" s="116">
        <f t="shared" si="30"/>
        <v>0.72395900000000002</v>
      </c>
      <c r="L143" s="116">
        <f t="shared" si="30"/>
        <v>0.73402900000000004</v>
      </c>
      <c r="M143" s="116">
        <f t="shared" si="30"/>
        <v>0.56980699999999995</v>
      </c>
      <c r="N143" s="116">
        <f t="shared" si="30"/>
        <v>0.40013300000000002</v>
      </c>
      <c r="O143" s="134">
        <f t="shared" si="30"/>
        <v>0.75599700000000003</v>
      </c>
    </row>
    <row r="144" spans="1:15">
      <c r="A144" s="211"/>
      <c r="B144" s="127" t="s">
        <v>1</v>
      </c>
      <c r="C144" s="128">
        <f>HLOOKUP(C$117,$86:$115,26,FALSE)</f>
        <v>674.86023899999998</v>
      </c>
      <c r="D144" s="128">
        <f t="shared" ref="D144:O144" si="31">HLOOKUP(D$117,$86:$115,26,FALSE)</f>
        <v>652.33676600000001</v>
      </c>
      <c r="E144" s="128">
        <f t="shared" si="31"/>
        <v>665.587715</v>
      </c>
      <c r="F144" s="128">
        <f t="shared" si="31"/>
        <v>647.96105899999998</v>
      </c>
      <c r="G144" s="128">
        <f t="shared" si="31"/>
        <v>576.01197200000001</v>
      </c>
      <c r="H144" s="128">
        <f t="shared" si="31"/>
        <v>640.34640200000001</v>
      </c>
      <c r="I144" s="128">
        <f t="shared" si="31"/>
        <v>615.06619000000001</v>
      </c>
      <c r="J144" s="128">
        <f t="shared" si="31"/>
        <v>636.08087</v>
      </c>
      <c r="K144" s="128">
        <f t="shared" si="31"/>
        <v>635.56558099999995</v>
      </c>
      <c r="L144" s="128">
        <f t="shared" si="31"/>
        <v>698.27130599999998</v>
      </c>
      <c r="M144" s="128">
        <f t="shared" si="31"/>
        <v>725.92166599999996</v>
      </c>
      <c r="N144" s="128">
        <f t="shared" si="31"/>
        <v>722.67840999999999</v>
      </c>
      <c r="O144" s="136">
        <f t="shared" si="31"/>
        <v>734.01330199999995</v>
      </c>
    </row>
    <row r="145" spans="1:26">
      <c r="A145" s="211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2"/>
      <c r="B146" s="137" t="s">
        <v>75</v>
      </c>
      <c r="C146" s="141">
        <f>SUM(C136:C138)</f>
        <v>301.03426400000001</v>
      </c>
      <c r="D146" s="141">
        <f t="shared" ref="D146:O146" si="32">SUM(D136:D138)</f>
        <v>287.12516499999998</v>
      </c>
      <c r="E146" s="141">
        <f t="shared" si="32"/>
        <v>272.274542</v>
      </c>
      <c r="F146" s="141">
        <f t="shared" si="32"/>
        <v>267.49094000000002</v>
      </c>
      <c r="G146" s="141">
        <f t="shared" si="32"/>
        <v>227.675399</v>
      </c>
      <c r="H146" s="141">
        <f t="shared" si="32"/>
        <v>244.02209900000003</v>
      </c>
      <c r="I146" s="141">
        <f t="shared" si="32"/>
        <v>226.89470900000001</v>
      </c>
      <c r="J146" s="141">
        <f t="shared" si="32"/>
        <v>205.95798300000001</v>
      </c>
      <c r="K146" s="141">
        <f t="shared" si="32"/>
        <v>182.21304600000002</v>
      </c>
      <c r="L146" s="141">
        <f t="shared" si="32"/>
        <v>222.63896800000001</v>
      </c>
      <c r="M146" s="141">
        <f t="shared" si="32"/>
        <v>266.14883300000002</v>
      </c>
      <c r="N146" s="141">
        <f t="shared" si="32"/>
        <v>313.81515200000001</v>
      </c>
      <c r="O146" s="142">
        <f t="shared" si="32"/>
        <v>299.91658699999999</v>
      </c>
    </row>
    <row r="149" spans="1:26" ht="15">
      <c r="A149" s="174"/>
      <c r="B149" s="174" t="s">
        <v>68</v>
      </c>
      <c r="C149" s="209" t="s">
        <v>57</v>
      </c>
      <c r="D149" s="208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90" t="s">
        <v>90</v>
      </c>
      <c r="D150" s="190" t="s">
        <v>91</v>
      </c>
      <c r="E150" s="190" t="s">
        <v>92</v>
      </c>
      <c r="F150" s="190" t="s">
        <v>93</v>
      </c>
      <c r="G150" s="190" t="s">
        <v>94</v>
      </c>
      <c r="H150" s="190" t="s">
        <v>95</v>
      </c>
      <c r="I150" s="190" t="s">
        <v>96</v>
      </c>
      <c r="J150" s="190" t="s">
        <v>97</v>
      </c>
      <c r="K150" s="190" t="s">
        <v>98</v>
      </c>
      <c r="L150" s="190" t="s">
        <v>99</v>
      </c>
      <c r="M150" s="190" t="s">
        <v>100</v>
      </c>
      <c r="N150" s="190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102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127</v>
      </c>
      <c r="B152" s="176" t="s">
        <v>128</v>
      </c>
      <c r="C152" s="183">
        <v>0.20759</v>
      </c>
      <c r="D152" s="183">
        <v>-7.7999999999999996E-3</v>
      </c>
      <c r="E152" s="183">
        <v>9.0399999999999994E-3</v>
      </c>
      <c r="F152" s="183">
        <v>0.20635000000000001</v>
      </c>
      <c r="G152" s="183">
        <v>0.13095999999999999</v>
      </c>
      <c r="H152" s="183">
        <v>-3.5200000000000001E-3</v>
      </c>
      <c r="I152" s="183">
        <v>1.1610000000000001E-2</v>
      </c>
      <c r="J152" s="183">
        <v>0.12286999999999999</v>
      </c>
      <c r="K152" s="183">
        <v>0.10234</v>
      </c>
      <c r="L152" s="183">
        <v>-3.9199999999999999E-3</v>
      </c>
      <c r="M152" s="183">
        <v>7.2399999999999999E-3</v>
      </c>
      <c r="N152" s="183">
        <v>9.9019999999999997E-2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74"/>
      <c r="B155" s="174" t="s">
        <v>68</v>
      </c>
      <c r="C155" s="209" t="s">
        <v>58</v>
      </c>
      <c r="D155" s="208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90" t="s">
        <v>90</v>
      </c>
      <c r="D156" s="190" t="s">
        <v>91</v>
      </c>
      <c r="E156" s="190" t="s">
        <v>92</v>
      </c>
      <c r="F156" s="190" t="s">
        <v>93</v>
      </c>
      <c r="G156" s="190" t="s">
        <v>94</v>
      </c>
      <c r="H156" s="190" t="s">
        <v>95</v>
      </c>
      <c r="I156" s="190" t="s">
        <v>96</v>
      </c>
      <c r="J156" s="190" t="s">
        <v>97</v>
      </c>
      <c r="K156" s="190" t="s">
        <v>98</v>
      </c>
      <c r="L156" s="190" t="s">
        <v>99</v>
      </c>
      <c r="M156" s="190" t="s">
        <v>100</v>
      </c>
      <c r="N156" s="190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102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127</v>
      </c>
      <c r="B158" s="176" t="s">
        <v>128</v>
      </c>
      <c r="C158" s="183">
        <v>8.7650000000000006E-2</v>
      </c>
      <c r="D158" s="183">
        <v>-7.8100000000000001E-3</v>
      </c>
      <c r="E158" s="183">
        <v>-2.9E-4</v>
      </c>
      <c r="F158" s="183">
        <v>9.5750000000000002E-2</v>
      </c>
      <c r="G158" s="183">
        <v>4.8000000000000001E-4</v>
      </c>
      <c r="H158" s="183">
        <v>-1.0200000000000001E-3</v>
      </c>
      <c r="I158" s="183">
        <v>-1.08E-3</v>
      </c>
      <c r="J158" s="183">
        <v>2.5799999999999998E-3</v>
      </c>
      <c r="K158" s="183">
        <v>-1.983E-2</v>
      </c>
      <c r="L158" s="183">
        <v>-7.9000000000000001E-4</v>
      </c>
      <c r="M158" s="183">
        <v>-6.9999999999999999E-4</v>
      </c>
      <c r="N158" s="183">
        <v>-1.8339999999999999E-2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Y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Octubre 2021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4" t="s">
        <v>47</v>
      </c>
      <c r="E7" s="77"/>
      <c r="F7" s="195" t="str">
        <f>K3</f>
        <v>Octubre 2021</v>
      </c>
      <c r="G7" s="196"/>
      <c r="H7" s="196" t="s">
        <v>37</v>
      </c>
      <c r="I7" s="196"/>
      <c r="J7" s="196" t="s">
        <v>38</v>
      </c>
      <c r="K7" s="196"/>
    </row>
    <row r="8" spans="3:12">
      <c r="C8" s="194"/>
      <c r="E8" s="78"/>
      <c r="F8" s="79" t="s">
        <v>13</v>
      </c>
      <c r="G8" s="106" t="str">
        <f>CONCATENATE("% ",RIGHT(F7,2),"/",RIGHT(F7,2)-1)</f>
        <v>% 21/20</v>
      </c>
      <c r="H8" s="79" t="s">
        <v>13</v>
      </c>
      <c r="I8" s="80" t="str">
        <f>G8</f>
        <v>% 21/20</v>
      </c>
      <c r="J8" s="79" t="s">
        <v>13</v>
      </c>
      <c r="K8" s="80" t="str">
        <f>G8</f>
        <v>% 21/20</v>
      </c>
    </row>
    <row r="9" spans="3:12">
      <c r="C9" s="81"/>
      <c r="E9" s="82" t="s">
        <v>39</v>
      </c>
      <c r="F9" s="83">
        <f>Dat_01!R24/1000</f>
        <v>444.52883000000003</v>
      </c>
      <c r="G9" s="164">
        <f>Dat_01!T24*100</f>
        <v>20.75863451</v>
      </c>
      <c r="H9" s="83">
        <f>Dat_01!U24/1000</f>
        <v>4682.5017779999998</v>
      </c>
      <c r="I9" s="164">
        <f>Dat_01!W24*100</f>
        <v>13.095690130000001</v>
      </c>
      <c r="J9" s="83">
        <f>Dat_01!X24/1000</f>
        <v>5483.9257079999998</v>
      </c>
      <c r="K9" s="164">
        <f>Dat_01!Y24*100</f>
        <v>10.23376618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-0.77999999999999992</v>
      </c>
      <c r="H12" s="103"/>
      <c r="I12" s="103">
        <f>Dat_01!H152*100</f>
        <v>-0.35200000000000004</v>
      </c>
      <c r="J12" s="103"/>
      <c r="K12" s="103">
        <f>Dat_01!L152*100</f>
        <v>-0.39200000000000002</v>
      </c>
    </row>
    <row r="13" spans="3:12">
      <c r="E13" s="85" t="s">
        <v>42</v>
      </c>
      <c r="F13" s="84"/>
      <c r="G13" s="103">
        <f>Dat_01!E152*100</f>
        <v>0.90399999999999991</v>
      </c>
      <c r="H13" s="103"/>
      <c r="I13" s="103">
        <f>Dat_01!I152*100</f>
        <v>1.161</v>
      </c>
      <c r="J13" s="103"/>
      <c r="K13" s="103">
        <f>Dat_01!M152*100</f>
        <v>0.72399999999999998</v>
      </c>
    </row>
    <row r="14" spans="3:12">
      <c r="E14" s="86" t="s">
        <v>43</v>
      </c>
      <c r="F14" s="87"/>
      <c r="G14" s="104">
        <f>Dat_01!F152*100</f>
        <v>20.635000000000002</v>
      </c>
      <c r="H14" s="104"/>
      <c r="I14" s="104">
        <f>Dat_01!J152*100</f>
        <v>12.286999999999999</v>
      </c>
      <c r="J14" s="104"/>
      <c r="K14" s="104">
        <f>Dat_01!N152*100</f>
        <v>9.9019999999999992</v>
      </c>
    </row>
    <row r="15" spans="3:12">
      <c r="E15" s="197" t="s">
        <v>44</v>
      </c>
      <c r="F15" s="197"/>
      <c r="G15" s="197"/>
      <c r="H15" s="197"/>
      <c r="I15" s="197"/>
      <c r="J15" s="197"/>
      <c r="K15" s="197"/>
    </row>
    <row r="16" spans="3:12" ht="21.75" customHeight="1">
      <c r="E16" s="193" t="s">
        <v>45</v>
      </c>
      <c r="F16" s="193"/>
      <c r="G16" s="193"/>
      <c r="H16" s="193"/>
      <c r="I16" s="193"/>
      <c r="J16" s="193"/>
      <c r="K16" s="193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Octubre 2021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4" t="s">
        <v>48</v>
      </c>
      <c r="E7" s="77"/>
      <c r="F7" s="195" t="str">
        <f>K3</f>
        <v>Octubre 2021</v>
      </c>
      <c r="G7" s="196"/>
      <c r="H7" s="196" t="s">
        <v>37</v>
      </c>
      <c r="I7" s="196"/>
      <c r="J7" s="196" t="s">
        <v>38</v>
      </c>
      <c r="K7" s="196"/>
    </row>
    <row r="8" spans="3:12">
      <c r="C8" s="194"/>
      <c r="E8" s="78"/>
      <c r="F8" s="79" t="s">
        <v>13</v>
      </c>
      <c r="G8" s="106" t="str">
        <f>CONCATENATE("% ",RIGHT(F7,2),"/",RIGHT(F7,2)-1)</f>
        <v>% 21/20</v>
      </c>
      <c r="H8" s="79" t="s">
        <v>13</v>
      </c>
      <c r="I8" s="107" t="str">
        <f>G8</f>
        <v>% 21/20</v>
      </c>
      <c r="J8" s="79" t="s">
        <v>13</v>
      </c>
      <c r="K8" s="107" t="str">
        <f>G8</f>
        <v>% 21/20</v>
      </c>
    </row>
    <row r="9" spans="3:12">
      <c r="C9" s="81"/>
      <c r="E9" s="82" t="s">
        <v>39</v>
      </c>
      <c r="F9" s="83">
        <f>Dat_01!Z24/1000</f>
        <v>734.01330200000007</v>
      </c>
      <c r="G9" s="164">
        <f>Dat_01!AB24*100</f>
        <v>8.7652316100000007</v>
      </c>
      <c r="H9" s="83">
        <f>Dat_01!AC24/1000</f>
        <v>6631.9167580000003</v>
      </c>
      <c r="I9" s="164">
        <f>Dat_01!AE24*100</f>
        <v>4.7864709999999998E-2</v>
      </c>
      <c r="J9" s="83">
        <f>Dat_01!AF24/1000</f>
        <v>7949.8412390000003</v>
      </c>
      <c r="K9" s="164">
        <f>Dat_01!AG24*100</f>
        <v>-1.98312785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-0.78100000000000003</v>
      </c>
      <c r="H12" s="103"/>
      <c r="I12" s="103">
        <f>Dat_01!H158*100</f>
        <v>-0.10200000000000001</v>
      </c>
      <c r="J12" s="103"/>
      <c r="K12" s="103">
        <f>Dat_01!L158*100</f>
        <v>-7.9000000000000001E-2</v>
      </c>
    </row>
    <row r="13" spans="3:12">
      <c r="E13" s="85" t="s">
        <v>42</v>
      </c>
      <c r="F13" s="84"/>
      <c r="G13" s="103">
        <f>Dat_01!E158*100</f>
        <v>-2.9000000000000001E-2</v>
      </c>
      <c r="H13" s="103"/>
      <c r="I13" s="103">
        <f>Dat_01!I158*100</f>
        <v>-0.108</v>
      </c>
      <c r="J13" s="103"/>
      <c r="K13" s="103">
        <f>Dat_01!M158*100</f>
        <v>-6.9999999999999993E-2</v>
      </c>
    </row>
    <row r="14" spans="3:12">
      <c r="E14" s="86" t="s">
        <v>43</v>
      </c>
      <c r="F14" s="87"/>
      <c r="G14" s="104">
        <f>Dat_01!F158*100</f>
        <v>9.5749999999999993</v>
      </c>
      <c r="H14" s="104"/>
      <c r="I14" s="104">
        <f>Dat_01!J158*100</f>
        <v>0.25800000000000001</v>
      </c>
      <c r="J14" s="104"/>
      <c r="K14" s="104">
        <f>Dat_01!N158*100</f>
        <v>-1.8339999999999999</v>
      </c>
    </row>
    <row r="15" spans="3:12">
      <c r="E15" s="197" t="s">
        <v>44</v>
      </c>
      <c r="F15" s="197"/>
      <c r="G15" s="197"/>
      <c r="H15" s="197"/>
      <c r="I15" s="197"/>
      <c r="J15" s="197"/>
      <c r="K15" s="197"/>
    </row>
    <row r="16" spans="3:12" ht="21.75" customHeight="1">
      <c r="E16" s="193" t="s">
        <v>45</v>
      </c>
      <c r="F16" s="193"/>
      <c r="G16" s="193"/>
      <c r="H16" s="193"/>
      <c r="I16" s="193"/>
      <c r="J16" s="193"/>
      <c r="K16" s="193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134</v>
      </c>
    </row>
    <row r="2" spans="1:2">
      <c r="A2" t="s">
        <v>129</v>
      </c>
    </row>
    <row r="3" spans="1:2">
      <c r="A3" t="s">
        <v>130</v>
      </c>
    </row>
    <row r="4" spans="1:2">
      <c r="A4" t="s">
        <v>132</v>
      </c>
    </row>
    <row r="5" spans="1:2">
      <c r="A5" t="s">
        <v>133</v>
      </c>
    </row>
    <row r="6" spans="1:2">
      <c r="A6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L23" sqref="L23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2" customWidth="1"/>
    <col min="4" max="4" width="1.42578125" style="2" customWidth="1"/>
    <col min="5" max="5" width="29.140625" style="2" customWidth="1"/>
    <col min="6" max="7" width="7.5703125" style="2" customWidth="1"/>
    <col min="8" max="9" width="7.5703125" style="1" customWidth="1"/>
    <col min="10" max="11" width="7.5703125" style="2" customWidth="1"/>
    <col min="12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Octubre 2021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8" t="s">
        <v>18</v>
      </c>
      <c r="E7" s="31"/>
      <c r="F7" s="199" t="s">
        <v>17</v>
      </c>
      <c r="G7" s="200"/>
      <c r="H7" s="199" t="s">
        <v>16</v>
      </c>
      <c r="I7" s="200"/>
      <c r="J7" s="199" t="s">
        <v>15</v>
      </c>
      <c r="K7" s="200"/>
      <c r="L7" s="199" t="s">
        <v>14</v>
      </c>
      <c r="M7" s="200"/>
    </row>
    <row r="8" spans="3:23" s="28" customFormat="1" ht="12.75" customHeight="1">
      <c r="C8" s="198"/>
      <c r="E8" s="30"/>
      <c r="F8" s="29" t="s">
        <v>13</v>
      </c>
      <c r="G8" s="105" t="str">
        <f>CONCATENATE("% ",RIGHT(M3,2),"/",RIGHT(M3,2)-1)</f>
        <v>% 21/20</v>
      </c>
      <c r="H8" s="29" t="s">
        <v>13</v>
      </c>
      <c r="I8" s="105" t="str">
        <f>G8</f>
        <v>% 21/20</v>
      </c>
      <c r="J8" s="29" t="s">
        <v>13</v>
      </c>
      <c r="K8" s="105" t="str">
        <f>I8</f>
        <v>% 21/20</v>
      </c>
      <c r="L8" s="29" t="s">
        <v>13</v>
      </c>
      <c r="M8" s="105" t="str">
        <f>K8</f>
        <v>% 21/20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0.28213099999999997</v>
      </c>
      <c r="I9" s="17">
        <f>IF(Dat_01!AB8*100=-100,"-",Dat_01!AB8*100)</f>
        <v>-5.8797822200000001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1.8526790000000002</v>
      </c>
      <c r="I10" s="17">
        <f>Dat_01!AB15*100</f>
        <v>27.181282920000001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0.26974799999999999</v>
      </c>
      <c r="G11" s="17">
        <f>Dat_01!T16*100</f>
        <v>-17.73291897</v>
      </c>
      <c r="H11" s="153">
        <f>Dat_01!Z16/1000</f>
        <v>121.87329700000001</v>
      </c>
      <c r="I11" s="17">
        <f>Dat_01!AB16*100</f>
        <v>23.803596880000001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16.793078000000001</v>
      </c>
      <c r="G12" s="17">
        <f>Dat_01!T17*100</f>
        <v>72.679909199999997</v>
      </c>
      <c r="H12" s="153">
        <f>Dat_01!Z17/1000</f>
        <v>20.903444</v>
      </c>
      <c r="I12" s="17">
        <f>Dat_01!AB17*100</f>
        <v>4.4366888700000002</v>
      </c>
      <c r="J12" s="153" t="s">
        <v>3</v>
      </c>
      <c r="K12" s="17" t="s">
        <v>3</v>
      </c>
      <c r="L12" s="192">
        <f>Dat_01!J17/1000</f>
        <v>6.0289999999999996E-3</v>
      </c>
      <c r="M12" s="17">
        <f>IF(Dat_01!L17*100=-100,"-",Dat_01!L17*100)</f>
        <v>-4.2255758499999994</v>
      </c>
      <c r="N12" s="10"/>
      <c r="O12" s="10"/>
      <c r="P12" s="19"/>
    </row>
    <row r="13" spans="3:23" s="2" customFormat="1" ht="12.75" customHeight="1">
      <c r="C13" s="13"/>
      <c r="E13" s="18" t="s">
        <v>83</v>
      </c>
      <c r="F13" s="17">
        <f>Dat_01!R18/1000</f>
        <v>0.243059</v>
      </c>
      <c r="G13" s="17">
        <f>Dat_01!T18*100</f>
        <v>789.77193689000001</v>
      </c>
      <c r="H13" s="153">
        <f>Dat_01!Z18/1000</f>
        <v>0.75599699999999992</v>
      </c>
      <c r="I13" s="17">
        <f>IF(Dat_01!AB18*100=-100,"-",Dat_01!AB18)</f>
        <v>-3.3879525799999997E-2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6.4146000000000001</v>
      </c>
      <c r="G14" s="17">
        <f>Dat_01!T21*100</f>
        <v>2.8191433099999998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0.51367200000000002</v>
      </c>
      <c r="M14" s="17">
        <f>Dat_01!L21*100</f>
        <v>-10.843199929999999</v>
      </c>
      <c r="N14" s="10"/>
      <c r="O14" s="10"/>
    </row>
    <row r="15" spans="3:23" s="2" customFormat="1" ht="12.75" customHeight="1">
      <c r="C15" s="13"/>
      <c r="E15" s="169" t="s">
        <v>80</v>
      </c>
      <c r="F15" s="172">
        <f>SUM(F9:F14)</f>
        <v>23.720485</v>
      </c>
      <c r="G15" s="173">
        <f>((SUM(Dat_01!R8,Dat_01!R15:R18,Dat_01!R20)/SUM(Dat_01!S8,Dat_01!S15:S18,Dat_01!S20))-1)*100</f>
        <v>45.355848444869771</v>
      </c>
      <c r="H15" s="172">
        <f>SUM(H9:H14)</f>
        <v>145.66754800000001</v>
      </c>
      <c r="I15" s="173">
        <f>((SUM(Dat_01!Z8,Dat_01!Z15:Z18,Dat_01!Z20)/SUM(Dat_01!AA8,Dat_01!AA15:AA18,Dat_01!AA20))-1)*100</f>
        <v>20.391133383868642</v>
      </c>
      <c r="J15" s="172" t="s">
        <v>3</v>
      </c>
      <c r="K15" s="173" t="s">
        <v>3</v>
      </c>
      <c r="L15" s="173">
        <f>SUM(L9:L14)</f>
        <v>0.51970099999999997</v>
      </c>
      <c r="M15" s="173">
        <f>((SUM(Dat_01!J8,Dat_01!J15:J18,Dat_01!J21)/SUM(Dat_01!K8,Dat_01!K15:K18,Dat_01!K20))-1)*100</f>
        <v>-10.771676714920597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-0.58327700000000005</v>
      </c>
      <c r="G16" s="17" t="s">
        <v>3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41.696063000000002</v>
      </c>
      <c r="G17" s="24">
        <f>((SUM(Dat_01!R10,Dat_01!R14)/SUM(Dat_01!S10,Dat_01!S14))-1)*100</f>
        <v>135.86825135317443</v>
      </c>
      <c r="H17" s="154">
        <f>Dat_01!Z10/1000</f>
        <v>160.016738</v>
      </c>
      <c r="I17" s="24">
        <f>Dat_01!AB10*100</f>
        <v>14.073085349999999</v>
      </c>
      <c r="J17" s="154">
        <f>Dat_01!B10/1000</f>
        <v>16.421032</v>
      </c>
      <c r="K17" s="24">
        <f>Dat_01!D10*100</f>
        <v>2.6752730900000001</v>
      </c>
      <c r="L17" s="154">
        <f>Dat_01!J10/1000</f>
        <v>15.435549000000002</v>
      </c>
      <c r="M17" s="24">
        <f>Dat_01!L10*100</f>
        <v>0.28554537999999996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18.871455999999998</v>
      </c>
      <c r="G18" s="24">
        <f>Dat_01!T11*100</f>
        <v>111.24069765</v>
      </c>
      <c r="H18" s="154">
        <f>Dat_01!Z11/1000</f>
        <v>27.415594000000002</v>
      </c>
      <c r="I18" s="24">
        <f>Dat_01!AB11*100</f>
        <v>-15.758725800000001</v>
      </c>
      <c r="J18" s="226">
        <f>Dat_01!B11/1000</f>
        <v>2.7757E-2</v>
      </c>
      <c r="K18" s="24">
        <f>IF(Dat_01!D11=-100%,"-",Dat_01!D11*100)</f>
        <v>-72.945602699999995</v>
      </c>
      <c r="L18" s="154">
        <f>Dat_01!J11/1000</f>
        <v>0</v>
      </c>
      <c r="M18" s="24" t="str">
        <f>IF(Dat_01!L11*100=-100,"-",Dat_01!L11*100)</f>
        <v>-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112.484255</v>
      </c>
      <c r="I19" s="24">
        <f>Dat_01!AB12*100</f>
        <v>-12.26869426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60.567519000000004</v>
      </c>
      <c r="G20" s="17">
        <f>((SUM(Dat_01!R10:R12,Dat_01!R14)/SUM(Dat_01!S10:S12,Dat_01!S14))-1)*100</f>
        <v>127.60058980917104</v>
      </c>
      <c r="H20" s="153">
        <f>SUM(H17:H19)</f>
        <v>299.91658699999999</v>
      </c>
      <c r="I20" s="17">
        <f>(H20/(H17/(I17/100+1)+H18/(I18/100+1)+H19/(I19/100+1))-1)*100</f>
        <v>-0.37127900015833104</v>
      </c>
      <c r="J20" s="153">
        <f>SUM(J17:J19)</f>
        <v>16.448789000000001</v>
      </c>
      <c r="K20" s="17">
        <f>((SUM(Dat_01!B10:B12)/SUM(Dat_01!C10:C12))-1)*100</f>
        <v>2.193253530990269</v>
      </c>
      <c r="L20" s="153">
        <f>SUM(L17:L19)</f>
        <v>15.435549000000002</v>
      </c>
      <c r="M20" s="17">
        <f>((SUM(Dat_01!J10:J12)/SUM(Dat_01!K10:K12))-1)*100</f>
        <v>0.27708232718750558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84</v>
      </c>
      <c r="F21" s="153">
        <f>Dat_01!R13/1000</f>
        <v>312.10340600000001</v>
      </c>
      <c r="G21" s="17">
        <f>Dat_01!T13*100</f>
        <v>121.13682331</v>
      </c>
      <c r="H21" s="153">
        <f>Dat_01!Z13/1000</f>
        <v>288.42916700000001</v>
      </c>
      <c r="I21" s="17">
        <f>Dat_01!AB13*100</f>
        <v>14.079949119999998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4.0205720000000005</v>
      </c>
      <c r="G22" s="17">
        <f>Dat_01!T19*100</f>
        <v>72.308554719999989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6.4146000000000001</v>
      </c>
      <c r="G23" s="17">
        <f>Dat_01!T20*100</f>
        <v>2.8191433099999998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0.51367200000000002</v>
      </c>
      <c r="M23" s="17">
        <f>Dat_01!L20*100</f>
        <v>-10.843199929999999</v>
      </c>
      <c r="N23" s="10"/>
      <c r="O23" s="10"/>
    </row>
    <row r="24" spans="3:23" s="2" customFormat="1" ht="12.75" customHeight="1">
      <c r="C24" s="13"/>
      <c r="E24" s="169" t="s">
        <v>81</v>
      </c>
      <c r="F24" s="155">
        <f>SUM(F16,F20:F23)</f>
        <v>382.52282000000002</v>
      </c>
      <c r="G24" s="173">
        <f>((SUM(Dat_01!R9:R14,Dat_01!R19,Dat_01!R21)/SUM(Dat_01!S9:S14,Dat_01!S19,Dat_01!S21))-1)*100</f>
        <v>55.591269361199579</v>
      </c>
      <c r="H24" s="155">
        <f>SUM(H16,H20:H23)</f>
        <v>588.34575399999994</v>
      </c>
      <c r="I24" s="173">
        <f>((SUM(Dat_01!Z9:Z14,Dat_01!Z19,Dat_01!Z21)/SUM(Dat_01!AA9:AA14,Dat_01!AA19,Dat_01!AA21))-1)*100</f>
        <v>6.2254811977257463</v>
      </c>
      <c r="J24" s="155">
        <f>SUM(J16,J20:J23)</f>
        <v>16.448789000000001</v>
      </c>
      <c r="K24" s="173">
        <f>((SUM(Dat_01!B9:B14,Dat_01!B19,Dat_01!B21)/SUM(Dat_01!C9:C14,Dat_01!C19,Dat_01!C21))-1)*100</f>
        <v>2.193253530990269</v>
      </c>
      <c r="L24" s="155">
        <f>SUM(L16,L20:L23)</f>
        <v>15.949221000000001</v>
      </c>
      <c r="M24" s="173">
        <f>((SUM(Dat_01!J9:J14,Dat_01!J19,Dat_01!J21)/SUM(Dat_01!K9:K14,Dat_01!K19,Dat_01!K21))-1)*100</f>
        <v>-0.12412453658383615</v>
      </c>
      <c r="N24" s="10"/>
      <c r="O24" s="10"/>
    </row>
    <row r="25" spans="3:23" s="2" customFormat="1" ht="12.75" customHeight="1">
      <c r="C25" s="16"/>
      <c r="E25" s="15" t="s">
        <v>87</v>
      </c>
      <c r="F25" s="156">
        <f>Dat_01!R23/1000</f>
        <v>38.285525</v>
      </c>
      <c r="G25" s="14">
        <f>Dat_01!T23*100</f>
        <v>-63.862320169999997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350000000000001" customHeight="1">
      <c r="C26" s="13"/>
      <c r="E26" s="12" t="s">
        <v>1</v>
      </c>
      <c r="F26" s="157">
        <f>Dat_01!R24/1000</f>
        <v>444.52883000000003</v>
      </c>
      <c r="G26" s="11">
        <f>Dat_01!T24*100</f>
        <v>20.75863451</v>
      </c>
      <c r="H26" s="157">
        <f>Dat_01!Z24/1000</f>
        <v>734.01330200000007</v>
      </c>
      <c r="I26" s="11">
        <f>Dat_01!AB24*100</f>
        <v>8.7652316100000007</v>
      </c>
      <c r="J26" s="157">
        <f>Dat_01!B24/1000</f>
        <v>16.448789000000001</v>
      </c>
      <c r="K26" s="11">
        <f>Dat_01!D24*100</f>
        <v>2.1932535299999998</v>
      </c>
      <c r="L26" s="157">
        <f>Dat_01!J24/1000</f>
        <v>16.468921999999999</v>
      </c>
      <c r="M26" s="11">
        <f>Dat_01!L24*100</f>
        <v>-0.49880730000000001</v>
      </c>
      <c r="N26" s="10"/>
      <c r="O26" s="10"/>
    </row>
    <row r="27" spans="3:23" s="2" customFormat="1" ht="16.350000000000001" customHeight="1">
      <c r="C27" s="13"/>
      <c r="E27" s="203" t="s">
        <v>56</v>
      </c>
      <c r="F27" s="203"/>
      <c r="G27" s="203"/>
      <c r="H27" s="203"/>
      <c r="I27" s="203"/>
      <c r="J27" s="203"/>
      <c r="K27" s="203"/>
      <c r="L27" s="170"/>
      <c r="M27" s="171"/>
      <c r="N27" s="10"/>
      <c r="O27" s="10"/>
    </row>
    <row r="28" spans="3:23" s="2" customFormat="1" ht="34.5" customHeight="1">
      <c r="C28" s="13"/>
      <c r="E28" s="204" t="s">
        <v>108</v>
      </c>
      <c r="F28" s="204"/>
      <c r="G28" s="204"/>
      <c r="H28" s="204"/>
      <c r="I28" s="204"/>
      <c r="J28" s="204"/>
      <c r="K28" s="204"/>
      <c r="L28" s="204"/>
      <c r="M28" s="204"/>
      <c r="N28" s="10"/>
      <c r="O28" s="10"/>
    </row>
    <row r="29" spans="3:23" s="2" customFormat="1" ht="12.75" customHeight="1">
      <c r="C29" s="8"/>
      <c r="D29" s="8"/>
      <c r="E29" s="202" t="s">
        <v>0</v>
      </c>
      <c r="F29" s="202"/>
      <c r="G29" s="202"/>
      <c r="H29" s="202"/>
      <c r="I29" s="202"/>
      <c r="J29" s="202"/>
      <c r="K29" s="202"/>
      <c r="L29" s="202"/>
      <c r="M29" s="202"/>
      <c r="O29" s="9"/>
    </row>
    <row r="30" spans="3:23" s="7" customFormat="1" ht="12.75" customHeight="1">
      <c r="E30" s="201" t="s">
        <v>82</v>
      </c>
      <c r="F30" s="201"/>
      <c r="G30" s="201"/>
      <c r="H30" s="201"/>
      <c r="I30" s="201"/>
      <c r="J30" s="201"/>
      <c r="K30" s="201"/>
      <c r="L30" s="201"/>
      <c r="M30" s="201"/>
    </row>
    <row r="31" spans="3:23" s="2" customFormat="1" ht="12.75" customHeight="1">
      <c r="C31" s="8"/>
      <c r="D31" s="8"/>
      <c r="E31" s="201" t="s">
        <v>85</v>
      </c>
      <c r="F31" s="201"/>
      <c r="G31" s="201"/>
      <c r="H31" s="201"/>
      <c r="I31" s="201"/>
      <c r="J31" s="201"/>
      <c r="K31" s="201"/>
      <c r="L31" s="201"/>
      <c r="M31" s="201"/>
    </row>
    <row r="32" spans="3:23" ht="12.75" customHeight="1">
      <c r="C32" s="1"/>
      <c r="D32" s="1"/>
      <c r="E32" s="201" t="s">
        <v>86</v>
      </c>
      <c r="F32" s="201"/>
      <c r="G32" s="201"/>
      <c r="H32" s="201"/>
      <c r="I32" s="201"/>
      <c r="J32" s="201"/>
      <c r="K32" s="201"/>
      <c r="L32" s="201"/>
      <c r="M32" s="201"/>
    </row>
    <row r="33" spans="3:13" ht="12.75" customHeight="1">
      <c r="C33" s="1"/>
      <c r="D33" s="1"/>
      <c r="E33" s="201"/>
      <c r="F33" s="201"/>
      <c r="G33" s="201"/>
      <c r="H33" s="201"/>
      <c r="I33" s="201"/>
      <c r="J33" s="201"/>
      <c r="K33" s="201"/>
      <c r="L33" s="201"/>
      <c r="M33" s="201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H22" sqref="H22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Octubre 2021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5" t="s">
        <v>31</v>
      </c>
      <c r="D7" s="44"/>
      <c r="E7" s="48"/>
    </row>
    <row r="8" spans="2:12" s="38" customFormat="1" ht="12.75" customHeight="1">
      <c r="B8" s="46"/>
      <c r="C8" s="205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1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5" t="s">
        <v>28</v>
      </c>
      <c r="E24" s="42"/>
      <c r="J24" s="38"/>
      <c r="K24" s="38"/>
    </row>
    <row r="25" spans="2:12">
      <c r="C25" s="205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Octubre 2021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6" t="s">
        <v>32</v>
      </c>
      <c r="D7" s="64"/>
      <c r="E7" s="68"/>
    </row>
    <row r="8" spans="1:20" s="56" customFormat="1" ht="12.75" customHeight="1">
      <c r="A8" s="67"/>
      <c r="B8" s="66"/>
      <c r="C8" s="206"/>
      <c r="D8" s="64"/>
      <c r="E8" s="68"/>
      <c r="F8" s="63"/>
    </row>
    <row r="9" spans="1:20" s="56" customFormat="1" ht="12.75" customHeight="1">
      <c r="A9" s="67"/>
      <c r="B9" s="66"/>
      <c r="C9" s="206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108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Octubre 2021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5" t="s">
        <v>35</v>
      </c>
      <c r="D7" s="44"/>
      <c r="E7" s="48"/>
    </row>
    <row r="8" spans="2:12" s="38" customFormat="1" ht="12.75" customHeight="1">
      <c r="B8" s="46"/>
      <c r="C8" s="205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5" t="s">
        <v>49</v>
      </c>
      <c r="E24" s="42"/>
      <c r="J24" s="38"/>
      <c r="K24" s="38"/>
    </row>
    <row r="25" spans="2:12">
      <c r="C25" s="205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Octubre 2021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6" t="s">
        <v>36</v>
      </c>
      <c r="D7" s="64"/>
      <c r="E7" s="68"/>
    </row>
    <row r="8" spans="1:20" s="56" customFormat="1" ht="12.75" customHeight="1">
      <c r="A8" s="67"/>
      <c r="B8" s="66"/>
      <c r="C8" s="206"/>
      <c r="D8" s="64"/>
      <c r="E8" s="68"/>
      <c r="F8" s="63"/>
    </row>
    <row r="9" spans="1:20" s="56" customFormat="1" ht="12.75" customHeight="1">
      <c r="A9" s="67"/>
      <c r="B9" s="66"/>
      <c r="C9" s="206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89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108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2021-11-15T15:12:12Z</dcterms:modified>
</cp:coreProperties>
</file>