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OCT\INF_ELABORADA\"/>
    </mc:Choice>
  </mc:AlternateContent>
  <xr:revisionPtr revIDLastSave="0" documentId="13_ncr:1_{36E03285-8CFB-4204-BD9F-387BCCE20A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Dat_01!$A$85:$Y$112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18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G16" i="22"/>
  <c r="O117" i="18"/>
  <c r="O119" i="18" s="1"/>
  <c r="B47" i="18" l="1"/>
  <c r="C47" i="18"/>
  <c r="M12" i="22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<sst xmlns="http://schemas.openxmlformats.org/spreadsheetml/2006/main" count="429" uniqueCount="136">
  <si>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</si>
  <si>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</si>
  <si>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</si>
  <si>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</si>
  <si>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</si>
  <si>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</si>
  <si>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</si>
  <si>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</si>
  <si>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</si>
  <si>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</si>
  <si>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</si>
  <si>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</si>
  <si>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</si>
  <si>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</si>
  <si>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</si>
  <si>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</si>
  <si>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</si>
  <si>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</si>
  <si>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</si>
  <si>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</si>
  <si>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</si>
  <si>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</si>
  <si>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</si>
  <si>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</si>
  <si>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</si>
  <si>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</si>
  <si>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</si>
  <si>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</si>
  <si>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</si>
  <si>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</si>
  <si>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</si>
  <si>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</si>
  <si>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</si>
  <si>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</si>
  <si>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</si>
  <si>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</si>
  <si>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</si>
  <si>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</si>
  <si>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</si>
  <si>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</si>
  <si>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</si>
  <si>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</si>
  <si>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</si>
  <si>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</si>
  <si>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</si>
  <si>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</si>
  <si>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</si>
  <si>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</si>
  <si>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</si>
  <si>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</si>
  <si>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</si>
  <si>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</si>
  <si>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</si>
  <si>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</si>
  <si>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</si>
  <si>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</si>
  <si>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</si>
  <si>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</si>
  <si>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</si>
  <si>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</si>
  <si>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</si>
  <si>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</si>
  <si>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</si>
  <si>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</si>
  <si>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</si>
  <si>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</si>
  <si>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</si>
  <si>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</si>
  <si>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</si>
  <si>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</si>
  <si>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</si>
  <si>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</si>
  <si>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</si>
  <si>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</si>
  <si>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</si>
  <si>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</si>
  <si>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</si>
  <si>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</si>
  <si>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</si>
  <si>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</si>
  <si>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</si>
  <si>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</si>
  <si>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</si>
  <si>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</si>
  <si>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</si>
  <si>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</si>
  <si>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</si>
  <si>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</si>
  <si>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</si>
  <si>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</si>
  <si>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</si>
  <si>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</si>
  <si>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</si>
  <si>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</si>
  <si>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</si>
  <si>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</si>
  <si>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</si>
  <si>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</si>
  <si>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</si>
  <si>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</si>
  <si>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</si>
  <si>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</si>
  <si>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</si>
  <si>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</si>
  <si>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</si>
  <si>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</si>
  <si>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</si>
  <si>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</si>
  <si>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</si>
  <si>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</si>
  <si>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</si>
  <si>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</si>
  <si>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</si>
  <si>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</si>
  <si>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</si>
  <si>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</si>
  <si>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</si>
  <si>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</si>
  <si>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</si>
  <si>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</si>
  <si>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</si>
  <si>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</si>
  <si>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</si>
  <si>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</si>
  <si>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</si>
  <si>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</si>
  <si>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</si>
  <si>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</si>
  <si>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31/10/2020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</si>
  <si>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ut="11/12/2020 06:42:47" si="2.000000018a72bea6f0faf5823757abefd0121fd9b38b14114c043abee1043b712d979015fbabe4469f73f055b3a91277889ca92409ed5c53e5f0d0c7fec683cef19bed366c9bfb0cfc7de3cd6e527d9528bd6751719ebcb374444fc5dbd90cb978f59c47ec3e97e534299ee23ec25c7927f8bdf56133afd2814aa522667621368728.3082.0.1.Europe/Madrid.upriv*_1*_pidn2*_5*_session*-lat*_1.00000001f6c1aa133aece80ab996b1b7f141cfd1bc6025e0d2897c26a0e520ad75b17e2176dfd54148bffde8a6258979ff103679ded793ae.000000012949367e7a661ff7eef3674c08589786bc6025e0895c076132f99acfd86a330c7a2bf45eb63560796db81416cc200ab779802393.0.1.1.BDEbi.D066E1C611E6257C10D00080EF253B44.0-3082.1.1_-0.1.0_-3082.1.1_5.5.0.*0.00000001d853c8a808d55d1f214f71e8d4c52f83c911585aa40d99a16aa7915b754f9bfa6d0374c3.0.10*.25*.15*.214.23.10*.4*.0400*.0074J.e.00000001bcbc8eb5b171ffb18684170486c19543c911585a45a6cc9d9464842794821d05673ced7f.0" msgID="43345F2411EB24B237600080EF75527F"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</si>
  <si>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ut="11/12/2020 06:46:12" si="2.000000018a72bea6f0faf5823757abefd0121fd9b38b14114c043abee1043b712d979015fbabe4469f73f055b3a91277889ca92409ed5c53e5f0d0c7fec683cef19bed366c9bfb0cfc7de3cd6e527d9528bd6751719ebcb374444fc5dbd90cb978f59c47ec3e97e534299ee23ec25c7927f8bdf56133afd2814aa522667621368728.3082.0.1.Europe/Madrid.upriv*_1*_pidn2*_5*_session*-lat*_1.00000001f6c1aa133aece80ab996b1b7f141cfd1bc6025e0d2897c26a0e520ad75b17e2176dfd54148bffde8a6258979ff103679ded793ae.000000012949367e7a661ff7eef3674c08589786bc6025e0895c076132f99acfd86a330c7a2bf45eb63560796db81416cc200ab779802393.0.1.1.BDEbi.D066E1C611E6257C10D00080EF253B44.0-3082.1.1_-0.1.0_-3082.1.1_5.5.0.*0.00000001d853c8a808d55d1f214f71e8d4c52f83c911585aa40d99a16aa7915b754f9bfa6d0374c3.0.10*.25*.15*.214.23.10*.4*.0400*.0074J.e.00000001bcbc8eb5b171ffb18684170486c19543c911585a45a6cc9d9464842794821d05673ced7f.0" msgID="4C8113BA11EB24B237600080EF85727F"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nrr="697" nrc="1312"&gt;&lt;pg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</si>
  <si>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Noviembre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</si>
  <si>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ut="11/12/2020 06:52:04" si="2.000000018a72bea6f0faf5823757abefd0121fd9b38b14114c043abee1043b712d979015fbabe4469f73f055b3a91277889ca92409ed5c53e5f0d0c7fec683cef19bed366c9bfb0cfc7de3cd6e527d9528bd6751719ebcb374444fc5dbd90cb978f59c47ec3e97e534299ee23ec25c7927f8bdf56133afd2814aa522667621368728.3082.0.1.Europe/Madrid.upriv*_1*_pidn2*_5*_session*-lat*_1.00000001f6c1aa133aece80ab996b1b7f141cfd1bc6025e0d2897c26a0e520ad75b17e2176dfd54148bffde8a6258979ff103679ded793ae.000000012949367e7a661ff7eef3674c08589786bc6025e0895c076132f99acfd86a330c7a2bf45eb63560796db81416cc200ab779802393.0.1.1.BDEbi.D066E1C611E6257C10D00080EF253B44.0-3082.1.1_-0.1.0_-3082.1.1_5.5.0.*0.00000001d853c8a808d55d1f214f71e8d4c52f83c911585aa40d99a16aa7915b754f9bfa6d0374c3.0.10*.25*.15*.214.23.10*.4*.0400*.0074J.e.00000001bcbc8eb5b171ffb18684170486c19543c911585a45a6cc9d9464842794821d05673ced7f.0" msgID="47741A7411EB24B337600080EF15927F"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cols="25" /&gt;&lt;esdo ews="" ece="" ptn="" /&gt;&lt;/excel&gt;&lt;pgs&gt;&lt;pg rows="25" cols="23" nrr="977" nrc="765"&gt;&lt;pg /&gt;&lt;bls&gt;&lt;bl sr="1" sc="1" rfetch="25" cfetch="23" posid="1" darows="0" dacols="1"&gt;&lt;excel&gt;&lt;epo ews="Dat_01" ece="A85" enr="MSTR.Serie_Balance_B.C._Mensual_Baleares_y_Canarias" ptn="" qtn="" rows="28" cols="25" /&gt;&lt;esdo ews="" ece="" ptn="" /&gt;&lt;/excel&gt;&lt;gridRng&gt;&lt;sect id="TITLE_AREA" rngprop="1:1:3:2" /&gt;&lt;sect id="ROWHEADERS_AREA" rngprop="4:1:25:2" /&gt;&lt;sect id="COLUMNHEADERS_AREA" rngprop="1:3:3:23" /&gt;&lt;sect id="DATA_AREA" rngprop="4:3:25:23"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</si>
  <si>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ut="11/12/2020 06:52:53" si="2.0000000155374a86591dc830e914c96d593615f8b224787673cac92fcd2b86f2c00c90f3ae8284b830c07e567daecd26999f08dc0e471f5c8e5b4c28e1d1ff36e9339bab812a5bb5ff69763d093d104789338379d08e2e88305ec90509b35fcc27b1f90f1f20baf296d0b10037326f9a7f02d0cf8ab21e983b1d9608d19a5208922b.3082.0.1.Europe/Madrid.upriv*_1*_pidn2*_5*_session*-lat*_1.0000000102280891fdc12673b49794a68304f828bc6025e07deae8a36d3623cfa689c8c6755a37a874d39559fc321814af9e781b8d0412c3.000000012776e118cfe6ee367ddb4e5d73165488bc6025e0641fa5d4f610ce0b3164b42f56f9c8428f45b5ed36f0d1ef53e29b4e7c2c9153.0.1.1.BDEbi.D066E1C611E6257C10D00080EF253B44.0-3082.1.1_-0.1.0_-3082.1.1_5.5.0.*0.00000001efe691d9cf3d085c85c9204d3760a631c911585ada8c2148461cb8c87c9c7e554c4dba11.0.10*.25*.15*.214.23.10*.4*.0400*.0074J.e.00000001b08b40f018f6f0499cdd5d510604f1aac911585a058027b86fec85be6d25301b3761442c.0" msgID="A6E5F70211EB24B3559D0080EF5553F7"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nrr="15" nrc="192"&gt;&lt;pg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</si>
  <si>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83ea22659e8c45ee91ec1564b0af0171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</si>
  <si>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ut="11/12/2020 06:53:22" si="2.0000000155374a86591dc830e914c96d593615f8b224787673cac92fcd2b86f2c00c90f3ae8284b830c07e567daecd26999f08dc0e471f5c8e5b4c28e1d1ff36e9339bab812a5bb5ff69763d093d104789338379d08e2e88305ec90509b35fcc27b1f90f1f20baf296d0b10037326f9a7f02d0cf8ab21e983b1d9608d19a5208922b.3082.0.1.Europe/Madrid.upriv*_1*_pidn2*_5*_session*-lat*_1.0000000102280891fdc12673b49794a68304f828bc6025e07deae8a36d3623cfa689c8c6755a37a874d39559fc321814af9e781b8d0412c3.000000012776e118cfe6ee367ddb4e5d73165488bc6025e0641fa5d4f610ce0b3164b42f56f9c8428f45b5ed36f0d1ef53e29b4e7c2c9153.0.1.1.BDEbi.D066E1C611E6257C10D00080EF253B44.0-3082.1.1_-0.1.0_-3082.1.1_5.5.0.*0.00000001efe691d9cf3d085c85c9204d3760a631c911585ada8c2148461cb8c87c9c7e554c4dba11.0.10*.25*.15*.214.23.10*.4*.0400*.0074J.e.00000001b08b40f018f6f0499cdd5d510604f1aac911585a058027b86fec85be6d25301b3761442c.0" msgID="BAA36F0411EB24B3559D0080EFA5F4FA"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nrr="21" nrc="264"&gt;&lt;pg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</si>
</sst>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0" fontId="50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1382113821138211"/>
                  <c:y val="-0.12254901960784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235772357723578"/>
                  <c:y val="4.3331403427512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211382113821126"/>
                  <c:y val="0.102287517369152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6084309583253312"/>
                  <c:y val="0.17107843137254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0.1040650406504065"/>
                  <c:y val="0.34313725490196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136508546187824"/>
                  <c:y val="0.21617647058823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1138211382113822"/>
                  <c:y val="0.10730507951211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375635362652839"/>
                  <c:y val="-1.5223483094025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21463414634146341"/>
                  <c:y val="-0.1519607843137255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186991869918699"/>
                  <c:y val="-0.258569939786938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-0.16260162601626021"/>
                  <c:y val="-0.11809286706808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18.896266331074642</c:v>
                </c:pt>
                <c:pt idx="1">
                  <c:v>4.5884126839884809</c:v>
                </c:pt>
                <c:pt idx="2">
                  <c:v>2.4287051063550646</c:v>
                </c:pt>
                <c:pt idx="3">
                  <c:v>38.355702883001904</c:v>
                </c:pt>
                <c:pt idx="4">
                  <c:v>0.20103877361613959</c:v>
                </c:pt>
                <c:pt idx="5">
                  <c:v>0.63412300393084864</c:v>
                </c:pt>
                <c:pt idx="6">
                  <c:v>1.6953253328405482</c:v>
                </c:pt>
                <c:pt idx="7">
                  <c:v>1.6953253328405482</c:v>
                </c:pt>
                <c:pt idx="8">
                  <c:v>8.9109631846961079E-2</c:v>
                </c:pt>
                <c:pt idx="9">
                  <c:v>2.6168978503585745</c:v>
                </c:pt>
                <c:pt idx="10">
                  <c:v>7.4237870682309047E-3</c:v>
                </c:pt>
                <c:pt idx="11">
                  <c:v>28.791669283078054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3902451827667887"/>
                  <c:y val="-0.14297020317313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11.962790810478701</c:v>
                </c:pt>
                <c:pt idx="1">
                  <c:v>6.9138185695718546</c:v>
                </c:pt>
                <c:pt idx="2">
                  <c:v>30.02600977057963</c:v>
                </c:pt>
                <c:pt idx="3">
                  <c:v>42.551726268035672</c:v>
                </c:pt>
                <c:pt idx="4">
                  <c:v>0</c:v>
                </c:pt>
                <c:pt idx="5">
                  <c:v>0.52012349597632734</c:v>
                </c:pt>
                <c:pt idx="6">
                  <c:v>1.854926933299766</c:v>
                </c:pt>
                <c:pt idx="7">
                  <c:v>1.854926933299766</c:v>
                </c:pt>
                <c:pt idx="8">
                  <c:v>0.18040900320529096</c:v>
                </c:pt>
                <c:pt idx="9">
                  <c:v>4.0296266549131667</c:v>
                </c:pt>
                <c:pt idx="10">
                  <c:v>0.1056415606397995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190.859296</c:v>
                </c:pt>
                <c:pt idx="1">
                  <c:v>128.513947</c:v>
                </c:pt>
                <c:pt idx="2">
                  <c:v>137.71730099999999</c:v>
                </c:pt>
                <c:pt idx="3">
                  <c:v>-3.1773479999999998</c:v>
                </c:pt>
                <c:pt idx="4">
                  <c:v>-1.357415</c:v>
                </c:pt>
                <c:pt idx="5">
                  <c:v>-1.701627</c:v>
                </c:pt>
                <c:pt idx="6">
                  <c:v>-1.680847</c:v>
                </c:pt>
                <c:pt idx="7">
                  <c:v>-1.8013110000000001</c:v>
                </c:pt>
                <c:pt idx="8">
                  <c:v>-1.2808299999999999</c:v>
                </c:pt>
                <c:pt idx="9">
                  <c:v>-1.119569</c:v>
                </c:pt>
                <c:pt idx="10">
                  <c:v>-1.1268309999999999</c:v>
                </c:pt>
                <c:pt idx="11">
                  <c:v>68.615076999999999</c:v>
                </c:pt>
                <c:pt idx="12">
                  <c:v>69.531803999999994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70.492742000000007</c:v>
                </c:pt>
                <c:pt idx="1">
                  <c:v>55.933497000000003</c:v>
                </c:pt>
                <c:pt idx="2">
                  <c:v>39.850644000000003</c:v>
                </c:pt>
                <c:pt idx="3">
                  <c:v>46.988411999999997</c:v>
                </c:pt>
                <c:pt idx="4">
                  <c:v>37.597881999999998</c:v>
                </c:pt>
                <c:pt idx="5">
                  <c:v>34.745249000000001</c:v>
                </c:pt>
                <c:pt idx="6">
                  <c:v>28.608295999999999</c:v>
                </c:pt>
                <c:pt idx="7">
                  <c:v>29.693214999999999</c:v>
                </c:pt>
                <c:pt idx="8">
                  <c:v>33.872518999999997</c:v>
                </c:pt>
                <c:pt idx="9">
                  <c:v>66.275554999999997</c:v>
                </c:pt>
                <c:pt idx="10">
                  <c:v>87.959547999999984</c:v>
                </c:pt>
                <c:pt idx="11">
                  <c:v>41.727269</c:v>
                </c:pt>
                <c:pt idx="12">
                  <c:v>26.56035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49.054729000000002</c:v>
                </c:pt>
                <c:pt idx="1">
                  <c:v>98.892425000000003</c:v>
                </c:pt>
                <c:pt idx="2">
                  <c:v>97.225685999999996</c:v>
                </c:pt>
                <c:pt idx="3">
                  <c:v>247.42845600000001</c:v>
                </c:pt>
                <c:pt idx="4">
                  <c:v>226.17381</c:v>
                </c:pt>
                <c:pt idx="5">
                  <c:v>223.68827999999999</c:v>
                </c:pt>
                <c:pt idx="6">
                  <c:v>190.73178300000001</c:v>
                </c:pt>
                <c:pt idx="7">
                  <c:v>192.66073600000001</c:v>
                </c:pt>
                <c:pt idx="8">
                  <c:v>191.22599500000001</c:v>
                </c:pt>
                <c:pt idx="9">
                  <c:v>258.52646600000003</c:v>
                </c:pt>
                <c:pt idx="10">
                  <c:v>260.88770599999998</c:v>
                </c:pt>
                <c:pt idx="11">
                  <c:v>135.30891800000001</c:v>
                </c:pt>
                <c:pt idx="12">
                  <c:v>141.13588200000001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0.402117</c:v>
                </c:pt>
                <c:pt idx="1">
                  <c:v>0.49518299999999998</c:v>
                </c:pt>
                <c:pt idx="2">
                  <c:v>0.44528499999999999</c:v>
                </c:pt>
                <c:pt idx="3">
                  <c:v>0.37082599999999999</c:v>
                </c:pt>
                <c:pt idx="4">
                  <c:v>0.33927600000000002</c:v>
                </c:pt>
                <c:pt idx="5">
                  <c:v>0.53315400000000002</c:v>
                </c:pt>
                <c:pt idx="6">
                  <c:v>0.24332000000000001</c:v>
                </c:pt>
                <c:pt idx="7">
                  <c:v>0.35256199999999999</c:v>
                </c:pt>
                <c:pt idx="8">
                  <c:v>0.21834000000000001</c:v>
                </c:pt>
                <c:pt idx="9">
                  <c:v>0.22134999999999999</c:v>
                </c:pt>
                <c:pt idx="10">
                  <c:v>0.20693</c:v>
                </c:pt>
                <c:pt idx="11">
                  <c:v>0.189775</c:v>
                </c:pt>
                <c:pt idx="12">
                  <c:v>0.32789299999999999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9.1342990000000004</c:v>
                </c:pt>
                <c:pt idx="1">
                  <c:v>6.2973249999999998</c:v>
                </c:pt>
                <c:pt idx="2">
                  <c:v>5.9055650000000002</c:v>
                </c:pt>
                <c:pt idx="3">
                  <c:v>5.9311930000000004</c:v>
                </c:pt>
                <c:pt idx="4">
                  <c:v>8.7361280000000008</c:v>
                </c:pt>
                <c:pt idx="5">
                  <c:v>9.2030049999999992</c:v>
                </c:pt>
                <c:pt idx="6">
                  <c:v>10.819095000000001</c:v>
                </c:pt>
                <c:pt idx="7">
                  <c:v>12.877418</c:v>
                </c:pt>
                <c:pt idx="8">
                  <c:v>12.233309</c:v>
                </c:pt>
                <c:pt idx="9">
                  <c:v>12.746891</c:v>
                </c:pt>
                <c:pt idx="10">
                  <c:v>12.085228000000001</c:v>
                </c:pt>
                <c:pt idx="11">
                  <c:v>10.525691999999999</c:v>
                </c:pt>
                <c:pt idx="12">
                  <c:v>9.6292899999999992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9.9426E-2</c:v>
                </c:pt>
                <c:pt idx="1">
                  <c:v>9.2591999999999994E-2</c:v>
                </c:pt>
                <c:pt idx="2">
                  <c:v>0.18124699999999999</c:v>
                </c:pt>
                <c:pt idx="3">
                  <c:v>0.20147399999999999</c:v>
                </c:pt>
                <c:pt idx="4">
                  <c:v>8.1622E-2</c:v>
                </c:pt>
                <c:pt idx="5">
                  <c:v>2.6786999999999998E-2</c:v>
                </c:pt>
                <c:pt idx="6">
                  <c:v>1.5415999999999999E-2</c:v>
                </c:pt>
                <c:pt idx="7">
                  <c:v>2.3830000000000001E-3</c:v>
                </c:pt>
                <c:pt idx="8">
                  <c:v>5.9750999999999999E-2</c:v>
                </c:pt>
                <c:pt idx="9">
                  <c:v>5.2531000000000001E-2</c:v>
                </c:pt>
                <c:pt idx="10">
                  <c:v>5.0747E-2</c:v>
                </c:pt>
                <c:pt idx="11">
                  <c:v>2.81E-3</c:v>
                </c:pt>
                <c:pt idx="12">
                  <c:v>2.7317000000000001E-2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2.8098649999999998</c:v>
                </c:pt>
                <c:pt idx="1">
                  <c:v>3.3302809999999998</c:v>
                </c:pt>
                <c:pt idx="2">
                  <c:v>3.7760859999999998</c:v>
                </c:pt>
                <c:pt idx="3">
                  <c:v>4.0380969999999996</c:v>
                </c:pt>
                <c:pt idx="4">
                  <c:v>3.7449910000000002</c:v>
                </c:pt>
                <c:pt idx="5">
                  <c:v>3.4759910000000001</c:v>
                </c:pt>
                <c:pt idx="6">
                  <c:v>2.759617</c:v>
                </c:pt>
                <c:pt idx="7">
                  <c:v>2.681413</c:v>
                </c:pt>
                <c:pt idx="8">
                  <c:v>2.5969359999999999</c:v>
                </c:pt>
                <c:pt idx="9">
                  <c:v>2.3319320000000001</c:v>
                </c:pt>
                <c:pt idx="10">
                  <c:v>1.922374</c:v>
                </c:pt>
                <c:pt idx="11">
                  <c:v>2.047806</c:v>
                </c:pt>
                <c:pt idx="12">
                  <c:v>2.3333560000000002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14.954476</c:v>
                </c:pt>
                <c:pt idx="1">
                  <c:v>13.874806</c:v>
                </c:pt>
                <c:pt idx="2">
                  <c:v>8.5480964999999998</c:v>
                </c:pt>
                <c:pt idx="3">
                  <c:v>9.2619229999999995</c:v>
                </c:pt>
                <c:pt idx="4">
                  <c:v>6.0955329999999996</c:v>
                </c:pt>
                <c:pt idx="5">
                  <c:v>10.531687</c:v>
                </c:pt>
                <c:pt idx="6">
                  <c:v>4.8152900000000001</c:v>
                </c:pt>
                <c:pt idx="7">
                  <c:v>5.3655939999999998</c:v>
                </c:pt>
                <c:pt idx="8">
                  <c:v>14.316091999999999</c:v>
                </c:pt>
                <c:pt idx="9">
                  <c:v>10.772016499999999</c:v>
                </c:pt>
                <c:pt idx="10">
                  <c:v>10.810641499999999</c:v>
                </c:pt>
                <c:pt idx="11">
                  <c:v>14.376298</c:v>
                </c:pt>
                <c:pt idx="12">
                  <c:v>6.2382179999999998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14.954476</c:v>
                </c:pt>
                <c:pt idx="1">
                  <c:v>13.874806</c:v>
                </c:pt>
                <c:pt idx="2">
                  <c:v>8.5480964999999998</c:v>
                </c:pt>
                <c:pt idx="3">
                  <c:v>9.2619229999999995</c:v>
                </c:pt>
                <c:pt idx="4">
                  <c:v>6.0955329999999996</c:v>
                </c:pt>
                <c:pt idx="5">
                  <c:v>10.531687</c:v>
                </c:pt>
                <c:pt idx="6">
                  <c:v>4.8152900000000001</c:v>
                </c:pt>
                <c:pt idx="7">
                  <c:v>5.3655939999999998</c:v>
                </c:pt>
                <c:pt idx="8">
                  <c:v>14.316091999999999</c:v>
                </c:pt>
                <c:pt idx="9">
                  <c:v>10.772016499999999</c:v>
                </c:pt>
                <c:pt idx="10">
                  <c:v>10.810641499999999</c:v>
                </c:pt>
                <c:pt idx="11">
                  <c:v>14.376298</c:v>
                </c:pt>
                <c:pt idx="12">
                  <c:v>6.2382179999999998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137.66557</c:v>
                </c:pt>
                <c:pt idx="1">
                  <c:v>91.396833999999998</c:v>
                </c:pt>
                <c:pt idx="2">
                  <c:v>119.614278</c:v>
                </c:pt>
                <c:pt idx="3">
                  <c:v>136.155901</c:v>
                </c:pt>
                <c:pt idx="4">
                  <c:v>115.92849699999999</c:v>
                </c:pt>
                <c:pt idx="5">
                  <c:v>112.780382</c:v>
                </c:pt>
                <c:pt idx="6">
                  <c:v>80.581305999999998</c:v>
                </c:pt>
                <c:pt idx="7">
                  <c:v>79.946523999999997</c:v>
                </c:pt>
                <c:pt idx="8">
                  <c:v>93.289579000000003</c:v>
                </c:pt>
                <c:pt idx="9">
                  <c:v>168.331695</c:v>
                </c:pt>
                <c:pt idx="10">
                  <c:v>182.71595500000001</c:v>
                </c:pt>
                <c:pt idx="11">
                  <c:v>116.274961</c:v>
                </c:pt>
                <c:pt idx="12">
                  <c:v>105.943506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16.399318267588413</c:v>
                </c:pt>
                <c:pt idx="1">
                  <c:v>18.423770325060918</c:v>
                </c:pt>
                <c:pt idx="2">
                  <c:v>15.960168915689771</c:v>
                </c:pt>
                <c:pt idx="3">
                  <c:v>28.577776348705253</c:v>
                </c:pt>
                <c:pt idx="4">
                  <c:v>0</c:v>
                </c:pt>
                <c:pt idx="5">
                  <c:v>6.6798320093016214E-2</c:v>
                </c:pt>
                <c:pt idx="6">
                  <c:v>0.3766499335937894</c:v>
                </c:pt>
                <c:pt idx="7">
                  <c:v>14.547318308771892</c:v>
                </c:pt>
                <c:pt idx="8">
                  <c:v>5.5259784958119056</c:v>
                </c:pt>
                <c:pt idx="9">
                  <c:v>0.12222108468504352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934959349593497"/>
                  <c:y val="0.100490196078431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5934959349593497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6097573778887395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20.796006201512469</c:v>
                </c:pt>
                <c:pt idx="1">
                  <c:v>4.8247014688692582</c:v>
                </c:pt>
                <c:pt idx="2">
                  <c:v>19.007931428515075</c:v>
                </c:pt>
                <c:pt idx="3">
                  <c:v>37.482415482285369</c:v>
                </c:pt>
                <c:pt idx="4">
                  <c:v>0</c:v>
                </c:pt>
                <c:pt idx="5">
                  <c:v>4.438176199901829E-2</c:v>
                </c:pt>
                <c:pt idx="6">
                  <c:v>0.21596068224998549</c:v>
                </c:pt>
                <c:pt idx="7">
                  <c:v>14.568627779545364</c:v>
                </c:pt>
                <c:pt idx="8">
                  <c:v>2.943967579611273</c:v>
                </c:pt>
                <c:pt idx="9">
                  <c:v>0.11600761541217627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0.29794700000000002</c:v>
                </c:pt>
                <c:pt idx="1">
                  <c:v>0.29652299999999998</c:v>
                </c:pt>
                <c:pt idx="2">
                  <c:v>0.29914499999999999</c:v>
                </c:pt>
                <c:pt idx="3">
                  <c:v>0.30431399999999997</c:v>
                </c:pt>
                <c:pt idx="4">
                  <c:v>0.26768999999999998</c:v>
                </c:pt>
                <c:pt idx="5">
                  <c:v>0.29931200000000002</c:v>
                </c:pt>
                <c:pt idx="6">
                  <c:v>0.288387</c:v>
                </c:pt>
                <c:pt idx="7">
                  <c:v>0.28846300000000002</c:v>
                </c:pt>
                <c:pt idx="8">
                  <c:v>0.27233299999999999</c:v>
                </c:pt>
                <c:pt idx="9">
                  <c:v>0.29030099999999998</c:v>
                </c:pt>
                <c:pt idx="10">
                  <c:v>0.29413899999999998</c:v>
                </c:pt>
                <c:pt idx="11">
                  <c:v>0.29165099999999999</c:v>
                </c:pt>
                <c:pt idx="12">
                  <c:v>0.299369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355.37539000000004</c:v>
                </c:pt>
                <c:pt idx="1">
                  <c:v>354.636663</c:v>
                </c:pt>
                <c:pt idx="2">
                  <c:v>357.24838199999999</c:v>
                </c:pt>
                <c:pt idx="3">
                  <c:v>339.84719799999999</c:v>
                </c:pt>
                <c:pt idx="4">
                  <c:v>310.92119200000002</c:v>
                </c:pt>
                <c:pt idx="5">
                  <c:v>260.14058899999998</c:v>
                </c:pt>
                <c:pt idx="6">
                  <c:v>222.93640199999999</c:v>
                </c:pt>
                <c:pt idx="7">
                  <c:v>252.956976</c:v>
                </c:pt>
                <c:pt idx="8">
                  <c:v>214.832064</c:v>
                </c:pt>
                <c:pt idx="9">
                  <c:v>269.88695799999999</c:v>
                </c:pt>
                <c:pt idx="10">
                  <c:v>297.66067400000003</c:v>
                </c:pt>
                <c:pt idx="11">
                  <c:v>271.16308099999998</c:v>
                </c:pt>
                <c:pt idx="12">
                  <c:v>301.03426400000001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305.83225499999998</c:v>
                </c:pt>
                <c:pt idx="1">
                  <c:v>233.08126999999999</c:v>
                </c:pt>
                <c:pt idx="2">
                  <c:v>301.90038800000002</c:v>
                </c:pt>
                <c:pt idx="3">
                  <c:v>336.41169600000001</c:v>
                </c:pt>
                <c:pt idx="4">
                  <c:v>279.07848200000001</c:v>
                </c:pt>
                <c:pt idx="5">
                  <c:v>300.75480199999998</c:v>
                </c:pt>
                <c:pt idx="6">
                  <c:v>246.048203</c:v>
                </c:pt>
                <c:pt idx="7">
                  <c:v>229.928777</c:v>
                </c:pt>
                <c:pt idx="8">
                  <c:v>258.95318400000002</c:v>
                </c:pt>
                <c:pt idx="9">
                  <c:v>229.38776100000001</c:v>
                </c:pt>
                <c:pt idx="10">
                  <c:v>217.204814</c:v>
                </c:pt>
                <c:pt idx="11">
                  <c:v>297.07835399999999</c:v>
                </c:pt>
                <c:pt idx="12">
                  <c:v>252.83072899999999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1.582837</c:v>
                </c:pt>
                <c:pt idx="1">
                  <c:v>2.0965220000000002</c:v>
                </c:pt>
                <c:pt idx="2">
                  <c:v>1.15967</c:v>
                </c:pt>
                <c:pt idx="3">
                  <c:v>0.82455000000000001</c:v>
                </c:pt>
                <c:pt idx="4">
                  <c:v>1.3385149999999999</c:v>
                </c:pt>
                <c:pt idx="5">
                  <c:v>1.8236140000000001</c:v>
                </c:pt>
                <c:pt idx="6">
                  <c:v>0.99112500000000003</c:v>
                </c:pt>
                <c:pt idx="7">
                  <c:v>1.4427080000000001</c:v>
                </c:pt>
                <c:pt idx="8">
                  <c:v>0.74262799999999995</c:v>
                </c:pt>
                <c:pt idx="9">
                  <c:v>3.6524220000000001</c:v>
                </c:pt>
                <c:pt idx="10">
                  <c:v>3.5757409999999998</c:v>
                </c:pt>
                <c:pt idx="11">
                  <c:v>1.9118980000000001</c:v>
                </c:pt>
                <c:pt idx="12">
                  <c:v>1.456723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89.263401000000002</c:v>
                </c:pt>
                <c:pt idx="1">
                  <c:v>125.116103</c:v>
                </c:pt>
                <c:pt idx="2">
                  <c:v>68.726336000000003</c:v>
                </c:pt>
                <c:pt idx="3">
                  <c:v>60.203617000000001</c:v>
                </c:pt>
                <c:pt idx="4">
                  <c:v>93.155392000000006</c:v>
                </c:pt>
                <c:pt idx="5">
                  <c:v>97.166026000000002</c:v>
                </c:pt>
                <c:pt idx="6">
                  <c:v>54.728521000000001</c:v>
                </c:pt>
                <c:pt idx="7">
                  <c:v>69.748904999999993</c:v>
                </c:pt>
                <c:pt idx="8">
                  <c:v>103.362193</c:v>
                </c:pt>
                <c:pt idx="9">
                  <c:v>148.25553600000001</c:v>
                </c:pt>
                <c:pt idx="10">
                  <c:v>166.40459999999999</c:v>
                </c:pt>
                <c:pt idx="11">
                  <c:v>92.424858</c:v>
                </c:pt>
                <c:pt idx="12">
                  <c:v>98.269994999999994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20.851227999999999</c:v>
                </c:pt>
                <c:pt idx="1">
                  <c:v>18.324159999999999</c:v>
                </c:pt>
                <c:pt idx="2">
                  <c:v>17.279291000000001</c:v>
                </c:pt>
                <c:pt idx="3">
                  <c:v>18.499157</c:v>
                </c:pt>
                <c:pt idx="4">
                  <c:v>20.258158000000002</c:v>
                </c:pt>
                <c:pt idx="5">
                  <c:v>21.187342999999998</c:v>
                </c:pt>
                <c:pt idx="6">
                  <c:v>22.608267999999999</c:v>
                </c:pt>
                <c:pt idx="7">
                  <c:v>25.982507999999999</c:v>
                </c:pt>
                <c:pt idx="8">
                  <c:v>23.718388000000001</c:v>
                </c:pt>
                <c:pt idx="9">
                  <c:v>26.993926999999999</c:v>
                </c:pt>
                <c:pt idx="10">
                  <c:v>26.574038999999999</c:v>
                </c:pt>
                <c:pt idx="11">
                  <c:v>20.864343000000002</c:v>
                </c:pt>
                <c:pt idx="12">
                  <c:v>19.857990999999998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oct.-19</c:v>
                </c:pt>
                <c:pt idx="1">
                  <c:v>nov.-19</c:v>
                </c:pt>
                <c:pt idx="2">
                  <c:v>dic.-19</c:v>
                </c:pt>
                <c:pt idx="3">
                  <c:v>ene.-20</c:v>
                </c:pt>
                <c:pt idx="4">
                  <c:v>feb.-20</c:v>
                </c:pt>
                <c:pt idx="5">
                  <c:v>mar.-20</c:v>
                </c:pt>
                <c:pt idx="6">
                  <c:v>abr.-20</c:v>
                </c:pt>
                <c:pt idx="7">
                  <c:v>may.-20</c:v>
                </c:pt>
                <c:pt idx="8">
                  <c:v>jun.-20</c:v>
                </c:pt>
                <c:pt idx="9">
                  <c:v>jul.-20</c:v>
                </c:pt>
                <c:pt idx="10">
                  <c:v>ago.-20</c:v>
                </c:pt>
                <c:pt idx="11">
                  <c:v>sep.-20</c:v>
                </c:pt>
                <c:pt idx="12">
                  <c:v>oct.-20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0.57730000000000004</c:v>
                </c:pt>
                <c:pt idx="1">
                  <c:v>0.87303399999999998</c:v>
                </c:pt>
                <c:pt idx="2">
                  <c:v>0.90510599999999997</c:v>
                </c:pt>
                <c:pt idx="3">
                  <c:v>0.87627999999999995</c:v>
                </c:pt>
                <c:pt idx="4">
                  <c:v>0.84570599999999996</c:v>
                </c:pt>
                <c:pt idx="5">
                  <c:v>0.82168300000000005</c:v>
                </c:pt>
                <c:pt idx="6">
                  <c:v>0.83979599999999999</c:v>
                </c:pt>
                <c:pt idx="7">
                  <c:v>0.70590200000000003</c:v>
                </c:pt>
                <c:pt idx="8">
                  <c:v>0.78505800000000003</c:v>
                </c:pt>
                <c:pt idx="9">
                  <c:v>0.69386000000000003</c:v>
                </c:pt>
                <c:pt idx="10">
                  <c:v>0.69097799999999998</c:v>
                </c:pt>
                <c:pt idx="11">
                  <c:v>0.64958000000000005</c:v>
                </c:pt>
                <c:pt idx="12">
                  <c:v>0.78250799999999998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Octubre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selection activeCell="B38" sqref="B38"/>
    </sheetView>
  </sheetViews>
  <sheetFormatPr baseColWidth="10" defaultColWidth="11.42578125" defaultRowHeight="12"/>
  <cols>
    <col min="1" max="1" width="10.425781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127</v>
      </c>
      <c r="B2" s="144" t="s">
        <v>128</v>
      </c>
    </row>
    <row r="4" spans="1:33" ht="15">
      <c r="A4" s="145" t="s">
        <v>67</v>
      </c>
      <c r="B4" s="206" t="s">
        <v>127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22" t="s">
        <v>15</v>
      </c>
      <c r="C5" s="223"/>
      <c r="D5" s="223"/>
      <c r="E5" s="223"/>
      <c r="F5" s="223"/>
      <c r="G5" s="223"/>
      <c r="H5" s="223"/>
      <c r="I5" s="224"/>
      <c r="J5" s="222" t="s">
        <v>14</v>
      </c>
      <c r="K5" s="223"/>
      <c r="L5" s="223"/>
      <c r="M5" s="223"/>
      <c r="N5" s="223"/>
      <c r="O5" s="223"/>
      <c r="P5" s="223"/>
      <c r="Q5" s="224"/>
      <c r="R5" s="222" t="s">
        <v>57</v>
      </c>
      <c r="S5" s="223"/>
      <c r="T5" s="223"/>
      <c r="U5" s="223"/>
      <c r="V5" s="223"/>
      <c r="W5" s="223"/>
      <c r="X5" s="223"/>
      <c r="Y5" s="224"/>
      <c r="Z5" s="222" t="s">
        <v>58</v>
      </c>
      <c r="AA5" s="223"/>
      <c r="AB5" s="223"/>
      <c r="AC5" s="223"/>
      <c r="AD5" s="223"/>
      <c r="AE5" s="223"/>
      <c r="AF5" s="223"/>
      <c r="AG5" s="223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299.36900000000003</v>
      </c>
      <c r="AA8" s="158">
        <v>297.947</v>
      </c>
      <c r="AB8" s="151">
        <v>4.7726608999999996E-3</v>
      </c>
      <c r="AC8" s="158">
        <v>2895.9589999999998</v>
      </c>
      <c r="AD8" s="158">
        <v>2913.8510000000001</v>
      </c>
      <c r="AE8" s="151">
        <v>-6.1403276999999999E-3</v>
      </c>
      <c r="AF8" s="158">
        <v>3491.627</v>
      </c>
      <c r="AG8" s="151">
        <v>-2.2397709000000002E-3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69531.804000000004</v>
      </c>
      <c r="S9" s="158">
        <v>190859.296</v>
      </c>
      <c r="T9" s="151">
        <v>-0.63569076560000004</v>
      </c>
      <c r="U9" s="158">
        <v>124901.103</v>
      </c>
      <c r="V9" s="158">
        <v>1733708.4469999999</v>
      </c>
      <c r="W9" s="151">
        <v>-0.92795726219999997</v>
      </c>
      <c r="X9" s="158">
        <v>391132.35100000002</v>
      </c>
      <c r="Y9" s="151">
        <v>-0.80670648489999996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15993.171</v>
      </c>
      <c r="C10" s="158">
        <v>17592.764999999999</v>
      </c>
      <c r="D10" s="151">
        <v>-9.0923399500000002E-2</v>
      </c>
      <c r="E10" s="158">
        <v>166190.96100000001</v>
      </c>
      <c r="F10" s="158">
        <v>171097.255</v>
      </c>
      <c r="G10" s="151">
        <v>-2.8675468799999999E-2</v>
      </c>
      <c r="H10" s="158">
        <v>201057.932</v>
      </c>
      <c r="I10" s="151">
        <v>-2.2928292999999999E-2</v>
      </c>
      <c r="J10" s="158">
        <v>15391.599</v>
      </c>
      <c r="K10" s="158">
        <v>16875.245999999999</v>
      </c>
      <c r="L10" s="151">
        <v>-8.7918540599999997E-2</v>
      </c>
      <c r="M10" s="158">
        <v>165637.57999999999</v>
      </c>
      <c r="N10" s="158">
        <v>168811.872</v>
      </c>
      <c r="O10" s="151">
        <v>-1.8803724899999999E-2</v>
      </c>
      <c r="P10" s="158">
        <v>196834.95600000001</v>
      </c>
      <c r="Q10" s="151">
        <v>-2.2925905699999999E-2</v>
      </c>
      <c r="R10" s="158">
        <v>16883.791000000001</v>
      </c>
      <c r="S10" s="158">
        <v>40788.258000000002</v>
      </c>
      <c r="T10" s="151">
        <v>-0.58606246429999997</v>
      </c>
      <c r="U10" s="158">
        <v>241592.345</v>
      </c>
      <c r="V10" s="158">
        <v>416625.19199999998</v>
      </c>
      <c r="W10" s="151">
        <v>-0.42012065129999998</v>
      </c>
      <c r="X10" s="158">
        <v>288204.60800000001</v>
      </c>
      <c r="Y10" s="151">
        <v>-0.41373468019999998</v>
      </c>
      <c r="Z10" s="158">
        <v>140275.62899999999</v>
      </c>
      <c r="AA10" s="158">
        <v>168134.56400000001</v>
      </c>
      <c r="AB10" s="151">
        <v>-0.16569427689999999</v>
      </c>
      <c r="AC10" s="158">
        <v>1423521.625</v>
      </c>
      <c r="AD10" s="158">
        <v>1627473.693</v>
      </c>
      <c r="AE10" s="151">
        <v>-0.12531819650000001</v>
      </c>
      <c r="AF10" s="158">
        <v>1745993.048</v>
      </c>
      <c r="AG10" s="151">
        <v>-0.1127999231</v>
      </c>
    </row>
    <row r="11" spans="1:33">
      <c r="A11" s="144" t="s">
        <v>9</v>
      </c>
      <c r="B11" s="158">
        <v>102.59699999999999</v>
      </c>
      <c r="C11" s="158">
        <v>76.387</v>
      </c>
      <c r="D11" s="151">
        <v>0.34312121169999998</v>
      </c>
      <c r="E11" s="158">
        <v>160.46</v>
      </c>
      <c r="F11" s="158">
        <v>82.435000000000002</v>
      </c>
      <c r="G11" s="151">
        <v>0.94650330559999996</v>
      </c>
      <c r="H11" s="158">
        <v>162.03899999999999</v>
      </c>
      <c r="I11" s="151">
        <v>0.93898455169999995</v>
      </c>
      <c r="J11" s="158">
        <v>1.2989999999999999</v>
      </c>
      <c r="K11" s="158">
        <v>1.583</v>
      </c>
      <c r="L11" s="151">
        <v>-0.1794061908</v>
      </c>
      <c r="M11" s="158">
        <v>88.421000000000006</v>
      </c>
      <c r="N11" s="158">
        <v>19.635000000000002</v>
      </c>
      <c r="O11" s="151">
        <v>3.5032340208999999</v>
      </c>
      <c r="P11" s="158">
        <v>89.793000000000006</v>
      </c>
      <c r="Q11" s="151">
        <v>3.4135168346000002</v>
      </c>
      <c r="R11" s="158">
        <v>8936.8050000000003</v>
      </c>
      <c r="S11" s="158">
        <v>27936.012999999999</v>
      </c>
      <c r="T11" s="151">
        <v>-0.68009733530000005</v>
      </c>
      <c r="U11" s="158">
        <v>188532.139</v>
      </c>
      <c r="V11" s="158">
        <v>392318.86300000001</v>
      </c>
      <c r="W11" s="151">
        <v>-0.51944156460000002</v>
      </c>
      <c r="X11" s="158">
        <v>237704.01699999999</v>
      </c>
      <c r="Y11" s="151">
        <v>-0.48282058779999998</v>
      </c>
      <c r="Z11" s="158">
        <v>32544.134999999998</v>
      </c>
      <c r="AA11" s="158">
        <v>16664.883999999998</v>
      </c>
      <c r="AB11" s="151">
        <v>0.95285697759999999</v>
      </c>
      <c r="AC11" s="158">
        <v>161600</v>
      </c>
      <c r="AD11" s="158">
        <v>193526.315</v>
      </c>
      <c r="AE11" s="151">
        <v>-0.1649714407</v>
      </c>
      <c r="AF11" s="158">
        <v>197010</v>
      </c>
      <c r="AG11" s="151">
        <v>-0.17247391419999999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128214.5</v>
      </c>
      <c r="AA12" s="158">
        <v>170575.94200000001</v>
      </c>
      <c r="AB12" s="151">
        <v>-0.24834359110000001</v>
      </c>
      <c r="AC12" s="158">
        <v>1156257.773</v>
      </c>
      <c r="AD12" s="158">
        <v>1835007.0460000001</v>
      </c>
      <c r="AE12" s="151">
        <v>-0.36988919170000001</v>
      </c>
      <c r="AF12" s="158">
        <v>1510261.395</v>
      </c>
      <c r="AG12" s="151">
        <v>-0.33359338919999998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141135.88200000001</v>
      </c>
      <c r="S13" s="158">
        <v>49054.728999999999</v>
      </c>
      <c r="T13" s="151">
        <v>1.8771106247</v>
      </c>
      <c r="U13" s="158">
        <v>2067768.0319999999</v>
      </c>
      <c r="V13" s="158">
        <v>849078.93799999997</v>
      </c>
      <c r="W13" s="151">
        <v>1.4353071774999999</v>
      </c>
      <c r="X13" s="158">
        <v>2263886.1430000002</v>
      </c>
      <c r="Y13" s="151">
        <v>1.2698718746</v>
      </c>
      <c r="Z13" s="158">
        <v>252830.72899999999</v>
      </c>
      <c r="AA13" s="158">
        <v>305832.255</v>
      </c>
      <c r="AB13" s="151">
        <v>-0.1733026034</v>
      </c>
      <c r="AC13" s="158">
        <v>2647676.8020000001</v>
      </c>
      <c r="AD13" s="158">
        <v>2518535.892</v>
      </c>
      <c r="AE13" s="151">
        <v>5.1276184099999997E-2</v>
      </c>
      <c r="AF13" s="158">
        <v>3182658.46</v>
      </c>
      <c r="AG13" s="151">
        <v>4.3761934400000001E-2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739.75400000000002</v>
      </c>
      <c r="S14" s="158">
        <v>1768.471</v>
      </c>
      <c r="T14" s="151">
        <v>-0.58169854070000004</v>
      </c>
      <c r="U14" s="158">
        <v>3903.8110000000001</v>
      </c>
      <c r="V14" s="158">
        <v>16897.098999999998</v>
      </c>
      <c r="W14" s="151">
        <v>-0.76896560759999999</v>
      </c>
      <c r="X14" s="158">
        <v>3903.8110000000001</v>
      </c>
      <c r="Y14" s="151">
        <v>-0.76896560759999999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1456.723</v>
      </c>
      <c r="AA15" s="158">
        <v>1582.837</v>
      </c>
      <c r="AB15" s="151">
        <v>-7.9675923699999998E-2</v>
      </c>
      <c r="AC15" s="158">
        <v>17759.923999999999</v>
      </c>
      <c r="AD15" s="158">
        <v>19992.526000000002</v>
      </c>
      <c r="AE15" s="151">
        <v>-0.1116718318</v>
      </c>
      <c r="AF15" s="158">
        <v>21016.116000000002</v>
      </c>
      <c r="AG15" s="151">
        <v>-3.6092707600000003E-2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327.89299999999997</v>
      </c>
      <c r="S16" s="158">
        <v>402.11700000000002</v>
      </c>
      <c r="T16" s="151">
        <v>-0.184583094</v>
      </c>
      <c r="U16" s="158">
        <v>3003.4259999999999</v>
      </c>
      <c r="V16" s="158">
        <v>5144.3519999999999</v>
      </c>
      <c r="W16" s="151">
        <v>-0.41617019989999998</v>
      </c>
      <c r="X16" s="158">
        <v>3943.8939999999998</v>
      </c>
      <c r="Y16" s="151">
        <v>-0.35543553719999998</v>
      </c>
      <c r="Z16" s="158">
        <v>98269.994999999995</v>
      </c>
      <c r="AA16" s="158">
        <v>89263.400999999998</v>
      </c>
      <c r="AB16" s="151">
        <v>0.1008990684</v>
      </c>
      <c r="AC16" s="158">
        <v>983719.64300000004</v>
      </c>
      <c r="AD16" s="158">
        <v>944274.13600000006</v>
      </c>
      <c r="AE16" s="151">
        <v>4.1773363799999998E-2</v>
      </c>
      <c r="AF16" s="158">
        <v>1177562.0819999999</v>
      </c>
      <c r="AG16" s="151">
        <v>0.153287021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6.2949999999999999</v>
      </c>
      <c r="K17" s="158">
        <v>6.5819999999999999</v>
      </c>
      <c r="L17" s="151">
        <v>-4.36037679E-2</v>
      </c>
      <c r="M17" s="158">
        <v>61.314</v>
      </c>
      <c r="N17" s="158">
        <v>71.876000000000005</v>
      </c>
      <c r="O17" s="151">
        <v>-0.1469475207</v>
      </c>
      <c r="P17" s="158">
        <v>69.811000000000007</v>
      </c>
      <c r="Q17" s="151">
        <v>-0.13483535960000001</v>
      </c>
      <c r="R17" s="158">
        <v>9629.2900000000009</v>
      </c>
      <c r="S17" s="158">
        <v>9134.2990000000009</v>
      </c>
      <c r="T17" s="151">
        <v>5.4190365300000001E-2</v>
      </c>
      <c r="U17" s="158">
        <v>104787.249</v>
      </c>
      <c r="V17" s="158">
        <v>108842.143</v>
      </c>
      <c r="W17" s="151">
        <v>-3.7254815900000002E-2</v>
      </c>
      <c r="X17" s="158">
        <v>116990.139</v>
      </c>
      <c r="Y17" s="151">
        <v>-3.8247152899999998E-2</v>
      </c>
      <c r="Z17" s="158">
        <v>19857.991000000002</v>
      </c>
      <c r="AA17" s="158">
        <v>20851.227999999999</v>
      </c>
      <c r="AB17" s="151">
        <v>-4.7634460699999999E-2</v>
      </c>
      <c r="AC17" s="158">
        <v>226544.122</v>
      </c>
      <c r="AD17" s="158">
        <v>243316.647</v>
      </c>
      <c r="AE17" s="151">
        <v>-6.8932911900000005E-2</v>
      </c>
      <c r="AF17" s="158">
        <v>262147.57299999997</v>
      </c>
      <c r="AG17" s="151">
        <v>-5.7722149899999999E-2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27.317</v>
      </c>
      <c r="S18" s="158">
        <v>99.426000000000002</v>
      </c>
      <c r="T18" s="151">
        <v>-0.72525295190000005</v>
      </c>
      <c r="U18" s="158">
        <v>520.83799999999997</v>
      </c>
      <c r="V18" s="158">
        <v>865.52800000000002</v>
      </c>
      <c r="W18" s="151">
        <v>-0.39824246009999997</v>
      </c>
      <c r="X18" s="158">
        <v>794.67700000000002</v>
      </c>
      <c r="Y18" s="151">
        <v>-0.25429494250000001</v>
      </c>
      <c r="Z18" s="158">
        <v>782.50800000000004</v>
      </c>
      <c r="AA18" s="158">
        <v>577.29999999999995</v>
      </c>
      <c r="AB18" s="151">
        <v>0.3554616317</v>
      </c>
      <c r="AC18" s="158">
        <v>7691.3509999999997</v>
      </c>
      <c r="AD18" s="158">
        <v>7995.4350000000004</v>
      </c>
      <c r="AE18" s="151">
        <v>-3.8032202100000002E-2</v>
      </c>
      <c r="AF18" s="158">
        <v>9469.491</v>
      </c>
      <c r="AG18" s="151">
        <v>-2.82857917E-2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2333.3560000000002</v>
      </c>
      <c r="S19" s="158">
        <v>2809.8649999999998</v>
      </c>
      <c r="T19" s="151">
        <v>-0.16958430390000001</v>
      </c>
      <c r="U19" s="158">
        <v>27932.512999999999</v>
      </c>
      <c r="V19" s="158">
        <v>27321.102999999999</v>
      </c>
      <c r="W19" s="151">
        <v>2.2378671900000001E-2</v>
      </c>
      <c r="X19" s="158">
        <v>35038.879999999997</v>
      </c>
      <c r="Y19" s="151">
        <v>3.8892128400000003E-2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576.14449999999999</v>
      </c>
      <c r="K20" s="158">
        <v>311.85250000000002</v>
      </c>
      <c r="L20" s="151">
        <v>0.84749040009999999</v>
      </c>
      <c r="M20" s="158">
        <v>4706.7025000000003</v>
      </c>
      <c r="N20" s="158">
        <v>4517.6315000000004</v>
      </c>
      <c r="O20" s="151">
        <v>4.18517978E-2</v>
      </c>
      <c r="P20" s="158">
        <v>5586.0694999999996</v>
      </c>
      <c r="Q20" s="151">
        <v>7.3387488799999998E-2</v>
      </c>
      <c r="R20" s="158">
        <v>6238.2179999999998</v>
      </c>
      <c r="S20" s="158">
        <v>14954.476000000001</v>
      </c>
      <c r="T20" s="151">
        <v>-0.58285278600000001</v>
      </c>
      <c r="U20" s="158">
        <v>92583.293000000005</v>
      </c>
      <c r="V20" s="158">
        <v>123040.3585</v>
      </c>
      <c r="W20" s="151">
        <v>-0.24753719730000001</v>
      </c>
      <c r="X20" s="158">
        <v>115006.1955</v>
      </c>
      <c r="Y20" s="151">
        <v>-0.1968766112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576.14449999999999</v>
      </c>
      <c r="K21" s="158">
        <v>311.85250000000002</v>
      </c>
      <c r="L21" s="151">
        <v>0.84749040009999999</v>
      </c>
      <c r="M21" s="158">
        <v>4706.7025000000003</v>
      </c>
      <c r="N21" s="158">
        <v>4517.6315000000004</v>
      </c>
      <c r="O21" s="151">
        <v>4.18517978E-2</v>
      </c>
      <c r="P21" s="158">
        <v>5586.0694999999996</v>
      </c>
      <c r="Q21" s="151">
        <v>7.3387488799999998E-2</v>
      </c>
      <c r="R21" s="158">
        <v>6238.2179999999998</v>
      </c>
      <c r="S21" s="158">
        <v>14954.476000000001</v>
      </c>
      <c r="T21" s="151">
        <v>-0.58285278600000001</v>
      </c>
      <c r="U21" s="158">
        <v>92583.293000000005</v>
      </c>
      <c r="V21" s="158">
        <v>123040.3585</v>
      </c>
      <c r="W21" s="151">
        <v>-0.24753719730000001</v>
      </c>
      <c r="X21" s="158">
        <v>115006.1955</v>
      </c>
      <c r="Y21" s="151">
        <v>-0.1968766112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16095.768</v>
      </c>
      <c r="C22" s="159">
        <v>17669.151999999998</v>
      </c>
      <c r="D22" s="152">
        <v>-8.9046944599999997E-2</v>
      </c>
      <c r="E22" s="159">
        <v>166351.421</v>
      </c>
      <c r="F22" s="159">
        <v>171179.69</v>
      </c>
      <c r="G22" s="152">
        <v>-2.8205852E-2</v>
      </c>
      <c r="H22" s="159">
        <v>201219.97099999999</v>
      </c>
      <c r="I22" s="152">
        <v>-2.25378031E-2</v>
      </c>
      <c r="J22" s="159">
        <v>16551.482</v>
      </c>
      <c r="K22" s="159">
        <v>17507.116000000002</v>
      </c>
      <c r="L22" s="152">
        <v>-5.4585461100000003E-2</v>
      </c>
      <c r="M22" s="159">
        <v>175200.72</v>
      </c>
      <c r="N22" s="159">
        <v>177938.64600000001</v>
      </c>
      <c r="O22" s="152">
        <v>-1.53869104E-2</v>
      </c>
      <c r="P22" s="159">
        <v>208166.69899999999</v>
      </c>
      <c r="Q22" s="152">
        <v>-1.7909256200000001E-2</v>
      </c>
      <c r="R22" s="159">
        <v>262022.32800000001</v>
      </c>
      <c r="S22" s="159">
        <v>352761.42599999998</v>
      </c>
      <c r="T22" s="152">
        <v>-0.25722511390000002</v>
      </c>
      <c r="U22" s="159">
        <v>2948108.0419999999</v>
      </c>
      <c r="V22" s="159">
        <v>3796882.3820000002</v>
      </c>
      <c r="W22" s="152">
        <v>-0.22354507060000001</v>
      </c>
      <c r="X22" s="159">
        <v>3571610.9109999998</v>
      </c>
      <c r="Y22" s="152">
        <v>-0.19520918809999999</v>
      </c>
      <c r="Z22" s="159">
        <v>674531.57900000003</v>
      </c>
      <c r="AA22" s="159">
        <v>773780.35800000001</v>
      </c>
      <c r="AB22" s="152">
        <v>-0.12826479499999999</v>
      </c>
      <c r="AC22" s="159">
        <v>6627667.199</v>
      </c>
      <c r="AD22" s="159">
        <v>7393035.5410000002</v>
      </c>
      <c r="AE22" s="152">
        <v>-0.10352558670000001</v>
      </c>
      <c r="AF22" s="159">
        <v>8109609.7920000004</v>
      </c>
      <c r="AG22" s="152">
        <v>-8.4265182300000005E-2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105943.50599999999</v>
      </c>
      <c r="S23" s="158">
        <v>137665.57</v>
      </c>
      <c r="T23" s="151">
        <v>-0.2304284506</v>
      </c>
      <c r="U23" s="158">
        <v>1191948.3060000001</v>
      </c>
      <c r="V23" s="158">
        <v>1483829.41</v>
      </c>
      <c r="W23" s="151">
        <v>-0.19670799219999999</v>
      </c>
      <c r="X23" s="158">
        <v>1402959.4180000001</v>
      </c>
      <c r="Y23" s="151">
        <v>-0.1555930925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16095.768</v>
      </c>
      <c r="C24" s="159">
        <v>17669.151999999998</v>
      </c>
      <c r="D24" s="152">
        <v>-8.9046944599999997E-2</v>
      </c>
      <c r="E24" s="159">
        <v>166351.421</v>
      </c>
      <c r="F24" s="159">
        <v>171179.69</v>
      </c>
      <c r="G24" s="152">
        <v>-2.8205852E-2</v>
      </c>
      <c r="H24" s="159">
        <v>201219.97099999999</v>
      </c>
      <c r="I24" s="152">
        <v>-2.25378031E-2</v>
      </c>
      <c r="J24" s="159">
        <v>16551.482</v>
      </c>
      <c r="K24" s="159">
        <v>17507.116000000002</v>
      </c>
      <c r="L24" s="152">
        <v>-5.4585461100000003E-2</v>
      </c>
      <c r="M24" s="159">
        <v>175200.72</v>
      </c>
      <c r="N24" s="159">
        <v>177938.64600000001</v>
      </c>
      <c r="O24" s="152">
        <v>-1.53869104E-2</v>
      </c>
      <c r="P24" s="159">
        <v>208166.69899999999</v>
      </c>
      <c r="Q24" s="152">
        <v>-1.7909256200000001E-2</v>
      </c>
      <c r="R24" s="159">
        <v>367965.83399999997</v>
      </c>
      <c r="S24" s="159">
        <v>490426.99599999998</v>
      </c>
      <c r="T24" s="152">
        <v>-0.24970314239999999</v>
      </c>
      <c r="U24" s="159">
        <v>4140056.3480000002</v>
      </c>
      <c r="V24" s="159">
        <v>5280711.7920000004</v>
      </c>
      <c r="W24" s="152">
        <v>-0.2160041087</v>
      </c>
      <c r="X24" s="159">
        <v>4974570.3289999999</v>
      </c>
      <c r="Y24" s="152">
        <v>-0.18441780369999999</v>
      </c>
      <c r="Z24" s="159">
        <v>674531.57900000003</v>
      </c>
      <c r="AA24" s="159">
        <v>773780.35800000001</v>
      </c>
      <c r="AB24" s="152">
        <v>-0.12826479499999999</v>
      </c>
      <c r="AC24" s="159">
        <v>6627667.199</v>
      </c>
      <c r="AD24" s="159">
        <v>7393035.5410000002</v>
      </c>
      <c r="AE24" s="152">
        <v>-0.10352558670000001</v>
      </c>
      <c r="AF24" s="159">
        <v>8109609.7920000004</v>
      </c>
      <c r="AG24" s="152">
        <v>-8.4265182300000005E-2</v>
      </c>
    </row>
    <row r="26" spans="1:33">
      <c r="A26" s="111" t="s">
        <v>114</v>
      </c>
      <c r="B26" s="180">
        <f>SUM(B24,J24,R24,Z24)</f>
        <v>1075144.6629999999</v>
      </c>
      <c r="C26" s="180">
        <f>SUM(C24,K24,S24,AA24)</f>
        <v>1299383.622</v>
      </c>
      <c r="D26" s="181">
        <f>((B26/C26)-1)*100</f>
        <v>-17.257333031091569</v>
      </c>
      <c r="R26" s="181"/>
    </row>
    <row r="29" spans="1:33" ht="15">
      <c r="A29" s="145" t="s">
        <v>67</v>
      </c>
      <c r="B29" s="206" t="str">
        <f>A2</f>
        <v>Octubre 2020</v>
      </c>
      <c r="C29" s="207"/>
    </row>
    <row r="30" spans="1:33" ht="15">
      <c r="A30" s="145" t="s">
        <v>69</v>
      </c>
      <c r="B30" s="218" t="s">
        <v>72</v>
      </c>
      <c r="C30" s="219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241.19999999999996</v>
      </c>
      <c r="C34" s="147"/>
    </row>
    <row r="35" spans="1:3">
      <c r="A35" s="144" t="s">
        <v>78</v>
      </c>
      <c r="B35" s="18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439.91500000000002</v>
      </c>
    </row>
    <row r="42" spans="1:3">
      <c r="A42" s="144" t="s">
        <v>4</v>
      </c>
      <c r="B42" s="147">
        <v>81.247424999999836</v>
      </c>
      <c r="C42" s="147">
        <v>167.10714499999966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88">
        <f>SUM(B33:B46)</f>
        <v>2016.2519250000003</v>
      </c>
      <c r="C47" s="179">
        <f>SUM(C33:C46)</f>
        <v>3024.0281449999993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 t="shared" ref="C52:C57" si="0">B52/$B$63*100</f>
        <v>11.962790810478701</v>
      </c>
      <c r="F52" s="114" t="s">
        <v>10</v>
      </c>
      <c r="G52" s="115">
        <f>C35</f>
        <v>495.92</v>
      </c>
      <c r="H52" s="116">
        <f>G52/$G$62*100</f>
        <v>16.399318267588413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6.9138185695718546</v>
      </c>
      <c r="F53" s="114" t="s">
        <v>9</v>
      </c>
      <c r="G53" s="115">
        <f>C36</f>
        <v>557.1400000000001</v>
      </c>
      <c r="H53" s="116">
        <f t="shared" ref="H53:H61" si="2">G53/$G$62*100</f>
        <v>18.423770325060918</v>
      </c>
    </row>
    <row r="54" spans="1:8">
      <c r="A54" s="114" t="s">
        <v>9</v>
      </c>
      <c r="B54" s="115">
        <f t="shared" si="1"/>
        <v>605.4</v>
      </c>
      <c r="C54" s="116">
        <f t="shared" si="0"/>
        <v>30.02600977057963</v>
      </c>
      <c r="F54" s="114" t="s">
        <v>8</v>
      </c>
      <c r="G54" s="115">
        <f>C37</f>
        <v>482.64</v>
      </c>
      <c r="H54" s="116">
        <f t="shared" si="2"/>
        <v>15.960168915689771</v>
      </c>
    </row>
    <row r="55" spans="1:8">
      <c r="A55" s="114" t="s">
        <v>25</v>
      </c>
      <c r="B55" s="115">
        <f>B38</f>
        <v>857.95</v>
      </c>
      <c r="C55" s="116">
        <f t="shared" si="0"/>
        <v>42.551726268035672</v>
      </c>
      <c r="F55" s="114" t="s">
        <v>25</v>
      </c>
      <c r="G55" s="115">
        <f>C38</f>
        <v>864.2</v>
      </c>
      <c r="H55" s="116">
        <f t="shared" si="2"/>
        <v>28.577776348705253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F56" s="114" t="s">
        <v>23</v>
      </c>
      <c r="G56" s="115">
        <f>C44</f>
        <v>0</v>
      </c>
      <c r="H56" s="116">
        <f t="shared" si="2"/>
        <v>0</v>
      </c>
    </row>
    <row r="57" spans="1:8">
      <c r="A57" s="114" t="s">
        <v>23</v>
      </c>
      <c r="B57" s="115">
        <f>B44</f>
        <v>10.486999999999998</v>
      </c>
      <c r="C57" s="116">
        <f t="shared" si="0"/>
        <v>0.52012349597632734</v>
      </c>
      <c r="F57" s="114" t="s">
        <v>12</v>
      </c>
      <c r="G57" s="116">
        <f>C33</f>
        <v>2.02</v>
      </c>
      <c r="H57" s="116">
        <f t="shared" si="2"/>
        <v>6.6798320093016214E-2</v>
      </c>
    </row>
    <row r="58" spans="1:8">
      <c r="A58" s="114" t="s">
        <v>55</v>
      </c>
      <c r="B58" s="115">
        <f>B46</f>
        <v>37.400000000000006</v>
      </c>
      <c r="C58" s="116">
        <f t="shared" ref="C58:C62" si="3">B58/$B$63*100</f>
        <v>1.854926933299766</v>
      </c>
      <c r="F58" s="114" t="s">
        <v>6</v>
      </c>
      <c r="G58" s="115">
        <f>C40</f>
        <v>11.39</v>
      </c>
      <c r="H58" s="116">
        <f t="shared" si="2"/>
        <v>0.3766499335937894</v>
      </c>
    </row>
    <row r="59" spans="1:8">
      <c r="A59" s="114" t="s">
        <v>54</v>
      </c>
      <c r="B59" s="115">
        <f>B45</f>
        <v>37.400000000000006</v>
      </c>
      <c r="C59" s="116">
        <f t="shared" si="3"/>
        <v>1.854926933299766</v>
      </c>
      <c r="F59" s="114" t="s">
        <v>5</v>
      </c>
      <c r="G59" s="115">
        <f>C41</f>
        <v>439.91500000000002</v>
      </c>
      <c r="H59" s="116">
        <f t="shared" si="2"/>
        <v>14.547318308771892</v>
      </c>
    </row>
    <row r="60" spans="1:8">
      <c r="A60" s="114" t="s">
        <v>5</v>
      </c>
      <c r="B60" s="115">
        <f>B41</f>
        <v>3.6374999999999909</v>
      </c>
      <c r="C60" s="116">
        <f t="shared" si="3"/>
        <v>0.18040900320529096</v>
      </c>
      <c r="F60" s="114" t="s">
        <v>4</v>
      </c>
      <c r="G60" s="115">
        <f>C42</f>
        <v>167.10714499999966</v>
      </c>
      <c r="H60" s="116">
        <f t="shared" si="2"/>
        <v>5.5259784958119056</v>
      </c>
    </row>
    <row r="61" spans="1:8">
      <c r="A61" s="114" t="s">
        <v>4</v>
      </c>
      <c r="B61" s="115">
        <f>B42</f>
        <v>81.247424999999836</v>
      </c>
      <c r="C61" s="116">
        <f t="shared" si="3"/>
        <v>4.0296266549131667</v>
      </c>
      <c r="F61" s="114" t="s">
        <v>22</v>
      </c>
      <c r="G61" s="115">
        <f>C43</f>
        <v>3.6960000000000002</v>
      </c>
      <c r="H61" s="116">
        <f t="shared" si="2"/>
        <v>0.12222108468504352</v>
      </c>
    </row>
    <row r="62" spans="1:8">
      <c r="A62" s="114" t="s">
        <v>22</v>
      </c>
      <c r="B62" s="115">
        <f>B43</f>
        <v>2.13</v>
      </c>
      <c r="C62" s="116">
        <f t="shared" si="3"/>
        <v>0.1056415606397995</v>
      </c>
      <c r="F62" s="117" t="s">
        <v>20</v>
      </c>
      <c r="G62" s="118">
        <f>SUM(G52:G61)</f>
        <v>3024.0281449999998</v>
      </c>
      <c r="H62" s="119">
        <f>SUM(H52:H61)</f>
        <v>100</v>
      </c>
    </row>
    <row r="63" spans="1:8">
      <c r="A63" s="117" t="s">
        <v>20</v>
      </c>
      <c r="B63" s="118">
        <f>SUM(B52:B62)</f>
        <v>2016.2519250000003</v>
      </c>
      <c r="C63" s="119">
        <f>SUM(C52:C62)</f>
        <v>99.999999999999972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C68/$C$80*100</f>
        <v>18.896266331074642</v>
      </c>
      <c r="C68" s="115">
        <f>IF(R9&lt;0,0,R9)</f>
        <v>69531.804000000004</v>
      </c>
      <c r="D68" s="183">
        <f>(C68/SUM($C$68:$C$78))*100</f>
        <v>26.536595003460928</v>
      </c>
      <c r="F68" s="114" t="s">
        <v>10</v>
      </c>
      <c r="G68" s="116">
        <f>Z10/Z$24*100</f>
        <v>20.796006201512469</v>
      </c>
    </row>
    <row r="69" spans="1:7">
      <c r="A69" s="114" t="s">
        <v>10</v>
      </c>
      <c r="B69" s="116">
        <f t="shared" ref="B69:B78" si="4">C69/$C$80*100</f>
        <v>4.5884126839884809</v>
      </c>
      <c r="C69" s="115">
        <f>R10</f>
        <v>16883.791000000001</v>
      </c>
      <c r="D69" s="183">
        <f t="shared" ref="D69:D78" si="5">(C69/SUM($C$68:$C$78))*100</f>
        <v>6.4436459018103225</v>
      </c>
      <c r="F69" s="114" t="s">
        <v>9</v>
      </c>
      <c r="G69" s="116">
        <f>Z11/Z$24*100</f>
        <v>4.8247014688692582</v>
      </c>
    </row>
    <row r="70" spans="1:7">
      <c r="A70" s="114" t="s">
        <v>9</v>
      </c>
      <c r="B70" s="116">
        <f t="shared" si="4"/>
        <v>2.4287051063550646</v>
      </c>
      <c r="C70" s="115">
        <f>R11</f>
        <v>8936.8050000000003</v>
      </c>
      <c r="D70" s="183">
        <f t="shared" si="5"/>
        <v>3.4107036099610561</v>
      </c>
      <c r="F70" s="114" t="s">
        <v>8</v>
      </c>
      <c r="G70" s="116">
        <f>Z12/Z$24*100</f>
        <v>19.007931428515075</v>
      </c>
    </row>
    <row r="71" spans="1:7">
      <c r="A71" s="114" t="s">
        <v>25</v>
      </c>
      <c r="B71" s="116">
        <f t="shared" si="4"/>
        <v>38.355702883001904</v>
      </c>
      <c r="C71" s="115">
        <f>R13</f>
        <v>141135.88200000001</v>
      </c>
      <c r="D71" s="183">
        <f>(C71/SUM($C$68:$C$78))*100</f>
        <v>53.864066882117015</v>
      </c>
      <c r="F71" s="114" t="s">
        <v>25</v>
      </c>
      <c r="G71" s="116">
        <f>Z13/Z$24*100</f>
        <v>37.482415482285369</v>
      </c>
    </row>
    <row r="72" spans="1:7">
      <c r="A72" s="114" t="s">
        <v>24</v>
      </c>
      <c r="B72" s="116">
        <f t="shared" si="4"/>
        <v>0.20103877361613959</v>
      </c>
      <c r="C72" s="115">
        <f>R14</f>
        <v>739.75400000000002</v>
      </c>
      <c r="D72" s="184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0.63412300393084864</v>
      </c>
      <c r="C73" s="115">
        <f>R19</f>
        <v>2333.3560000000002</v>
      </c>
      <c r="D73" s="183">
        <f t="shared" si="5"/>
        <v>0.89051800196203124</v>
      </c>
      <c r="F73" s="114" t="s">
        <v>12</v>
      </c>
      <c r="G73" s="116">
        <f>Z8/Z$24*100</f>
        <v>4.438176199901829E-2</v>
      </c>
    </row>
    <row r="74" spans="1:7">
      <c r="A74" s="114" t="s">
        <v>55</v>
      </c>
      <c r="B74" s="116">
        <f t="shared" si="4"/>
        <v>1.6953253328405482</v>
      </c>
      <c r="C74" s="115">
        <f>R21</f>
        <v>6238.2179999999998</v>
      </c>
      <c r="D74" s="183">
        <f t="shared" si="5"/>
        <v>2.3807963419056408</v>
      </c>
      <c r="F74" s="114" t="s">
        <v>6</v>
      </c>
      <c r="G74" s="116">
        <f>Z15/Z$24*100</f>
        <v>0.21596068224998549</v>
      </c>
    </row>
    <row r="75" spans="1:7">
      <c r="A75" s="114" t="s">
        <v>54</v>
      </c>
      <c r="B75" s="116">
        <f t="shared" si="4"/>
        <v>1.6953253328405482</v>
      </c>
      <c r="C75" s="115">
        <f>R20</f>
        <v>6238.2179999999998</v>
      </c>
      <c r="D75" s="183">
        <f t="shared" si="5"/>
        <v>2.3807963419056408</v>
      </c>
      <c r="F75" s="114" t="s">
        <v>5</v>
      </c>
      <c r="G75" s="116">
        <f>Z16/Z$24*100</f>
        <v>14.568627779545364</v>
      </c>
    </row>
    <row r="76" spans="1:7">
      <c r="A76" s="114" t="s">
        <v>5</v>
      </c>
      <c r="B76" s="116">
        <f t="shared" si="4"/>
        <v>8.9109631846961079E-2</v>
      </c>
      <c r="C76" s="115">
        <f>R16</f>
        <v>327.89299999999997</v>
      </c>
      <c r="D76" s="183">
        <f t="shared" si="5"/>
        <v>0.12513933545388542</v>
      </c>
      <c r="F76" s="114" t="s">
        <v>4</v>
      </c>
      <c r="G76" s="116">
        <f>Z17/Z$24*100</f>
        <v>2.943967579611273</v>
      </c>
    </row>
    <row r="77" spans="1:7">
      <c r="A77" s="114" t="s">
        <v>4</v>
      </c>
      <c r="B77" s="116">
        <f t="shared" si="4"/>
        <v>2.6168978503585745</v>
      </c>
      <c r="C77" s="115">
        <f>R17</f>
        <v>9629.2900000000009</v>
      </c>
      <c r="D77" s="183">
        <f t="shared" si="5"/>
        <v>3.6749883391616915</v>
      </c>
      <c r="F77" s="114" t="s">
        <v>22</v>
      </c>
      <c r="G77" s="116">
        <f>Z18/Z$24*100</f>
        <v>0.11600761541217627</v>
      </c>
    </row>
    <row r="78" spans="1:7">
      <c r="A78" s="114" t="s">
        <v>22</v>
      </c>
      <c r="B78" s="116">
        <f t="shared" si="4"/>
        <v>7.4237870682309047E-3</v>
      </c>
      <c r="C78" s="115">
        <f>R18</f>
        <v>27.317</v>
      </c>
      <c r="D78" s="183">
        <f t="shared" si="5"/>
        <v>1.0425447406909536E-2</v>
      </c>
      <c r="F78" s="117" t="s">
        <v>20</v>
      </c>
      <c r="G78" s="119">
        <f>SUM(G68:G77)</f>
        <v>99.999999999999986</v>
      </c>
    </row>
    <row r="79" spans="1:7">
      <c r="A79" s="114" t="s">
        <v>21</v>
      </c>
      <c r="B79" s="116">
        <f>C79/$C$80*100</f>
        <v>28.791669283078054</v>
      </c>
      <c r="C79" s="115">
        <f>R23</f>
        <v>105943.50599999999</v>
      </c>
      <c r="D79" s="185"/>
    </row>
    <row r="80" spans="1:7">
      <c r="A80" s="117" t="s">
        <v>20</v>
      </c>
      <c r="B80" s="119">
        <f>SUM(B68:B79)</f>
        <v>100</v>
      </c>
      <c r="C80" s="118">
        <f>SUM(C68:C79)</f>
        <v>367965.83400000003</v>
      </c>
      <c r="D80" s="185"/>
    </row>
    <row r="85" spans="1:26" ht="15">
      <c r="A85" s="145"/>
      <c r="B85" s="145" t="s">
        <v>69</v>
      </c>
      <c r="C85" s="220" t="s">
        <v>13</v>
      </c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/>
    </row>
    <row r="86" spans="1:26" ht="15">
      <c r="A86" s="145"/>
      <c r="B86" s="143" t="s">
        <v>67</v>
      </c>
      <c r="C86" s="189" t="s">
        <v>80</v>
      </c>
      <c r="D86" s="189" t="s">
        <v>81</v>
      </c>
      <c r="E86" s="189" t="s">
        <v>82</v>
      </c>
      <c r="F86" s="189" t="s">
        <v>83</v>
      </c>
      <c r="G86" s="189" t="s">
        <v>84</v>
      </c>
      <c r="H86" s="189" t="s">
        <v>85</v>
      </c>
      <c r="I86" s="189" t="s">
        <v>94</v>
      </c>
      <c r="J86" s="189" t="s">
        <v>97</v>
      </c>
      <c r="K86" s="189" t="s">
        <v>98</v>
      </c>
      <c r="L86" s="189" t="s">
        <v>112</v>
      </c>
      <c r="M86" s="189" t="s">
        <v>113</v>
      </c>
      <c r="N86" s="189" t="s">
        <v>115</v>
      </c>
      <c r="O86" s="189" t="s">
        <v>116</v>
      </c>
      <c r="P86" s="189" t="s">
        <v>117</v>
      </c>
      <c r="Q86" s="189" t="s">
        <v>119</v>
      </c>
      <c r="R86" s="189" t="s">
        <v>121</v>
      </c>
      <c r="S86" s="189" t="s">
        <v>122</v>
      </c>
      <c r="T86" s="189" t="s">
        <v>123</v>
      </c>
      <c r="U86" s="189" t="s">
        <v>124</v>
      </c>
      <c r="V86" s="189" t="s">
        <v>125</v>
      </c>
      <c r="W86" s="189" t="s">
        <v>126</v>
      </c>
      <c r="X86" s="189" t="s">
        <v>127</v>
      </c>
      <c r="Y86" s="189" t="s">
        <v>131</v>
      </c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/>
    </row>
    <row r="88" spans="1:26" ht="15">
      <c r="A88" s="217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122.296505</v>
      </c>
      <c r="H88" s="147">
        <v>98.710671000000005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-1.357415</v>
      </c>
      <c r="Q88" s="147">
        <v>-1.701627</v>
      </c>
      <c r="R88" s="147">
        <v>-1.680847</v>
      </c>
      <c r="S88" s="147">
        <v>-1.8013110000000001</v>
      </c>
      <c r="T88" s="147">
        <v>-1.2808299999999999</v>
      </c>
      <c r="U88" s="147">
        <v>-1.119569</v>
      </c>
      <c r="V88" s="147">
        <v>-1.1268309999999999</v>
      </c>
      <c r="W88" s="147">
        <v>68.615076999999999</v>
      </c>
      <c r="X88" s="147">
        <v>69.531803999999994</v>
      </c>
      <c r="Y88" s="147">
        <v>0</v>
      </c>
      <c r="Z88"/>
    </row>
    <row r="89" spans="1:26" ht="15">
      <c r="A89" s="215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27.172975000000001</v>
      </c>
      <c r="N89" s="147">
        <v>19.439288000000001</v>
      </c>
      <c r="O89" s="147">
        <v>25.163323999999999</v>
      </c>
      <c r="P89" s="147">
        <v>20.211247</v>
      </c>
      <c r="Q89" s="147">
        <v>15.845757000000001</v>
      </c>
      <c r="R89" s="147">
        <v>18.686546</v>
      </c>
      <c r="S89" s="147">
        <v>20.180289999999999</v>
      </c>
      <c r="T89" s="147">
        <v>17.902134</v>
      </c>
      <c r="U89" s="147">
        <v>32.575167</v>
      </c>
      <c r="V89" s="147">
        <v>48.229475999999998</v>
      </c>
      <c r="W89" s="147">
        <v>25.914612999999999</v>
      </c>
      <c r="X89" s="147">
        <v>16.883790999999999</v>
      </c>
      <c r="Y89" s="147">
        <v>5.967854</v>
      </c>
      <c r="Z89"/>
    </row>
    <row r="90" spans="1:26" ht="15">
      <c r="A90" s="215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27.936012999999999</v>
      </c>
      <c r="M90" s="147">
        <v>28.760522000000002</v>
      </c>
      <c r="N90" s="147">
        <v>20.411356000000001</v>
      </c>
      <c r="O90" s="147">
        <v>21.825088000000001</v>
      </c>
      <c r="P90" s="147">
        <v>17.386634999999998</v>
      </c>
      <c r="Q90" s="147">
        <v>18.899491999999999</v>
      </c>
      <c r="R90" s="147">
        <v>9.9217499999999994</v>
      </c>
      <c r="S90" s="147">
        <v>9.5129249999999992</v>
      </c>
      <c r="T90" s="147">
        <v>15.970385</v>
      </c>
      <c r="U90" s="147">
        <v>33.700387999999997</v>
      </c>
      <c r="V90" s="147">
        <v>37.145944999999998</v>
      </c>
      <c r="W90" s="147">
        <v>15.232726</v>
      </c>
      <c r="X90" s="147">
        <v>8.9368049999999997</v>
      </c>
      <c r="Y90" s="147">
        <v>2.9104399999999999</v>
      </c>
      <c r="Z90"/>
    </row>
    <row r="91" spans="1:26" ht="15">
      <c r="A91" s="215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148.87386599999999</v>
      </c>
      <c r="I91" s="147">
        <v>160.98449299999999</v>
      </c>
      <c r="J91" s="147">
        <v>81.695144999999997</v>
      </c>
      <c r="K91" s="147">
        <v>37.844388000000002</v>
      </c>
      <c r="L91" s="147">
        <v>49.054729000000002</v>
      </c>
      <c r="M91" s="147">
        <v>98.892425000000003</v>
      </c>
      <c r="N91" s="147">
        <v>97.225685999999996</v>
      </c>
      <c r="O91" s="147">
        <v>247.42845600000001</v>
      </c>
      <c r="P91" s="147">
        <v>226.17381</v>
      </c>
      <c r="Q91" s="147">
        <v>223.68827999999999</v>
      </c>
      <c r="R91" s="147">
        <v>190.73178300000001</v>
      </c>
      <c r="S91" s="147">
        <v>192.66073600000001</v>
      </c>
      <c r="T91" s="147">
        <v>191.22599500000001</v>
      </c>
      <c r="U91" s="147">
        <v>258.52646600000003</v>
      </c>
      <c r="V91" s="147">
        <v>260.88770599999998</v>
      </c>
      <c r="W91" s="147">
        <v>135.30891800000001</v>
      </c>
      <c r="X91" s="147">
        <v>141.13588200000001</v>
      </c>
      <c r="Y91" s="147">
        <v>76.619519999999994</v>
      </c>
      <c r="Z91"/>
    </row>
    <row r="92" spans="1:26" ht="15">
      <c r="A92" s="215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4.1422929999999996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7">
        <v>0</v>
      </c>
      <c r="V92" s="147">
        <v>2.5841270000000001</v>
      </c>
      <c r="W92" s="147">
        <v>0.57992999999999995</v>
      </c>
      <c r="X92" s="147">
        <v>0.73975400000000002</v>
      </c>
      <c r="Y92" s="147">
        <v>0</v>
      </c>
      <c r="Z92"/>
    </row>
    <row r="93" spans="1:26" ht="15">
      <c r="A93" s="215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0.53315400000000002</v>
      </c>
      <c r="R93" s="147">
        <v>0.24332000000000001</v>
      </c>
      <c r="S93" s="147">
        <v>0.35256199999999999</v>
      </c>
      <c r="T93" s="147">
        <v>0.21834000000000001</v>
      </c>
      <c r="U93" s="147">
        <v>0.22134999999999999</v>
      </c>
      <c r="V93" s="147">
        <v>0.20693</v>
      </c>
      <c r="W93" s="147">
        <v>0.189775</v>
      </c>
      <c r="X93" s="147">
        <v>0.32789299999999999</v>
      </c>
      <c r="Y93" s="147">
        <v>0.13125000000000001</v>
      </c>
      <c r="Z93"/>
    </row>
    <row r="94" spans="1:26" ht="15">
      <c r="A94" s="215"/>
      <c r="B94" s="144" t="s">
        <v>4</v>
      </c>
      <c r="C94" s="147">
        <v>7.290851</v>
      </c>
      <c r="D94" s="147">
        <v>9.3532069999999994</v>
      </c>
      <c r="E94" s="147">
        <v>11.382342</v>
      </c>
      <c r="F94" s="147">
        <v>10.659026000000001</v>
      </c>
      <c r="G94" s="147">
        <v>12.928163</v>
      </c>
      <c r="H94" s="147">
        <v>13.313484000000001</v>
      </c>
      <c r="I94" s="147">
        <v>12.487767</v>
      </c>
      <c r="J94" s="147">
        <v>12.245136</v>
      </c>
      <c r="K94" s="147">
        <v>10.047867999999999</v>
      </c>
      <c r="L94" s="147">
        <v>9.1342990000000004</v>
      </c>
      <c r="M94" s="147">
        <v>6.2973249999999998</v>
      </c>
      <c r="N94" s="147">
        <v>5.9055650000000002</v>
      </c>
      <c r="O94" s="147">
        <v>5.9311930000000004</v>
      </c>
      <c r="P94" s="147">
        <v>8.7361280000000008</v>
      </c>
      <c r="Q94" s="147">
        <v>9.2030049999999992</v>
      </c>
      <c r="R94" s="147">
        <v>10.819095000000001</v>
      </c>
      <c r="S94" s="147">
        <v>12.877418</v>
      </c>
      <c r="T94" s="147">
        <v>12.233309</v>
      </c>
      <c r="U94" s="147">
        <v>12.746891</v>
      </c>
      <c r="V94" s="147">
        <v>12.085228000000001</v>
      </c>
      <c r="W94" s="147">
        <v>10.525691999999999</v>
      </c>
      <c r="X94" s="147">
        <v>9.6292899999999992</v>
      </c>
      <c r="Y94" s="147">
        <v>2.5396000000000001</v>
      </c>
      <c r="Z94"/>
    </row>
    <row r="95" spans="1:26" ht="15">
      <c r="A95" s="215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2.6786999999999998E-2</v>
      </c>
      <c r="R95" s="147">
        <v>1.5415999999999999E-2</v>
      </c>
      <c r="S95" s="147">
        <v>2.3830000000000001E-3</v>
      </c>
      <c r="T95" s="147">
        <v>5.9750999999999999E-2</v>
      </c>
      <c r="U95" s="147">
        <v>5.2531000000000001E-2</v>
      </c>
      <c r="V95" s="147">
        <v>5.0747E-2</v>
      </c>
      <c r="W95" s="147">
        <v>2.81E-3</v>
      </c>
      <c r="X95" s="147">
        <v>2.7317000000000001E-2</v>
      </c>
      <c r="Y95" s="147">
        <v>1.0999999999999999E-2</v>
      </c>
      <c r="Z95"/>
    </row>
    <row r="96" spans="1:26" ht="15">
      <c r="A96" s="215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2.8098649999999998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3.4759910000000001</v>
      </c>
      <c r="R96" s="147">
        <v>2.759617</v>
      </c>
      <c r="S96" s="147">
        <v>2.681413</v>
      </c>
      <c r="T96" s="147">
        <v>2.5969359999999999</v>
      </c>
      <c r="U96" s="147">
        <v>2.3319320000000001</v>
      </c>
      <c r="V96" s="147">
        <v>1.922374</v>
      </c>
      <c r="W96" s="147">
        <v>2.047806</v>
      </c>
      <c r="X96" s="147">
        <v>2.3333560000000002</v>
      </c>
      <c r="Y96" s="147">
        <v>0.81969999999999998</v>
      </c>
      <c r="Z96"/>
    </row>
    <row r="97" spans="1:26" ht="15">
      <c r="A97" s="215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10.531687</v>
      </c>
      <c r="R97" s="147">
        <v>4.8152900000000001</v>
      </c>
      <c r="S97" s="147">
        <v>5.3655939999999998</v>
      </c>
      <c r="T97" s="147">
        <v>14.316091999999999</v>
      </c>
      <c r="U97" s="147">
        <v>10.772016499999999</v>
      </c>
      <c r="V97" s="147">
        <v>10.810641499999999</v>
      </c>
      <c r="W97" s="147">
        <v>14.376298</v>
      </c>
      <c r="X97" s="147">
        <v>6.2382179999999998</v>
      </c>
      <c r="Y97" s="147">
        <v>2.5235500000000002</v>
      </c>
      <c r="Z97"/>
    </row>
    <row r="98" spans="1:26" ht="15">
      <c r="A98" s="215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10.531687</v>
      </c>
      <c r="R98" s="147">
        <v>4.8152900000000001</v>
      </c>
      <c r="S98" s="147">
        <v>5.3655939999999998</v>
      </c>
      <c r="T98" s="147">
        <v>14.316091999999999</v>
      </c>
      <c r="U98" s="147">
        <v>10.772016499999999</v>
      </c>
      <c r="V98" s="147">
        <v>10.810641499999999</v>
      </c>
      <c r="W98" s="147">
        <v>14.376298</v>
      </c>
      <c r="X98" s="147">
        <v>6.2382179999999998</v>
      </c>
      <c r="Y98" s="147">
        <v>2.5235500000000002</v>
      </c>
      <c r="Z98"/>
    </row>
    <row r="99" spans="1:26" ht="15">
      <c r="A99" s="215"/>
      <c r="B99" s="149" t="s">
        <v>2</v>
      </c>
      <c r="C99" s="150">
        <v>340.540705</v>
      </c>
      <c r="D99" s="150">
        <v>296.12078400000001</v>
      </c>
      <c r="E99" s="150">
        <v>314.49085700000001</v>
      </c>
      <c r="F99" s="150">
        <v>321.97713900000002</v>
      </c>
      <c r="G99" s="150">
        <v>333.84907399999997</v>
      </c>
      <c r="H99" s="150">
        <v>380.08760000000001</v>
      </c>
      <c r="I99" s="150">
        <v>518.29876300000001</v>
      </c>
      <c r="J99" s="150">
        <v>519.32931099999996</v>
      </c>
      <c r="K99" s="150">
        <v>419.42672299999998</v>
      </c>
      <c r="L99" s="150">
        <v>352.76142599999997</v>
      </c>
      <c r="M99" s="150">
        <v>321.30486200000001</v>
      </c>
      <c r="N99" s="150">
        <v>302.19800700000002</v>
      </c>
      <c r="O99" s="150">
        <v>320.304956</v>
      </c>
      <c r="P99" s="150">
        <v>287.50736000000001</v>
      </c>
      <c r="Q99" s="150">
        <v>291.03421300000002</v>
      </c>
      <c r="R99" s="150">
        <v>241.12726000000001</v>
      </c>
      <c r="S99" s="150">
        <v>247.19760400000001</v>
      </c>
      <c r="T99" s="150">
        <v>267.55820399999999</v>
      </c>
      <c r="U99" s="150">
        <v>360.57918899999999</v>
      </c>
      <c r="V99" s="150">
        <v>383.60698500000001</v>
      </c>
      <c r="W99" s="150">
        <v>287.16994299999999</v>
      </c>
      <c r="X99" s="150">
        <v>262.02232800000002</v>
      </c>
      <c r="Y99" s="150">
        <v>94.046464</v>
      </c>
      <c r="Z99"/>
    </row>
    <row r="100" spans="1:26" ht="15">
      <c r="A100" s="215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112.780382</v>
      </c>
      <c r="R100" s="147">
        <v>80.581305999999998</v>
      </c>
      <c r="S100" s="147">
        <v>79.946523999999997</v>
      </c>
      <c r="T100" s="147">
        <v>93.289579000000003</v>
      </c>
      <c r="U100" s="147">
        <v>168.331695</v>
      </c>
      <c r="V100" s="147">
        <v>182.71595500000001</v>
      </c>
      <c r="W100" s="147">
        <v>116.274961</v>
      </c>
      <c r="X100" s="147">
        <v>105.943506</v>
      </c>
      <c r="Y100" s="147">
        <v>34.957999999999998</v>
      </c>
      <c r="Z100"/>
    </row>
    <row r="101" spans="1:26" ht="15">
      <c r="A101" s="216"/>
      <c r="B101" s="149" t="s">
        <v>79</v>
      </c>
      <c r="C101" s="150">
        <v>477.795703</v>
      </c>
      <c r="D101" s="150">
        <v>415.344403</v>
      </c>
      <c r="E101" s="150">
        <v>436.816193</v>
      </c>
      <c r="F101" s="150">
        <v>446.40791300000001</v>
      </c>
      <c r="G101" s="150">
        <v>477.01037400000001</v>
      </c>
      <c r="H101" s="150">
        <v>539.72227099999998</v>
      </c>
      <c r="I101" s="150">
        <v>719.464877</v>
      </c>
      <c r="J101" s="150">
        <v>705.09907299999998</v>
      </c>
      <c r="K101" s="150">
        <v>572.62398900000005</v>
      </c>
      <c r="L101" s="150">
        <v>490.42699599999997</v>
      </c>
      <c r="M101" s="150">
        <v>412.70169600000003</v>
      </c>
      <c r="N101" s="150">
        <v>421.81228499999997</v>
      </c>
      <c r="O101" s="150">
        <v>456.46085699999998</v>
      </c>
      <c r="P101" s="150">
        <v>403.435857</v>
      </c>
      <c r="Q101" s="150">
        <v>403.814595</v>
      </c>
      <c r="R101" s="150">
        <v>321.70856600000002</v>
      </c>
      <c r="S101" s="150">
        <v>327.14412800000002</v>
      </c>
      <c r="T101" s="150">
        <v>360.84778299999999</v>
      </c>
      <c r="U101" s="150">
        <v>528.91088400000001</v>
      </c>
      <c r="V101" s="150">
        <v>566.32294000000002</v>
      </c>
      <c r="W101" s="150">
        <v>403.44490400000001</v>
      </c>
      <c r="X101" s="150">
        <v>367.96583399999997</v>
      </c>
      <c r="Y101" s="150">
        <v>129.00446400000001</v>
      </c>
      <c r="Z101"/>
    </row>
    <row r="102" spans="1:26" ht="15">
      <c r="A102" s="214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0.29794700000000002</v>
      </c>
      <c r="M102" s="147">
        <v>0.29652299999999998</v>
      </c>
      <c r="N102" s="147">
        <v>0.29914499999999999</v>
      </c>
      <c r="O102" s="147">
        <v>0.30431399999999997</v>
      </c>
      <c r="P102" s="147">
        <v>0.26768999999999998</v>
      </c>
      <c r="Q102" s="147">
        <v>0.29931200000000002</v>
      </c>
      <c r="R102" s="147">
        <v>0.288387</v>
      </c>
      <c r="S102" s="147">
        <v>0.28846300000000002</v>
      </c>
      <c r="T102" s="147">
        <v>0.27233299999999999</v>
      </c>
      <c r="U102" s="147">
        <v>0.29030099999999998</v>
      </c>
      <c r="V102" s="147">
        <v>0.29413899999999998</v>
      </c>
      <c r="W102" s="147">
        <v>0.29165099999999999</v>
      </c>
      <c r="X102" s="147">
        <v>0.299369</v>
      </c>
      <c r="Y102" s="147">
        <v>0</v>
      </c>
      <c r="Z102"/>
    </row>
    <row r="103" spans="1:26" ht="15">
      <c r="A103" s="215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160.701854</v>
      </c>
      <c r="Q103" s="147">
        <v>133.86502100000001</v>
      </c>
      <c r="R103" s="147">
        <v>118.219841</v>
      </c>
      <c r="S103" s="147">
        <v>127.46646200000001</v>
      </c>
      <c r="T103" s="147">
        <v>122.84934</v>
      </c>
      <c r="U103" s="147">
        <v>140.50550799999999</v>
      </c>
      <c r="V103" s="147">
        <v>152.65874500000001</v>
      </c>
      <c r="W103" s="147">
        <v>151.15563499999999</v>
      </c>
      <c r="X103" s="147">
        <v>140.27562900000001</v>
      </c>
      <c r="Y103" s="147">
        <v>52.802211999999997</v>
      </c>
      <c r="Z103"/>
    </row>
    <row r="104" spans="1:26" ht="15">
      <c r="A104" s="215"/>
      <c r="B104" s="144" t="s">
        <v>9</v>
      </c>
      <c r="C104" s="147">
        <v>21.945627999999999</v>
      </c>
      <c r="D104" s="147">
        <v>18.942269</v>
      </c>
      <c r="E104" s="147">
        <v>19.078325</v>
      </c>
      <c r="F104" s="147">
        <v>20.008217999999999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12.226845000000001</v>
      </c>
      <c r="R104" s="147">
        <v>5.7932370000000004</v>
      </c>
      <c r="S104" s="147">
        <v>9.4236719999999998</v>
      </c>
      <c r="T104" s="147">
        <v>8.6874149999999997</v>
      </c>
      <c r="U104" s="147">
        <v>15.04932</v>
      </c>
      <c r="V104" s="147">
        <v>17.289342999999999</v>
      </c>
      <c r="W104" s="147">
        <v>21.610752000000002</v>
      </c>
      <c r="X104" s="147">
        <v>32.544134999999997</v>
      </c>
      <c r="Y104" s="147">
        <v>5.1544910000000002</v>
      </c>
      <c r="Z104"/>
    </row>
    <row r="105" spans="1:26" ht="15">
      <c r="A105" s="215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114.048723</v>
      </c>
      <c r="R105" s="147">
        <v>98.923323999999994</v>
      </c>
      <c r="S105" s="147">
        <v>116.06684199999999</v>
      </c>
      <c r="T105" s="147">
        <v>83.295309000000003</v>
      </c>
      <c r="U105" s="147">
        <v>114.33213000000001</v>
      </c>
      <c r="V105" s="147">
        <v>127.712586</v>
      </c>
      <c r="W105" s="147">
        <v>98.396693999999997</v>
      </c>
      <c r="X105" s="147">
        <v>128.21449999999999</v>
      </c>
      <c r="Y105" s="147">
        <v>42.021447000000002</v>
      </c>
      <c r="Z105"/>
    </row>
    <row r="106" spans="1:26" ht="15">
      <c r="A106" s="215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300.75480199999998</v>
      </c>
      <c r="R106" s="147">
        <v>246.048203</v>
      </c>
      <c r="S106" s="147">
        <v>229.928777</v>
      </c>
      <c r="T106" s="147">
        <v>258.95318400000002</v>
      </c>
      <c r="U106" s="147">
        <v>229.38776100000001</v>
      </c>
      <c r="V106" s="147">
        <v>217.204814</v>
      </c>
      <c r="W106" s="147">
        <v>297.07835399999999</v>
      </c>
      <c r="X106" s="147">
        <v>252.83072899999999</v>
      </c>
      <c r="Y106" s="147">
        <v>99.095273000000006</v>
      </c>
      <c r="Z106"/>
    </row>
    <row r="107" spans="1:26" ht="15">
      <c r="A107" s="215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1.8236140000000001</v>
      </c>
      <c r="R107" s="147">
        <v>0.99112500000000003</v>
      </c>
      <c r="S107" s="147">
        <v>1.4427080000000001</v>
      </c>
      <c r="T107" s="147">
        <v>0.74262799999999995</v>
      </c>
      <c r="U107" s="147">
        <v>3.6524220000000001</v>
      </c>
      <c r="V107" s="147">
        <v>3.5757409999999998</v>
      </c>
      <c r="W107" s="147">
        <v>1.9118980000000001</v>
      </c>
      <c r="X107" s="147">
        <v>1.456723</v>
      </c>
      <c r="Y107" s="147">
        <v>0.477134</v>
      </c>
      <c r="Z107"/>
    </row>
    <row r="108" spans="1:26" ht="15">
      <c r="A108" s="215"/>
      <c r="B108" s="144" t="s">
        <v>5</v>
      </c>
      <c r="C108" s="147">
        <v>55.716045999999999</v>
      </c>
      <c r="D108" s="147">
        <v>48.413316999999999</v>
      </c>
      <c r="E108" s="147">
        <v>96.842352000000005</v>
      </c>
      <c r="F108" s="147">
        <v>67.113055000000003</v>
      </c>
      <c r="G108" s="147">
        <v>95.432451</v>
      </c>
      <c r="H108" s="147">
        <v>74.330708999999999</v>
      </c>
      <c r="I108" s="147">
        <v>158.18545700000001</v>
      </c>
      <c r="J108" s="147">
        <v>158.502759</v>
      </c>
      <c r="K108" s="147">
        <v>100.47458899999999</v>
      </c>
      <c r="L108" s="147">
        <v>89.263401000000002</v>
      </c>
      <c r="M108" s="147">
        <v>125.116103</v>
      </c>
      <c r="N108" s="147">
        <v>68.726336000000003</v>
      </c>
      <c r="O108" s="147">
        <v>60.203617000000001</v>
      </c>
      <c r="P108" s="147">
        <v>93.155392000000006</v>
      </c>
      <c r="Q108" s="147">
        <v>97.166026000000002</v>
      </c>
      <c r="R108" s="147">
        <v>54.728521000000001</v>
      </c>
      <c r="S108" s="147">
        <v>69.748904999999993</v>
      </c>
      <c r="T108" s="147">
        <v>103.362193</v>
      </c>
      <c r="U108" s="147">
        <v>148.25553600000001</v>
      </c>
      <c r="V108" s="147">
        <v>166.40459999999999</v>
      </c>
      <c r="W108" s="147">
        <v>92.424858</v>
      </c>
      <c r="X108" s="147">
        <v>98.269994999999994</v>
      </c>
      <c r="Y108" s="147">
        <v>36.480504000000003</v>
      </c>
      <c r="Z108"/>
    </row>
    <row r="109" spans="1:26" ht="15">
      <c r="A109" s="215"/>
      <c r="B109" s="144" t="s">
        <v>4</v>
      </c>
      <c r="C109" s="147">
        <v>17.899612000000001</v>
      </c>
      <c r="D109" s="147">
        <v>21.362932000000001</v>
      </c>
      <c r="E109" s="147">
        <v>24.927766999999999</v>
      </c>
      <c r="F109" s="147">
        <v>24.572315</v>
      </c>
      <c r="G109" s="147">
        <v>29.457906000000001</v>
      </c>
      <c r="H109" s="147">
        <v>23.363524999999999</v>
      </c>
      <c r="I109" s="147">
        <v>29.616448999999999</v>
      </c>
      <c r="J109" s="147">
        <v>27.737331000000001</v>
      </c>
      <c r="K109" s="147">
        <v>23.527581999999999</v>
      </c>
      <c r="L109" s="147">
        <v>20.851227999999999</v>
      </c>
      <c r="M109" s="147">
        <v>18.324159999999999</v>
      </c>
      <c r="N109" s="147">
        <v>17.279291000000001</v>
      </c>
      <c r="O109" s="147">
        <v>18.499157</v>
      </c>
      <c r="P109" s="147">
        <v>20.258158000000002</v>
      </c>
      <c r="Q109" s="147">
        <v>21.187342999999998</v>
      </c>
      <c r="R109" s="147">
        <v>22.608267999999999</v>
      </c>
      <c r="S109" s="147">
        <v>25.982507999999999</v>
      </c>
      <c r="T109" s="147">
        <v>23.718388000000001</v>
      </c>
      <c r="U109" s="147">
        <v>26.993926999999999</v>
      </c>
      <c r="V109" s="147">
        <v>26.574038999999999</v>
      </c>
      <c r="W109" s="147">
        <v>20.864343000000002</v>
      </c>
      <c r="X109" s="147">
        <v>19.857990999999998</v>
      </c>
      <c r="Y109" s="147">
        <v>6.4319920000000002</v>
      </c>
      <c r="Z109"/>
    </row>
    <row r="110" spans="1:26" ht="15">
      <c r="A110" s="215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0.57730000000000004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0.82168300000000005</v>
      </c>
      <c r="R110" s="147">
        <v>0.83979599999999999</v>
      </c>
      <c r="S110" s="147">
        <v>0.70590200000000003</v>
      </c>
      <c r="T110" s="147">
        <v>0.78505800000000003</v>
      </c>
      <c r="U110" s="147">
        <v>0.69386000000000003</v>
      </c>
      <c r="V110" s="147">
        <v>0.69097799999999998</v>
      </c>
      <c r="W110" s="147">
        <v>0.64958000000000005</v>
      </c>
      <c r="X110" s="147">
        <v>0.78250799999999998</v>
      </c>
      <c r="Y110" s="147">
        <v>0</v>
      </c>
      <c r="Z110"/>
    </row>
    <row r="111" spans="1:26" ht="15">
      <c r="A111" s="215"/>
      <c r="B111" s="149" t="s">
        <v>2</v>
      </c>
      <c r="C111" s="150">
        <v>755.34934399999997</v>
      </c>
      <c r="D111" s="150">
        <v>678.57240100000001</v>
      </c>
      <c r="E111" s="150">
        <v>738.61334099999999</v>
      </c>
      <c r="F111" s="150">
        <v>701.14453500000002</v>
      </c>
      <c r="G111" s="150">
        <v>724.43555100000003</v>
      </c>
      <c r="H111" s="150">
        <v>714.68901300000005</v>
      </c>
      <c r="I111" s="150">
        <v>765.15524500000004</v>
      </c>
      <c r="J111" s="150">
        <v>788.634096</v>
      </c>
      <c r="K111" s="150">
        <v>752.66165699999999</v>
      </c>
      <c r="L111" s="150">
        <v>773.78035799999998</v>
      </c>
      <c r="M111" s="150">
        <v>734.42427499999997</v>
      </c>
      <c r="N111" s="150">
        <v>747.51831800000002</v>
      </c>
      <c r="O111" s="150">
        <v>756.966812</v>
      </c>
      <c r="P111" s="150">
        <v>705.86513500000001</v>
      </c>
      <c r="Q111" s="150">
        <v>682.19336899999996</v>
      </c>
      <c r="R111" s="150">
        <v>548.44070199999999</v>
      </c>
      <c r="S111" s="150">
        <v>581.05423900000005</v>
      </c>
      <c r="T111" s="150">
        <v>602.66584799999998</v>
      </c>
      <c r="U111" s="150">
        <v>679.16076499999997</v>
      </c>
      <c r="V111" s="150">
        <v>712.40498500000001</v>
      </c>
      <c r="W111" s="150">
        <v>684.38376500000004</v>
      </c>
      <c r="X111" s="150">
        <v>674.53157899999997</v>
      </c>
      <c r="Y111" s="150">
        <v>242.463053</v>
      </c>
      <c r="Z111"/>
    </row>
    <row r="112" spans="1:26" ht="15">
      <c r="A112" s="216"/>
      <c r="B112" s="149" t="s">
        <v>79</v>
      </c>
      <c r="C112" s="150">
        <v>755.34934399999997</v>
      </c>
      <c r="D112" s="150">
        <v>678.57240100000001</v>
      </c>
      <c r="E112" s="150">
        <v>738.61334099999999</v>
      </c>
      <c r="F112" s="150">
        <v>701.14453500000002</v>
      </c>
      <c r="G112" s="150">
        <v>724.43555100000003</v>
      </c>
      <c r="H112" s="150">
        <v>714.68901300000005</v>
      </c>
      <c r="I112" s="150">
        <v>765.15524500000004</v>
      </c>
      <c r="J112" s="150">
        <v>788.634096</v>
      </c>
      <c r="K112" s="150">
        <v>752.66165699999999</v>
      </c>
      <c r="L112" s="150">
        <v>773.78035799999998</v>
      </c>
      <c r="M112" s="150">
        <v>734.42427499999997</v>
      </c>
      <c r="N112" s="150">
        <v>747.51831800000002</v>
      </c>
      <c r="O112" s="150">
        <v>756.966812</v>
      </c>
      <c r="P112" s="150">
        <v>705.86513500000001</v>
      </c>
      <c r="Q112" s="150">
        <v>682.19336899999996</v>
      </c>
      <c r="R112" s="150">
        <v>548.44070199999999</v>
      </c>
      <c r="S112" s="150">
        <v>581.05423900000005</v>
      </c>
      <c r="T112" s="150">
        <v>602.66584799999998</v>
      </c>
      <c r="U112" s="150">
        <v>679.16076499999997</v>
      </c>
      <c r="V112" s="150">
        <v>712.40498500000001</v>
      </c>
      <c r="W112" s="150">
        <v>684.38376500000004</v>
      </c>
      <c r="X112" s="150">
        <v>674.53157899999997</v>
      </c>
      <c r="Y112" s="150">
        <v>242.463053</v>
      </c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2" t="s">
        <v>73</v>
      </c>
      <c r="C117" s="120" t="str">
        <f>TEXT(EDATE(D117,-1),"mmmm aaaa")</f>
        <v>octubre 2019</v>
      </c>
      <c r="D117" s="120" t="str">
        <f t="shared" ref="D117:M117" si="6">TEXT(EDATE(E117,-1),"mmmm aaaa")</f>
        <v>noviembre 2019</v>
      </c>
      <c r="E117" s="120" t="str">
        <f t="shared" si="6"/>
        <v>diciembre 2019</v>
      </c>
      <c r="F117" s="120" t="str">
        <f t="shared" si="6"/>
        <v>enero 2020</v>
      </c>
      <c r="G117" s="120" t="str">
        <f t="shared" si="6"/>
        <v>febrero 2020</v>
      </c>
      <c r="H117" s="120" t="str">
        <f t="shared" si="6"/>
        <v>marzo 2020</v>
      </c>
      <c r="I117" s="120" t="str">
        <f t="shared" si="6"/>
        <v>abril 2020</v>
      </c>
      <c r="J117" s="120" t="str">
        <f t="shared" si="6"/>
        <v>mayo 2020</v>
      </c>
      <c r="K117" s="120" t="str">
        <f t="shared" si="6"/>
        <v>junio 2020</v>
      </c>
      <c r="L117" s="120" t="str">
        <f t="shared" si="6"/>
        <v>julio 2020</v>
      </c>
      <c r="M117" s="120" t="str">
        <f t="shared" si="6"/>
        <v>agosto 2020</v>
      </c>
      <c r="N117" s="120" t="str">
        <f>TEXT(EDATE(O117,-1),"mmmm aaaa")</f>
        <v>septiembre 2020</v>
      </c>
      <c r="O117" s="121" t="str">
        <f>A2</f>
        <v>Octubre 2020</v>
      </c>
    </row>
    <row r="118" spans="1:19">
      <c r="B118" s="213"/>
      <c r="C118" s="131" t="str">
        <f>TEXT(EDATE($A$2,-12),"mmm")&amp;".-"&amp;TEXT(EDATE($A$2,-12),"aa")</f>
        <v>oct.-19</v>
      </c>
      <c r="D118" s="131" t="str">
        <f>TEXT(EDATE($A$2,-11),"mmm")&amp;".-"&amp;TEXT(EDATE($A$2,-11),"aa")</f>
        <v>nov.-19</v>
      </c>
      <c r="E118" s="131" t="str">
        <f>TEXT(EDATE($A$2,-10),"mmm")&amp;".-"&amp;TEXT(EDATE($A$2,-10),"aa")</f>
        <v>dic.-19</v>
      </c>
      <c r="F118" s="131" t="str">
        <f>TEXT(EDATE($A$2,-9),"mmm")&amp;".-"&amp;TEXT(EDATE($A$2,-9),"aa")</f>
        <v>ene.-20</v>
      </c>
      <c r="G118" s="131" t="str">
        <f>TEXT(EDATE($A$2,-8),"mmm")&amp;".-"&amp;TEXT(EDATE($A$2,-8),"aa")</f>
        <v>feb.-20</v>
      </c>
      <c r="H118" s="131" t="str">
        <f>TEXT(EDATE($A$2,-7),"mmm")&amp;".-"&amp;TEXT(EDATE($A$2,-7),"aa")</f>
        <v>mar.-20</v>
      </c>
      <c r="I118" s="131" t="str">
        <f>TEXT(EDATE($A$2,-6),"mmm")&amp;".-"&amp;TEXT(EDATE($A$2,-6),"aa")</f>
        <v>abr.-20</v>
      </c>
      <c r="J118" s="131" t="str">
        <f>TEXT(EDATE($A$2,-5),"mmm")&amp;".-"&amp;TEXT(EDATE($A$2,-5),"aa")</f>
        <v>may.-20</v>
      </c>
      <c r="K118" s="131" t="str">
        <f>TEXT(EDATE($A$2,-4),"mmm")&amp;".-"&amp;TEXT(EDATE($A$2,-4),"aa")</f>
        <v>jun.-20</v>
      </c>
      <c r="L118" s="131" t="str">
        <f>TEXT(EDATE($A$2,-3),"mmm")&amp;".-"&amp;TEXT(EDATE($A$2,-3),"aa")</f>
        <v>jul.-20</v>
      </c>
      <c r="M118" s="131" t="str">
        <f>TEXT(EDATE($A$2,-2),"mmm")&amp;".-"&amp;TEXT(EDATE($A$2,-2),"aa")</f>
        <v>ago.-20</v>
      </c>
      <c r="N118" s="131" t="str">
        <f>TEXT(EDATE($A$2,-1),"mmm")&amp;".-"&amp;TEXT(EDATE($A$2,-1),"aa")</f>
        <v>sep.-20</v>
      </c>
      <c r="O118" s="160" t="str">
        <f>TEXT($A$2,"mmm")&amp;".-"&amp;TEXT($A$2,"aa")</f>
        <v>oct.-20</v>
      </c>
    </row>
    <row r="119" spans="1:19">
      <c r="A119" s="209" t="s">
        <v>76</v>
      </c>
      <c r="B119" s="132" t="s">
        <v>11</v>
      </c>
      <c r="C119" s="133">
        <f>HLOOKUP(C$117,$86:$101,3,FALSE)</f>
        <v>190.859296</v>
      </c>
      <c r="D119" s="133">
        <f t="shared" ref="D119:N119" si="7">HLOOKUP(D$117,$86:$101,3,FALSE)</f>
        <v>128.513947</v>
      </c>
      <c r="E119" s="133">
        <f t="shared" si="7"/>
        <v>137.71730099999999</v>
      </c>
      <c r="F119" s="133">
        <f t="shared" si="7"/>
        <v>-3.1773479999999998</v>
      </c>
      <c r="G119" s="133">
        <f t="shared" si="7"/>
        <v>-1.357415</v>
      </c>
      <c r="H119" s="133">
        <f t="shared" si="7"/>
        <v>-1.701627</v>
      </c>
      <c r="I119" s="133">
        <f t="shared" si="7"/>
        <v>-1.680847</v>
      </c>
      <c r="J119" s="133">
        <f t="shared" si="7"/>
        <v>-1.8013110000000001</v>
      </c>
      <c r="K119" s="133">
        <f t="shared" si="7"/>
        <v>-1.2808299999999999</v>
      </c>
      <c r="L119" s="133">
        <f t="shared" si="7"/>
        <v>-1.119569</v>
      </c>
      <c r="M119" s="133">
        <f t="shared" si="7"/>
        <v>-1.1268309999999999</v>
      </c>
      <c r="N119" s="133">
        <f t="shared" si="7"/>
        <v>68.615076999999999</v>
      </c>
      <c r="O119" s="134">
        <f>HLOOKUP(O$117,$86:$101,3,FALSE)</f>
        <v>69.531803999999994</v>
      </c>
    </row>
    <row r="120" spans="1:19">
      <c r="A120" s="210"/>
      <c r="B120" s="122" t="s">
        <v>10</v>
      </c>
      <c r="C120" s="116">
        <f>HLOOKUP(C$117,$86:$101,4,FALSE)</f>
        <v>40.788257999999999</v>
      </c>
      <c r="D120" s="116">
        <f t="shared" ref="D120:O120" si="8">HLOOKUP(D$117,$86:$101,4,FALSE)</f>
        <v>27.172975000000001</v>
      </c>
      <c r="E120" s="116">
        <f t="shared" si="8"/>
        <v>19.439288000000001</v>
      </c>
      <c r="F120" s="116">
        <f t="shared" si="8"/>
        <v>25.163323999999999</v>
      </c>
      <c r="G120" s="116">
        <f t="shared" si="8"/>
        <v>20.211247</v>
      </c>
      <c r="H120" s="116">
        <f t="shared" si="8"/>
        <v>15.845757000000001</v>
      </c>
      <c r="I120" s="116">
        <f t="shared" si="8"/>
        <v>18.686546</v>
      </c>
      <c r="J120" s="116">
        <f t="shared" si="8"/>
        <v>20.180289999999999</v>
      </c>
      <c r="K120" s="116">
        <f t="shared" si="8"/>
        <v>17.902134</v>
      </c>
      <c r="L120" s="116">
        <f t="shared" si="8"/>
        <v>32.575167</v>
      </c>
      <c r="M120" s="116">
        <f t="shared" si="8"/>
        <v>48.229475999999998</v>
      </c>
      <c r="N120" s="116">
        <f t="shared" si="8"/>
        <v>25.914612999999999</v>
      </c>
      <c r="O120" s="134">
        <f t="shared" si="8"/>
        <v>16.883790999999999</v>
      </c>
    </row>
    <row r="121" spans="1:19">
      <c r="A121" s="210"/>
      <c r="B121" s="122" t="s">
        <v>9</v>
      </c>
      <c r="C121" s="116">
        <f>HLOOKUP(C$117,$86:$101,5,FALSE)</f>
        <v>27.936012999999999</v>
      </c>
      <c r="D121" s="116">
        <f t="shared" ref="D121:O121" si="9">HLOOKUP(D$117,$86:$101,5,FALSE)</f>
        <v>28.760522000000002</v>
      </c>
      <c r="E121" s="116">
        <f t="shared" si="9"/>
        <v>20.411356000000001</v>
      </c>
      <c r="F121" s="116">
        <f t="shared" si="9"/>
        <v>21.825088000000001</v>
      </c>
      <c r="G121" s="116">
        <f t="shared" si="9"/>
        <v>17.386634999999998</v>
      </c>
      <c r="H121" s="116">
        <f t="shared" si="9"/>
        <v>18.899491999999999</v>
      </c>
      <c r="I121" s="116">
        <f t="shared" si="9"/>
        <v>9.9217499999999994</v>
      </c>
      <c r="J121" s="116">
        <f t="shared" si="9"/>
        <v>9.5129249999999992</v>
      </c>
      <c r="K121" s="116">
        <f t="shared" si="9"/>
        <v>15.970385</v>
      </c>
      <c r="L121" s="116">
        <f t="shared" si="9"/>
        <v>33.700387999999997</v>
      </c>
      <c r="M121" s="116">
        <f t="shared" si="9"/>
        <v>37.145944999999998</v>
      </c>
      <c r="N121" s="116">
        <f t="shared" si="9"/>
        <v>15.232726</v>
      </c>
      <c r="O121" s="134">
        <f t="shared" si="9"/>
        <v>8.9368049999999997</v>
      </c>
    </row>
    <row r="122" spans="1:19" ht="14.25">
      <c r="A122" s="210"/>
      <c r="B122" s="122" t="s">
        <v>74</v>
      </c>
      <c r="C122" s="116">
        <f>HLOOKUP(C$117,$86:$101,6,FALSE)</f>
        <v>49.054729000000002</v>
      </c>
      <c r="D122" s="116">
        <f t="shared" ref="D122:O122" si="10">HLOOKUP(D$117,$86:$101,6,FALSE)</f>
        <v>98.892425000000003</v>
      </c>
      <c r="E122" s="116">
        <f t="shared" si="10"/>
        <v>97.225685999999996</v>
      </c>
      <c r="F122" s="116">
        <f t="shared" si="10"/>
        <v>247.42845600000001</v>
      </c>
      <c r="G122" s="116">
        <f t="shared" si="10"/>
        <v>226.17381</v>
      </c>
      <c r="H122" s="116">
        <f t="shared" si="10"/>
        <v>223.68827999999999</v>
      </c>
      <c r="I122" s="116">
        <f t="shared" si="10"/>
        <v>190.73178300000001</v>
      </c>
      <c r="J122" s="116">
        <f t="shared" si="10"/>
        <v>192.66073600000001</v>
      </c>
      <c r="K122" s="116">
        <f t="shared" si="10"/>
        <v>191.22599500000001</v>
      </c>
      <c r="L122" s="116">
        <f t="shared" si="10"/>
        <v>258.52646600000003</v>
      </c>
      <c r="M122" s="116">
        <f t="shared" si="10"/>
        <v>260.88770599999998</v>
      </c>
      <c r="N122" s="116">
        <f t="shared" si="10"/>
        <v>135.30891800000001</v>
      </c>
      <c r="O122" s="134">
        <f t="shared" si="10"/>
        <v>141.13588200000001</v>
      </c>
    </row>
    <row r="123" spans="1:19">
      <c r="A123" s="210"/>
      <c r="B123" s="122" t="s">
        <v>24</v>
      </c>
      <c r="C123" s="116">
        <f>HLOOKUP(C$117,$86:$101,7,FALSE)</f>
        <v>1.7684709999999999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2.5841270000000001</v>
      </c>
      <c r="N123" s="116">
        <f t="shared" si="11"/>
        <v>0.57992999999999995</v>
      </c>
      <c r="O123" s="134">
        <f t="shared" si="11"/>
        <v>0.73975400000000002</v>
      </c>
    </row>
    <row r="124" spans="1:19">
      <c r="A124" s="210"/>
      <c r="B124" s="122" t="s">
        <v>5</v>
      </c>
      <c r="C124" s="116">
        <f>HLOOKUP(C$117,$86:$102,8,FALSE)</f>
        <v>0.402117</v>
      </c>
      <c r="D124" s="116">
        <f t="shared" ref="D124:O124" si="12">HLOOKUP(D$117,$86:$102,8,FALSE)</f>
        <v>0.49518299999999998</v>
      </c>
      <c r="E124" s="116">
        <f t="shared" si="12"/>
        <v>0.44528499999999999</v>
      </c>
      <c r="F124" s="116">
        <f t="shared" si="12"/>
        <v>0.37082599999999999</v>
      </c>
      <c r="G124" s="116">
        <f t="shared" si="12"/>
        <v>0.33927600000000002</v>
      </c>
      <c r="H124" s="116">
        <f t="shared" si="12"/>
        <v>0.53315400000000002</v>
      </c>
      <c r="I124" s="116">
        <f t="shared" si="12"/>
        <v>0.24332000000000001</v>
      </c>
      <c r="J124" s="116">
        <f t="shared" si="12"/>
        <v>0.35256199999999999</v>
      </c>
      <c r="K124" s="116">
        <f t="shared" si="12"/>
        <v>0.21834000000000001</v>
      </c>
      <c r="L124" s="116">
        <f t="shared" si="12"/>
        <v>0.22134999999999999</v>
      </c>
      <c r="M124" s="116">
        <f t="shared" si="12"/>
        <v>0.20693</v>
      </c>
      <c r="N124" s="116">
        <f t="shared" si="12"/>
        <v>0.189775</v>
      </c>
      <c r="O124" s="134">
        <f t="shared" si="12"/>
        <v>0.32789299999999999</v>
      </c>
    </row>
    <row r="125" spans="1:19">
      <c r="A125" s="210"/>
      <c r="B125" s="122" t="s">
        <v>4</v>
      </c>
      <c r="C125" s="116">
        <f>HLOOKUP(C$117,$86:$102,9,FALSE)</f>
        <v>9.1342990000000004</v>
      </c>
      <c r="D125" s="116">
        <f t="shared" ref="D125:O125" si="13">HLOOKUP(D$117,$86:$102,9,FALSE)</f>
        <v>6.2973249999999998</v>
      </c>
      <c r="E125" s="116">
        <f t="shared" si="13"/>
        <v>5.9055650000000002</v>
      </c>
      <c r="F125" s="116">
        <f t="shared" si="13"/>
        <v>5.9311930000000004</v>
      </c>
      <c r="G125" s="116">
        <f t="shared" si="13"/>
        <v>8.7361280000000008</v>
      </c>
      <c r="H125" s="116">
        <f t="shared" si="13"/>
        <v>9.2030049999999992</v>
      </c>
      <c r="I125" s="116">
        <f t="shared" si="13"/>
        <v>10.819095000000001</v>
      </c>
      <c r="J125" s="116">
        <f t="shared" si="13"/>
        <v>12.877418</v>
      </c>
      <c r="K125" s="116">
        <f t="shared" si="13"/>
        <v>12.233309</v>
      </c>
      <c r="L125" s="116">
        <f t="shared" si="13"/>
        <v>12.746891</v>
      </c>
      <c r="M125" s="116">
        <f t="shared" si="13"/>
        <v>12.085228000000001</v>
      </c>
      <c r="N125" s="116">
        <f t="shared" si="13"/>
        <v>10.525691999999999</v>
      </c>
      <c r="O125" s="134">
        <f t="shared" si="13"/>
        <v>9.6292899999999992</v>
      </c>
    </row>
    <row r="126" spans="1:19">
      <c r="A126" s="210"/>
      <c r="B126" s="123" t="s">
        <v>22</v>
      </c>
      <c r="C126" s="116">
        <f>HLOOKUP(C$117,$86:$102,10,FALSE)</f>
        <v>9.9426E-2</v>
      </c>
      <c r="D126" s="116">
        <f t="shared" ref="D126:O126" si="14">HLOOKUP(D$117,$86:$102,10,FALSE)</f>
        <v>9.2591999999999994E-2</v>
      </c>
      <c r="E126" s="116">
        <f t="shared" si="14"/>
        <v>0.18124699999999999</v>
      </c>
      <c r="F126" s="116">
        <f t="shared" si="14"/>
        <v>0.20147399999999999</v>
      </c>
      <c r="G126" s="116">
        <f t="shared" si="14"/>
        <v>8.1622E-2</v>
      </c>
      <c r="H126" s="116">
        <f t="shared" si="14"/>
        <v>2.6786999999999998E-2</v>
      </c>
      <c r="I126" s="116">
        <f t="shared" si="14"/>
        <v>1.5415999999999999E-2</v>
      </c>
      <c r="J126" s="116">
        <f t="shared" si="14"/>
        <v>2.3830000000000001E-3</v>
      </c>
      <c r="K126" s="116">
        <f t="shared" si="14"/>
        <v>5.9750999999999999E-2</v>
      </c>
      <c r="L126" s="116">
        <f t="shared" si="14"/>
        <v>5.2531000000000001E-2</v>
      </c>
      <c r="M126" s="116">
        <f t="shared" si="14"/>
        <v>5.0747E-2</v>
      </c>
      <c r="N126" s="116">
        <f t="shared" si="14"/>
        <v>2.81E-3</v>
      </c>
      <c r="O126" s="134">
        <f t="shared" si="14"/>
        <v>2.7317000000000001E-2</v>
      </c>
    </row>
    <row r="127" spans="1:19">
      <c r="A127" s="210"/>
      <c r="B127" s="123" t="s">
        <v>23</v>
      </c>
      <c r="C127" s="116">
        <f>HLOOKUP(C$117,$86:$102,11,FALSE)</f>
        <v>2.8098649999999998</v>
      </c>
      <c r="D127" s="116">
        <f t="shared" ref="D127:O127" si="15">HLOOKUP(D$117,$86:$102,11,FALSE)</f>
        <v>3.3302809999999998</v>
      </c>
      <c r="E127" s="116">
        <f t="shared" si="15"/>
        <v>3.7760859999999998</v>
      </c>
      <c r="F127" s="116">
        <f t="shared" si="15"/>
        <v>4.0380969999999996</v>
      </c>
      <c r="G127" s="116">
        <f t="shared" si="15"/>
        <v>3.7449910000000002</v>
      </c>
      <c r="H127" s="116">
        <f t="shared" si="15"/>
        <v>3.4759910000000001</v>
      </c>
      <c r="I127" s="116">
        <f t="shared" si="15"/>
        <v>2.759617</v>
      </c>
      <c r="J127" s="116">
        <f t="shared" si="15"/>
        <v>2.681413</v>
      </c>
      <c r="K127" s="116">
        <f t="shared" si="15"/>
        <v>2.5969359999999999</v>
      </c>
      <c r="L127" s="116">
        <f t="shared" si="15"/>
        <v>2.3319320000000001</v>
      </c>
      <c r="M127" s="116">
        <f t="shared" si="15"/>
        <v>1.922374</v>
      </c>
      <c r="N127" s="116">
        <f t="shared" si="15"/>
        <v>2.047806</v>
      </c>
      <c r="O127" s="134">
        <f t="shared" si="15"/>
        <v>2.3333560000000002</v>
      </c>
    </row>
    <row r="128" spans="1:19">
      <c r="A128" s="210"/>
      <c r="B128" s="122" t="s">
        <v>55</v>
      </c>
      <c r="C128" s="116">
        <f t="shared" ref="C128:O128" si="16">HLOOKUP(C$117,$86:$102,13,FALSE)</f>
        <v>14.954476</v>
      </c>
      <c r="D128" s="116">
        <f t="shared" si="16"/>
        <v>13.874806</v>
      </c>
      <c r="E128" s="116">
        <f t="shared" si="16"/>
        <v>8.5480964999999998</v>
      </c>
      <c r="F128" s="116">
        <f t="shared" si="16"/>
        <v>9.2619229999999995</v>
      </c>
      <c r="G128" s="116">
        <f t="shared" si="16"/>
        <v>6.0955329999999996</v>
      </c>
      <c r="H128" s="116">
        <f t="shared" si="16"/>
        <v>10.531687</v>
      </c>
      <c r="I128" s="116">
        <f t="shared" si="16"/>
        <v>4.8152900000000001</v>
      </c>
      <c r="J128" s="116">
        <f t="shared" si="16"/>
        <v>5.3655939999999998</v>
      </c>
      <c r="K128" s="116">
        <f t="shared" si="16"/>
        <v>14.316091999999999</v>
      </c>
      <c r="L128" s="116">
        <f t="shared" si="16"/>
        <v>10.772016499999999</v>
      </c>
      <c r="M128" s="116">
        <f t="shared" si="16"/>
        <v>10.810641499999999</v>
      </c>
      <c r="N128" s="116">
        <f t="shared" si="16"/>
        <v>14.376298</v>
      </c>
      <c r="O128" s="134">
        <f t="shared" si="16"/>
        <v>6.2382179999999998</v>
      </c>
    </row>
    <row r="129" spans="1:15">
      <c r="A129" s="210"/>
      <c r="B129" s="122" t="s">
        <v>54</v>
      </c>
      <c r="C129" s="116">
        <f>HLOOKUP(C$117,$86:$102,12,FALSE)</f>
        <v>14.954476</v>
      </c>
      <c r="D129" s="116">
        <f t="shared" ref="D129:O129" si="17">HLOOKUP(D$117,$86:$102,12,FALSE)</f>
        <v>13.874806</v>
      </c>
      <c r="E129" s="116">
        <f t="shared" si="17"/>
        <v>8.5480964999999998</v>
      </c>
      <c r="F129" s="116">
        <f t="shared" si="17"/>
        <v>9.2619229999999995</v>
      </c>
      <c r="G129" s="116">
        <f t="shared" si="17"/>
        <v>6.0955329999999996</v>
      </c>
      <c r="H129" s="116">
        <f t="shared" si="17"/>
        <v>10.531687</v>
      </c>
      <c r="I129" s="116">
        <f t="shared" si="17"/>
        <v>4.8152900000000001</v>
      </c>
      <c r="J129" s="116">
        <f t="shared" si="17"/>
        <v>5.3655939999999998</v>
      </c>
      <c r="K129" s="116">
        <f t="shared" si="17"/>
        <v>14.316091999999999</v>
      </c>
      <c r="L129" s="116">
        <f t="shared" si="17"/>
        <v>10.772016499999999</v>
      </c>
      <c r="M129" s="116">
        <f t="shared" si="17"/>
        <v>10.810641499999999</v>
      </c>
      <c r="N129" s="116">
        <f t="shared" si="17"/>
        <v>14.376298</v>
      </c>
      <c r="O129" s="134">
        <f t="shared" si="17"/>
        <v>6.2382179999999998</v>
      </c>
    </row>
    <row r="130" spans="1:15">
      <c r="A130" s="210"/>
      <c r="B130" s="124" t="s">
        <v>2</v>
      </c>
      <c r="C130" s="125">
        <f>HLOOKUP(C$117,$86:$102,14,FALSE)</f>
        <v>352.76142599999997</v>
      </c>
      <c r="D130" s="125">
        <f t="shared" ref="D130:O130" si="18">HLOOKUP(D$117,$86:$102,14,FALSE)</f>
        <v>321.30486200000001</v>
      </c>
      <c r="E130" s="125">
        <f t="shared" si="18"/>
        <v>302.19800700000002</v>
      </c>
      <c r="F130" s="125">
        <f t="shared" si="18"/>
        <v>320.304956</v>
      </c>
      <c r="G130" s="125">
        <f t="shared" si="18"/>
        <v>287.50736000000001</v>
      </c>
      <c r="H130" s="125">
        <f t="shared" si="18"/>
        <v>291.03421300000002</v>
      </c>
      <c r="I130" s="125">
        <f t="shared" si="18"/>
        <v>241.12726000000001</v>
      </c>
      <c r="J130" s="125">
        <f t="shared" si="18"/>
        <v>247.19760400000001</v>
      </c>
      <c r="K130" s="125">
        <f t="shared" si="18"/>
        <v>267.55820399999999</v>
      </c>
      <c r="L130" s="125">
        <f t="shared" si="18"/>
        <v>360.57918899999999</v>
      </c>
      <c r="M130" s="125">
        <f t="shared" si="18"/>
        <v>383.60698500000001</v>
      </c>
      <c r="N130" s="125">
        <f t="shared" si="18"/>
        <v>287.16994299999999</v>
      </c>
      <c r="O130" s="135">
        <f t="shared" si="18"/>
        <v>262.02232800000002</v>
      </c>
    </row>
    <row r="131" spans="1:15">
      <c r="A131" s="210"/>
      <c r="B131" s="122" t="s">
        <v>21</v>
      </c>
      <c r="C131" s="126">
        <f>HLOOKUP(C$117,$86:$102,15,FALSE)</f>
        <v>137.66557</v>
      </c>
      <c r="D131" s="126">
        <f t="shared" ref="D131:O131" si="19">HLOOKUP(D$117,$86:$102,15,FALSE)</f>
        <v>91.396833999999998</v>
      </c>
      <c r="E131" s="126">
        <f t="shared" si="19"/>
        <v>119.614278</v>
      </c>
      <c r="F131" s="126">
        <f t="shared" si="19"/>
        <v>136.155901</v>
      </c>
      <c r="G131" s="126">
        <f t="shared" si="19"/>
        <v>115.92849699999999</v>
      </c>
      <c r="H131" s="126">
        <f t="shared" si="19"/>
        <v>112.780382</v>
      </c>
      <c r="I131" s="126">
        <f t="shared" si="19"/>
        <v>80.581305999999998</v>
      </c>
      <c r="J131" s="126">
        <f t="shared" si="19"/>
        <v>79.946523999999997</v>
      </c>
      <c r="K131" s="126">
        <f t="shared" si="19"/>
        <v>93.289579000000003</v>
      </c>
      <c r="L131" s="126">
        <f t="shared" si="19"/>
        <v>168.331695</v>
      </c>
      <c r="M131" s="126">
        <f t="shared" si="19"/>
        <v>182.71595500000001</v>
      </c>
      <c r="N131" s="126">
        <f t="shared" si="19"/>
        <v>116.274961</v>
      </c>
      <c r="O131" s="126">
        <f t="shared" si="19"/>
        <v>105.943506</v>
      </c>
    </row>
    <row r="132" spans="1:15">
      <c r="A132" s="210"/>
      <c r="B132" s="127" t="s">
        <v>1</v>
      </c>
      <c r="C132" s="128">
        <f>HLOOKUP(C$117,$86:$102,16,FALSE)</f>
        <v>490.42699599999997</v>
      </c>
      <c r="D132" s="128">
        <f t="shared" ref="D132:O132" si="20">HLOOKUP(D$117,$86:$102,16,FALSE)</f>
        <v>412.70169600000003</v>
      </c>
      <c r="E132" s="128">
        <f t="shared" si="20"/>
        <v>421.81228499999997</v>
      </c>
      <c r="F132" s="128">
        <f t="shared" si="20"/>
        <v>456.46085699999998</v>
      </c>
      <c r="G132" s="128">
        <f t="shared" si="20"/>
        <v>403.435857</v>
      </c>
      <c r="H132" s="128">
        <f t="shared" si="20"/>
        <v>403.814595</v>
      </c>
      <c r="I132" s="128">
        <f t="shared" si="20"/>
        <v>321.70856600000002</v>
      </c>
      <c r="J132" s="128">
        <f t="shared" si="20"/>
        <v>327.14412800000002</v>
      </c>
      <c r="K132" s="128">
        <f t="shared" si="20"/>
        <v>360.84778299999999</v>
      </c>
      <c r="L132" s="128">
        <f t="shared" si="20"/>
        <v>528.91088400000001</v>
      </c>
      <c r="M132" s="128">
        <f t="shared" si="20"/>
        <v>566.32294000000002</v>
      </c>
      <c r="N132" s="128">
        <f t="shared" si="20"/>
        <v>403.44490400000001</v>
      </c>
      <c r="O132" s="128">
        <f t="shared" si="20"/>
        <v>367.96583399999997</v>
      </c>
    </row>
    <row r="133" spans="1:15" ht="14.25">
      <c r="A133" s="211"/>
      <c r="B133" s="137" t="s">
        <v>75</v>
      </c>
      <c r="C133" s="138">
        <f>C120+C121+C123</f>
        <v>70.492742000000007</v>
      </c>
      <c r="D133" s="138">
        <f>D120+D121+D123</f>
        <v>55.933497000000003</v>
      </c>
      <c r="E133" s="138">
        <f t="shared" ref="E133:O133" si="21">E120+E121+E123</f>
        <v>39.850644000000003</v>
      </c>
      <c r="F133" s="138">
        <f t="shared" si="21"/>
        <v>46.988411999999997</v>
      </c>
      <c r="G133" s="138">
        <f t="shared" si="21"/>
        <v>37.597881999999998</v>
      </c>
      <c r="H133" s="138">
        <f t="shared" si="21"/>
        <v>34.745249000000001</v>
      </c>
      <c r="I133" s="138">
        <f t="shared" si="21"/>
        <v>28.608295999999999</v>
      </c>
      <c r="J133" s="138">
        <f t="shared" si="21"/>
        <v>29.693214999999999</v>
      </c>
      <c r="K133" s="138">
        <f t="shared" si="21"/>
        <v>33.872518999999997</v>
      </c>
      <c r="L133" s="138">
        <f t="shared" si="21"/>
        <v>66.275554999999997</v>
      </c>
      <c r="M133" s="138">
        <f t="shared" si="21"/>
        <v>87.959547999999984</v>
      </c>
      <c r="N133" s="138">
        <f t="shared" si="21"/>
        <v>41.727269</v>
      </c>
      <c r="O133" s="138">
        <f t="shared" si="21"/>
        <v>26.56035</v>
      </c>
    </row>
    <row r="134" spans="1:15">
      <c r="A134" s="209" t="s">
        <v>77</v>
      </c>
      <c r="B134" s="139" t="s">
        <v>73</v>
      </c>
      <c r="C134" s="120" t="str">
        <f>TEXT(EDATE($A$2,-12),"mmm")&amp;".-"&amp;TEXT(EDATE($A$2,-12),"aa")</f>
        <v>oct.-19</v>
      </c>
      <c r="D134" s="120" t="str">
        <f>TEXT(EDATE($A$2,-11),"mmm")&amp;".-"&amp;TEXT(EDATE($A$2,-11),"aa")</f>
        <v>nov.-19</v>
      </c>
      <c r="E134" s="120" t="str">
        <f>TEXT(EDATE($A$2,-10),"mmm")&amp;".-"&amp;TEXT(EDATE($A$2,-10),"aa")</f>
        <v>dic.-19</v>
      </c>
      <c r="F134" s="120" t="str">
        <f>TEXT(EDATE($A$2,-9),"mmm")&amp;".-"&amp;TEXT(EDATE($A$2,-9),"aa")</f>
        <v>ene.-20</v>
      </c>
      <c r="G134" s="120" t="str">
        <f>TEXT(EDATE($A$2,-8),"mmm")&amp;".-"&amp;TEXT(EDATE($A$2,-8),"aa")</f>
        <v>feb.-20</v>
      </c>
      <c r="H134" s="120" t="str">
        <f>TEXT(EDATE($A$2,-7),"mmm")&amp;".-"&amp;TEXT(EDATE($A$2,-7),"aa")</f>
        <v>mar.-20</v>
      </c>
      <c r="I134" s="120" t="str">
        <f>TEXT(EDATE($A$2,-6),"mmm")&amp;".-"&amp;TEXT(EDATE($A$2,-6),"aa")</f>
        <v>abr.-20</v>
      </c>
      <c r="J134" s="120" t="str">
        <f>TEXT(EDATE($A$2,-5),"mmm")&amp;".-"&amp;TEXT(EDATE($A$2,-5),"aa")</f>
        <v>may.-20</v>
      </c>
      <c r="K134" s="120" t="str">
        <f>TEXT(EDATE($A$2,-4),"mmm")&amp;".-"&amp;TEXT(EDATE($A$2,-4),"aa")</f>
        <v>jun.-20</v>
      </c>
      <c r="L134" s="120" t="str">
        <f>TEXT(EDATE($A$2,-3),"mmm")&amp;".-"&amp;TEXT(EDATE($A$2,-3),"aa")</f>
        <v>jul.-20</v>
      </c>
      <c r="M134" s="120" t="str">
        <f>TEXT(EDATE($A$2,-2),"mmm")&amp;".-"&amp;TEXT(EDATE($A$2,-2),"aa")</f>
        <v>ago.-20</v>
      </c>
      <c r="N134" s="120" t="str">
        <f>TEXT(EDATE($A$2,-1),"mmm")&amp;".-"&amp;TEXT(EDATE($A$2,-1),"aa")</f>
        <v>sep.-20</v>
      </c>
      <c r="O134" s="121" t="str">
        <f>TEXT($A$2,"mmm")&amp;".-"&amp;TEXT($A$2,"aa")</f>
        <v>oct.-20</v>
      </c>
    </row>
    <row r="135" spans="1:15" ht="15" customHeight="1">
      <c r="A135" s="210"/>
      <c r="B135" s="122" t="s">
        <v>12</v>
      </c>
      <c r="C135" s="116">
        <f>HLOOKUP(C$117,$86:$115,17,FALSE)</f>
        <v>0.29794700000000002</v>
      </c>
      <c r="D135" s="116">
        <f t="shared" ref="D135:O135" si="22">HLOOKUP(D$117,$86:$115,17,FALSE)</f>
        <v>0.29652299999999998</v>
      </c>
      <c r="E135" s="116">
        <f t="shared" si="22"/>
        <v>0.29914499999999999</v>
      </c>
      <c r="F135" s="116">
        <f t="shared" si="22"/>
        <v>0.30431399999999997</v>
      </c>
      <c r="G135" s="116">
        <f t="shared" si="22"/>
        <v>0.26768999999999998</v>
      </c>
      <c r="H135" s="116">
        <f t="shared" si="22"/>
        <v>0.29931200000000002</v>
      </c>
      <c r="I135" s="116">
        <f t="shared" si="22"/>
        <v>0.288387</v>
      </c>
      <c r="J135" s="116">
        <f t="shared" si="22"/>
        <v>0.28846300000000002</v>
      </c>
      <c r="K135" s="116">
        <f t="shared" si="22"/>
        <v>0.27233299999999999</v>
      </c>
      <c r="L135" s="116">
        <f t="shared" si="22"/>
        <v>0.29030099999999998</v>
      </c>
      <c r="M135" s="116">
        <f t="shared" si="22"/>
        <v>0.29413899999999998</v>
      </c>
      <c r="N135" s="116">
        <f t="shared" si="22"/>
        <v>0.29165099999999999</v>
      </c>
      <c r="O135" s="161">
        <f t="shared" si="22"/>
        <v>0.299369</v>
      </c>
    </row>
    <row r="136" spans="1:15">
      <c r="A136" s="210"/>
      <c r="B136" s="122" t="s">
        <v>10</v>
      </c>
      <c r="C136" s="116">
        <f>HLOOKUP(C$117,$86:$115,18,FALSE)</f>
        <v>168.13456400000001</v>
      </c>
      <c r="D136" s="116">
        <f t="shared" ref="D136:O136" si="23">HLOOKUP(D$117,$86:$115,18,FALSE)</f>
        <v>151.11739399999999</v>
      </c>
      <c r="E136" s="116">
        <f t="shared" si="23"/>
        <v>171.354029</v>
      </c>
      <c r="F136" s="116">
        <f t="shared" si="23"/>
        <v>175.82359</v>
      </c>
      <c r="G136" s="116">
        <f t="shared" si="23"/>
        <v>160.701854</v>
      </c>
      <c r="H136" s="116">
        <f t="shared" si="23"/>
        <v>133.86502100000001</v>
      </c>
      <c r="I136" s="116">
        <f t="shared" si="23"/>
        <v>118.219841</v>
      </c>
      <c r="J136" s="116">
        <f t="shared" si="23"/>
        <v>127.46646200000001</v>
      </c>
      <c r="K136" s="116">
        <f t="shared" si="23"/>
        <v>122.84934</v>
      </c>
      <c r="L136" s="116">
        <f t="shared" si="23"/>
        <v>140.50550799999999</v>
      </c>
      <c r="M136" s="116">
        <f t="shared" si="23"/>
        <v>152.65874500000001</v>
      </c>
      <c r="N136" s="116">
        <f t="shared" si="23"/>
        <v>151.15563499999999</v>
      </c>
      <c r="O136" s="134">
        <f t="shared" si="23"/>
        <v>140.27562900000001</v>
      </c>
    </row>
    <row r="137" spans="1:15">
      <c r="A137" s="210"/>
      <c r="B137" s="122" t="s">
        <v>9</v>
      </c>
      <c r="C137" s="116">
        <f>HLOOKUP(C$117,$86:$115,19,FALSE)</f>
        <v>16.664884000000001</v>
      </c>
      <c r="D137" s="116">
        <f t="shared" ref="D137:O137" si="24">HLOOKUP(D$117,$86:$115,19,FALSE)</f>
        <v>18.703745999999999</v>
      </c>
      <c r="E137" s="116">
        <f t="shared" si="24"/>
        <v>16.706254000000001</v>
      </c>
      <c r="F137" s="116">
        <f t="shared" si="24"/>
        <v>17.105090000000001</v>
      </c>
      <c r="G137" s="116">
        <f t="shared" si="24"/>
        <v>21.870190999999998</v>
      </c>
      <c r="H137" s="116">
        <f t="shared" si="24"/>
        <v>12.226845000000001</v>
      </c>
      <c r="I137" s="116">
        <f t="shared" si="24"/>
        <v>5.7932370000000004</v>
      </c>
      <c r="J137" s="116">
        <f t="shared" si="24"/>
        <v>9.4236719999999998</v>
      </c>
      <c r="K137" s="116">
        <f t="shared" si="24"/>
        <v>8.6874149999999997</v>
      </c>
      <c r="L137" s="116">
        <f t="shared" si="24"/>
        <v>15.04932</v>
      </c>
      <c r="M137" s="116">
        <f t="shared" si="24"/>
        <v>17.289342999999999</v>
      </c>
      <c r="N137" s="116">
        <f t="shared" si="24"/>
        <v>21.610752000000002</v>
      </c>
      <c r="O137" s="134">
        <f t="shared" si="24"/>
        <v>32.544134999999997</v>
      </c>
    </row>
    <row r="138" spans="1:15">
      <c r="A138" s="210"/>
      <c r="B138" s="122" t="s">
        <v>8</v>
      </c>
      <c r="C138" s="116">
        <f>HLOOKUP(C$117,$86:$115,20,FALSE)</f>
        <v>170.575942</v>
      </c>
      <c r="D138" s="116">
        <f t="shared" ref="D138:O138" si="25">HLOOKUP(D$117,$86:$115,20,FALSE)</f>
        <v>184.81552300000001</v>
      </c>
      <c r="E138" s="116">
        <f t="shared" si="25"/>
        <v>169.18809899999999</v>
      </c>
      <c r="F138" s="116">
        <f t="shared" si="25"/>
        <v>146.91851800000001</v>
      </c>
      <c r="G138" s="116">
        <f t="shared" si="25"/>
        <v>128.34914699999999</v>
      </c>
      <c r="H138" s="116">
        <f t="shared" si="25"/>
        <v>114.048723</v>
      </c>
      <c r="I138" s="116">
        <f t="shared" si="25"/>
        <v>98.923323999999994</v>
      </c>
      <c r="J138" s="116">
        <f t="shared" si="25"/>
        <v>116.06684199999999</v>
      </c>
      <c r="K138" s="116">
        <f t="shared" si="25"/>
        <v>83.295309000000003</v>
      </c>
      <c r="L138" s="116">
        <f t="shared" si="25"/>
        <v>114.33213000000001</v>
      </c>
      <c r="M138" s="116">
        <f t="shared" si="25"/>
        <v>127.712586</v>
      </c>
      <c r="N138" s="116">
        <f t="shared" si="25"/>
        <v>98.396693999999997</v>
      </c>
      <c r="O138" s="134">
        <f t="shared" si="25"/>
        <v>128.21449999999999</v>
      </c>
    </row>
    <row r="139" spans="1:15" ht="14.25">
      <c r="A139" s="210"/>
      <c r="B139" s="122" t="s">
        <v>74</v>
      </c>
      <c r="C139" s="116">
        <f>HLOOKUP(C$117,$86:$115,21,FALSE)</f>
        <v>305.83225499999998</v>
      </c>
      <c r="D139" s="116">
        <f t="shared" ref="D139:O139" si="26">HLOOKUP(D$117,$86:$115,21,FALSE)</f>
        <v>233.08126999999999</v>
      </c>
      <c r="E139" s="116">
        <f t="shared" si="26"/>
        <v>301.90038800000002</v>
      </c>
      <c r="F139" s="116">
        <f t="shared" si="26"/>
        <v>336.41169600000001</v>
      </c>
      <c r="G139" s="116">
        <f t="shared" si="26"/>
        <v>279.07848200000001</v>
      </c>
      <c r="H139" s="116">
        <f t="shared" si="26"/>
        <v>300.75480199999998</v>
      </c>
      <c r="I139" s="116">
        <f t="shared" si="26"/>
        <v>246.048203</v>
      </c>
      <c r="J139" s="116">
        <f t="shared" si="26"/>
        <v>229.928777</v>
      </c>
      <c r="K139" s="116">
        <f t="shared" si="26"/>
        <v>258.95318400000002</v>
      </c>
      <c r="L139" s="116">
        <f t="shared" si="26"/>
        <v>229.38776100000001</v>
      </c>
      <c r="M139" s="116">
        <f t="shared" si="26"/>
        <v>217.204814</v>
      </c>
      <c r="N139" s="116">
        <f t="shared" si="26"/>
        <v>297.07835399999999</v>
      </c>
      <c r="O139" s="134">
        <f t="shared" si="26"/>
        <v>252.83072899999999</v>
      </c>
    </row>
    <row r="140" spans="1:15">
      <c r="A140" s="210"/>
      <c r="B140" s="122" t="s">
        <v>6</v>
      </c>
      <c r="C140" s="116">
        <f>HLOOKUP(C$117,$86:$115,22,FALSE)</f>
        <v>1.582837</v>
      </c>
      <c r="D140" s="116">
        <f t="shared" ref="D140:O140" si="27">HLOOKUP(D$117,$86:$115,22,FALSE)</f>
        <v>2.0965220000000002</v>
      </c>
      <c r="E140" s="116">
        <f t="shared" si="27"/>
        <v>1.15967</v>
      </c>
      <c r="F140" s="116">
        <f t="shared" si="27"/>
        <v>0.82455000000000001</v>
      </c>
      <c r="G140" s="116">
        <f t="shared" si="27"/>
        <v>1.3385149999999999</v>
      </c>
      <c r="H140" s="116">
        <f t="shared" si="27"/>
        <v>1.8236140000000001</v>
      </c>
      <c r="I140" s="116">
        <f t="shared" si="27"/>
        <v>0.99112500000000003</v>
      </c>
      <c r="J140" s="116">
        <f t="shared" si="27"/>
        <v>1.4427080000000001</v>
      </c>
      <c r="K140" s="116">
        <f t="shared" si="27"/>
        <v>0.74262799999999995</v>
      </c>
      <c r="L140" s="116">
        <f t="shared" si="27"/>
        <v>3.6524220000000001</v>
      </c>
      <c r="M140" s="116">
        <f t="shared" si="27"/>
        <v>3.5757409999999998</v>
      </c>
      <c r="N140" s="116">
        <f t="shared" si="27"/>
        <v>1.9118980000000001</v>
      </c>
      <c r="O140" s="134">
        <f t="shared" si="27"/>
        <v>1.456723</v>
      </c>
    </row>
    <row r="141" spans="1:15">
      <c r="A141" s="210"/>
      <c r="B141" s="122" t="s">
        <v>5</v>
      </c>
      <c r="C141" s="116">
        <f>HLOOKUP(C$117,$86:$115,23,FALSE)</f>
        <v>89.263401000000002</v>
      </c>
      <c r="D141" s="116">
        <f t="shared" ref="D141:O141" si="28">HLOOKUP(D$117,$86:$115,23,FALSE)</f>
        <v>125.116103</v>
      </c>
      <c r="E141" s="116">
        <f t="shared" si="28"/>
        <v>68.726336000000003</v>
      </c>
      <c r="F141" s="116">
        <f t="shared" si="28"/>
        <v>60.203617000000001</v>
      </c>
      <c r="G141" s="116">
        <f t="shared" si="28"/>
        <v>93.155392000000006</v>
      </c>
      <c r="H141" s="116">
        <f t="shared" si="28"/>
        <v>97.166026000000002</v>
      </c>
      <c r="I141" s="116">
        <f t="shared" si="28"/>
        <v>54.728521000000001</v>
      </c>
      <c r="J141" s="116">
        <f t="shared" si="28"/>
        <v>69.748904999999993</v>
      </c>
      <c r="K141" s="116">
        <f t="shared" si="28"/>
        <v>103.362193</v>
      </c>
      <c r="L141" s="116">
        <f t="shared" si="28"/>
        <v>148.25553600000001</v>
      </c>
      <c r="M141" s="116">
        <f t="shared" si="28"/>
        <v>166.40459999999999</v>
      </c>
      <c r="N141" s="116">
        <f t="shared" si="28"/>
        <v>92.424858</v>
      </c>
      <c r="O141" s="134">
        <f t="shared" si="28"/>
        <v>98.269994999999994</v>
      </c>
    </row>
    <row r="142" spans="1:15">
      <c r="A142" s="210"/>
      <c r="B142" s="122" t="s">
        <v>4</v>
      </c>
      <c r="C142" s="116">
        <f>HLOOKUP(C$117,$86:$115,24,FALSE)</f>
        <v>20.851227999999999</v>
      </c>
      <c r="D142" s="116">
        <f t="shared" ref="D142:O142" si="29">HLOOKUP(D$117,$86:$115,24,FALSE)</f>
        <v>18.324159999999999</v>
      </c>
      <c r="E142" s="116">
        <f t="shared" si="29"/>
        <v>17.279291000000001</v>
      </c>
      <c r="F142" s="116">
        <f t="shared" si="29"/>
        <v>18.499157</v>
      </c>
      <c r="G142" s="116">
        <f t="shared" si="29"/>
        <v>20.258158000000002</v>
      </c>
      <c r="H142" s="116">
        <f t="shared" si="29"/>
        <v>21.187342999999998</v>
      </c>
      <c r="I142" s="116">
        <f t="shared" si="29"/>
        <v>22.608267999999999</v>
      </c>
      <c r="J142" s="116">
        <f t="shared" si="29"/>
        <v>25.982507999999999</v>
      </c>
      <c r="K142" s="116">
        <f t="shared" si="29"/>
        <v>23.718388000000001</v>
      </c>
      <c r="L142" s="116">
        <f t="shared" si="29"/>
        <v>26.993926999999999</v>
      </c>
      <c r="M142" s="116">
        <f t="shared" si="29"/>
        <v>26.574038999999999</v>
      </c>
      <c r="N142" s="116">
        <f t="shared" si="29"/>
        <v>20.864343000000002</v>
      </c>
      <c r="O142" s="134">
        <f t="shared" si="29"/>
        <v>19.857990999999998</v>
      </c>
    </row>
    <row r="143" spans="1:15">
      <c r="A143" s="210"/>
      <c r="B143" s="122" t="s">
        <v>22</v>
      </c>
      <c r="C143" s="116">
        <f>HLOOKUP(C$117,$86:$115,25,FALSE)</f>
        <v>0.57730000000000004</v>
      </c>
      <c r="D143" s="116">
        <f t="shared" ref="D143:O143" si="30">HLOOKUP(D$117,$86:$115,25,FALSE)</f>
        <v>0.87303399999999998</v>
      </c>
      <c r="E143" s="116">
        <f t="shared" si="30"/>
        <v>0.90510599999999997</v>
      </c>
      <c r="F143" s="116">
        <f t="shared" si="30"/>
        <v>0.87627999999999995</v>
      </c>
      <c r="G143" s="116">
        <f t="shared" si="30"/>
        <v>0.84570599999999996</v>
      </c>
      <c r="H143" s="116">
        <f t="shared" si="30"/>
        <v>0.82168300000000005</v>
      </c>
      <c r="I143" s="116">
        <f t="shared" si="30"/>
        <v>0.83979599999999999</v>
      </c>
      <c r="J143" s="116">
        <f t="shared" si="30"/>
        <v>0.70590200000000003</v>
      </c>
      <c r="K143" s="116">
        <f t="shared" si="30"/>
        <v>0.78505800000000003</v>
      </c>
      <c r="L143" s="116">
        <f t="shared" si="30"/>
        <v>0.69386000000000003</v>
      </c>
      <c r="M143" s="116">
        <f t="shared" si="30"/>
        <v>0.69097799999999998</v>
      </c>
      <c r="N143" s="116">
        <f t="shared" si="30"/>
        <v>0.64958000000000005</v>
      </c>
      <c r="O143" s="134">
        <f t="shared" si="30"/>
        <v>0.78250799999999998</v>
      </c>
    </row>
    <row r="144" spans="1:15">
      <c r="A144" s="210"/>
      <c r="B144" s="127" t="s">
        <v>1</v>
      </c>
      <c r="C144" s="128">
        <f>HLOOKUP(C$117,$86:$115,26,FALSE)</f>
        <v>773.78035799999998</v>
      </c>
      <c r="D144" s="128">
        <f t="shared" ref="D144:O144" si="31">HLOOKUP(D$117,$86:$115,26,FALSE)</f>
        <v>734.42427499999997</v>
      </c>
      <c r="E144" s="128">
        <f t="shared" si="31"/>
        <v>747.51831800000002</v>
      </c>
      <c r="F144" s="128">
        <f t="shared" si="31"/>
        <v>756.966812</v>
      </c>
      <c r="G144" s="128">
        <f t="shared" si="31"/>
        <v>705.86513500000001</v>
      </c>
      <c r="H144" s="128">
        <f t="shared" si="31"/>
        <v>682.19336899999996</v>
      </c>
      <c r="I144" s="128">
        <f t="shared" si="31"/>
        <v>548.44070199999999</v>
      </c>
      <c r="J144" s="128">
        <f t="shared" si="31"/>
        <v>581.05423900000005</v>
      </c>
      <c r="K144" s="128">
        <f t="shared" si="31"/>
        <v>602.66584799999998</v>
      </c>
      <c r="L144" s="128">
        <f t="shared" si="31"/>
        <v>679.16076499999997</v>
      </c>
      <c r="M144" s="128">
        <f t="shared" si="31"/>
        <v>712.40498500000001</v>
      </c>
      <c r="N144" s="128">
        <f t="shared" si="31"/>
        <v>684.38376500000004</v>
      </c>
      <c r="O144" s="136">
        <f t="shared" si="31"/>
        <v>674.53157899999997</v>
      </c>
    </row>
    <row r="145" spans="1:26">
      <c r="A145" s="210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1"/>
      <c r="B146" s="137" t="s">
        <v>75</v>
      </c>
      <c r="C146" s="141">
        <f>SUM(C136:C138)</f>
        <v>355.37539000000004</v>
      </c>
      <c r="D146" s="141">
        <f t="shared" ref="D146:O146" si="32">SUM(D136:D138)</f>
        <v>354.636663</v>
      </c>
      <c r="E146" s="141">
        <f t="shared" si="32"/>
        <v>357.24838199999999</v>
      </c>
      <c r="F146" s="141">
        <f t="shared" si="32"/>
        <v>339.84719799999999</v>
      </c>
      <c r="G146" s="141">
        <f t="shared" si="32"/>
        <v>310.92119200000002</v>
      </c>
      <c r="H146" s="141">
        <f t="shared" si="32"/>
        <v>260.14058899999998</v>
      </c>
      <c r="I146" s="141">
        <f t="shared" si="32"/>
        <v>222.93640199999999</v>
      </c>
      <c r="J146" s="141">
        <f t="shared" si="32"/>
        <v>252.956976</v>
      </c>
      <c r="K146" s="141">
        <f t="shared" si="32"/>
        <v>214.832064</v>
      </c>
      <c r="L146" s="141">
        <f t="shared" si="32"/>
        <v>269.88695799999999</v>
      </c>
      <c r="M146" s="141">
        <f t="shared" si="32"/>
        <v>297.66067400000003</v>
      </c>
      <c r="N146" s="141">
        <f t="shared" si="32"/>
        <v>271.16308099999998</v>
      </c>
      <c r="O146" s="142">
        <f t="shared" si="32"/>
        <v>301.03426400000001</v>
      </c>
    </row>
    <row r="149" spans="1:26" ht="15">
      <c r="A149" s="174"/>
      <c r="B149" s="174" t="s">
        <v>68</v>
      </c>
      <c r="C149" s="208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99</v>
      </c>
      <c r="D150" s="190" t="s">
        <v>100</v>
      </c>
      <c r="E150" s="190" t="s">
        <v>101</v>
      </c>
      <c r="F150" s="190" t="s">
        <v>102</v>
      </c>
      <c r="G150" s="190" t="s">
        <v>103</v>
      </c>
      <c r="H150" s="190" t="s">
        <v>104</v>
      </c>
      <c r="I150" s="190" t="s">
        <v>105</v>
      </c>
      <c r="J150" s="190" t="s">
        <v>106</v>
      </c>
      <c r="K150" s="190" t="s">
        <v>107</v>
      </c>
      <c r="L150" s="190" t="s">
        <v>108</v>
      </c>
      <c r="M150" s="190" t="s">
        <v>109</v>
      </c>
      <c r="N150" s="190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127</v>
      </c>
      <c r="B152" s="176" t="s">
        <v>128</v>
      </c>
      <c r="C152" s="186">
        <v>-0.24970000000000001</v>
      </c>
      <c r="D152" s="186">
        <v>-2.5600000000000002E-3</v>
      </c>
      <c r="E152" s="186">
        <v>-1.7690000000000001E-2</v>
      </c>
      <c r="F152" s="186">
        <v>-0.22944999999999999</v>
      </c>
      <c r="G152" s="186">
        <v>-0.216</v>
      </c>
      <c r="H152" s="186">
        <v>2.9999999999999997E-4</v>
      </c>
      <c r="I152" s="186">
        <v>-9.6600000000000002E-3</v>
      </c>
      <c r="J152" s="186">
        <v>-0.20663999999999999</v>
      </c>
      <c r="K152" s="186">
        <v>-0.18442</v>
      </c>
      <c r="L152" s="186">
        <v>4.0999999999999999E-4</v>
      </c>
      <c r="M152" s="186">
        <v>-6.9499999999999996E-3</v>
      </c>
      <c r="N152" s="186">
        <v>-0.17788000000000001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08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99</v>
      </c>
      <c r="D156" s="190" t="s">
        <v>100</v>
      </c>
      <c r="E156" s="190" t="s">
        <v>101</v>
      </c>
      <c r="F156" s="190" t="s">
        <v>102</v>
      </c>
      <c r="G156" s="190" t="s">
        <v>103</v>
      </c>
      <c r="H156" s="190" t="s">
        <v>104</v>
      </c>
      <c r="I156" s="190" t="s">
        <v>105</v>
      </c>
      <c r="J156" s="190" t="s">
        <v>106</v>
      </c>
      <c r="K156" s="190" t="s">
        <v>107</v>
      </c>
      <c r="L156" s="190" t="s">
        <v>108</v>
      </c>
      <c r="M156" s="190" t="s">
        <v>109</v>
      </c>
      <c r="N156" s="190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127</v>
      </c>
      <c r="B158" s="176" t="s">
        <v>128</v>
      </c>
      <c r="C158" s="186">
        <v>-0.12826000000000001</v>
      </c>
      <c r="D158" s="186">
        <v>-4.8300000000000001E-3</v>
      </c>
      <c r="E158" s="186">
        <v>-6.0999999999999997E-4</v>
      </c>
      <c r="F158" s="186">
        <v>-0.12282</v>
      </c>
      <c r="G158" s="186">
        <v>-0.10353</v>
      </c>
      <c r="H158" s="186">
        <v>-6.6E-4</v>
      </c>
      <c r="I158" s="186">
        <v>1.2899999999999999E-3</v>
      </c>
      <c r="J158" s="186">
        <v>-0.10416</v>
      </c>
      <c r="K158" s="186">
        <v>-8.4269999999999998E-2</v>
      </c>
      <c r="L158" s="186">
        <v>-1.1E-4</v>
      </c>
      <c r="M158" s="186">
        <v>1.17E-3</v>
      </c>
      <c r="N158" s="186">
        <v>-8.5330000000000003E-2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Y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C2" sqref="C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Octubre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Octubre 2020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367.96583399999997</v>
      </c>
      <c r="G9" s="164">
        <f>Dat_01!T24*100</f>
        <v>-24.97031424</v>
      </c>
      <c r="H9" s="83">
        <f>Dat_01!U24/1000</f>
        <v>4140.0563480000001</v>
      </c>
      <c r="I9" s="164">
        <f>Dat_01!W24*100</f>
        <v>-21.600410870000001</v>
      </c>
      <c r="J9" s="83">
        <f>Dat_01!X24/1000</f>
        <v>4974.5703290000001</v>
      </c>
      <c r="K9" s="164">
        <f>Dat_01!Y24*100</f>
        <v>-18.44178037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-0.25600000000000001</v>
      </c>
      <c r="H12" s="103"/>
      <c r="I12" s="103">
        <f>Dat_01!H152*100</f>
        <v>0.03</v>
      </c>
      <c r="J12" s="103"/>
      <c r="K12" s="103">
        <f>Dat_01!L152*100</f>
        <v>4.1000000000000002E-2</v>
      </c>
    </row>
    <row r="13" spans="3:12">
      <c r="E13" s="85" t="s">
        <v>42</v>
      </c>
      <c r="F13" s="84"/>
      <c r="G13" s="103">
        <f>Dat_01!E152*100</f>
        <v>-1.7690000000000001</v>
      </c>
      <c r="H13" s="103"/>
      <c r="I13" s="103">
        <f>Dat_01!I152*100</f>
        <v>-0.96599999999999997</v>
      </c>
      <c r="J13" s="103"/>
      <c r="K13" s="103">
        <f>Dat_01!M152*100</f>
        <v>-0.69499999999999995</v>
      </c>
    </row>
    <row r="14" spans="3:12">
      <c r="E14" s="86" t="s">
        <v>43</v>
      </c>
      <c r="F14" s="87"/>
      <c r="G14" s="104">
        <f>Dat_01!F152*100</f>
        <v>-22.945</v>
      </c>
      <c r="H14" s="104"/>
      <c r="I14" s="104">
        <f>Dat_01!J152*100</f>
        <v>-20.663999999999998</v>
      </c>
      <c r="J14" s="104"/>
      <c r="K14" s="104">
        <f>Dat_01!N152*100</f>
        <v>-17.788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Octubre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Octubre 2020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674.53157900000008</v>
      </c>
      <c r="G9" s="164">
        <f>Dat_01!AB24*100</f>
        <v>-12.826479499999998</v>
      </c>
      <c r="H9" s="83">
        <f>Dat_01!AC24/1000</f>
        <v>6627.6671990000004</v>
      </c>
      <c r="I9" s="164">
        <f>Dat_01!AE24*100</f>
        <v>-10.352558670000001</v>
      </c>
      <c r="J9" s="83">
        <f>Dat_01!AF24/1000</f>
        <v>8109.6097920000002</v>
      </c>
      <c r="K9" s="164">
        <f>Dat_01!AG24*100</f>
        <v>-8.426518230000001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-0.48299999999999998</v>
      </c>
      <c r="H12" s="103"/>
      <c r="I12" s="103">
        <f>Dat_01!H158*100</f>
        <v>-6.6000000000000003E-2</v>
      </c>
      <c r="J12" s="103"/>
      <c r="K12" s="103">
        <f>Dat_01!L158*100</f>
        <v>-1.1000000000000001E-2</v>
      </c>
    </row>
    <row r="13" spans="3:12">
      <c r="E13" s="85" t="s">
        <v>42</v>
      </c>
      <c r="F13" s="84"/>
      <c r="G13" s="103">
        <f>Dat_01!E158*100</f>
        <v>-6.0999999999999999E-2</v>
      </c>
      <c r="H13" s="103"/>
      <c r="I13" s="103">
        <f>Dat_01!I158*100</f>
        <v>0.129</v>
      </c>
      <c r="J13" s="103"/>
      <c r="K13" s="103">
        <f>Dat_01!M158*100</f>
        <v>0.11700000000000001</v>
      </c>
    </row>
    <row r="14" spans="3:12">
      <c r="E14" s="86" t="s">
        <v>43</v>
      </c>
      <c r="F14" s="87"/>
      <c r="G14" s="104">
        <f>Dat_01!F158*100</f>
        <v>-12.282</v>
      </c>
      <c r="H14" s="104"/>
      <c r="I14" s="104">
        <f>Dat_01!J158*100</f>
        <v>-10.416</v>
      </c>
      <c r="J14" s="104"/>
      <c r="K14" s="104">
        <f>Dat_01!N158*100</f>
        <v>-8.5329999999999995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134</v>
      </c>
    </row>
    <row r="2" spans="1:2">
      <c r="A2" t="s">
        <v>129</v>
      </c>
    </row>
    <row r="3" spans="1:2">
      <c r="A3" t="s">
        <v>130</v>
      </c>
    </row>
    <row r="4" spans="1:2">
      <c r="A4" t="s">
        <v>132</v>
      </c>
    </row>
    <row r="5" spans="1:2">
      <c r="A5" t="s">
        <v>133</v>
      </c>
    </row>
    <row r="6" spans="1:2">
      <c r="A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P23" sqref="P23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Octubre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0.29936900000000005</v>
      </c>
      <c r="I9" s="17">
        <f>Dat_01!AB8*100</f>
        <v>0.47726608999999998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1.456723</v>
      </c>
      <c r="I10" s="17">
        <f>Dat_01!AB15*100</f>
        <v>-7.9675923700000002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0.32789299999999999</v>
      </c>
      <c r="G11" s="17">
        <f>Dat_01!T16*100</f>
        <v>-18.458309400000001</v>
      </c>
      <c r="H11" s="153">
        <f>Dat_01!Z16/1000</f>
        <v>98.269994999999994</v>
      </c>
      <c r="I11" s="17">
        <f>Dat_01!AB16*100</f>
        <v>10.089906839999999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9.629290000000001</v>
      </c>
      <c r="G12" s="17">
        <f>Dat_01!T17*100</f>
        <v>5.4190365300000005</v>
      </c>
      <c r="H12" s="153">
        <f>Dat_01!Z17/1000</f>
        <v>19.857991000000002</v>
      </c>
      <c r="I12" s="17">
        <f>Dat_01!AB17*100</f>
        <v>-4.7634460699999996</v>
      </c>
      <c r="J12" s="153" t="s">
        <v>3</v>
      </c>
      <c r="K12" s="17" t="s">
        <v>3</v>
      </c>
      <c r="L12" s="153">
        <f>Dat_01!J17/1000</f>
        <v>6.2950000000000002E-3</v>
      </c>
      <c r="M12" s="17">
        <f>IF(Dat_01!L17="-","-",Dat_01!L17*100)</f>
        <v>-4.3603767900000001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53">
        <f>Dat_01!R18/1000</f>
        <v>2.7317000000000001E-2</v>
      </c>
      <c r="G13" s="17">
        <f>Dat_01!T18*100</f>
        <v>-72.525295190000008</v>
      </c>
      <c r="H13" s="153">
        <f>Dat_01!Z18/1000</f>
        <v>0.78250800000000009</v>
      </c>
      <c r="I13" s="17">
        <f>Dat_01!AB18*100</f>
        <v>35.54616317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6.2382179999999998</v>
      </c>
      <c r="G14" s="17">
        <f>Dat_01!T21*100</f>
        <v>-58.285278599999998</v>
      </c>
      <c r="H14" s="153" t="s">
        <v>3</v>
      </c>
      <c r="I14" s="17" t="s">
        <v>3</v>
      </c>
      <c r="J14" s="153" t="s">
        <v>3</v>
      </c>
      <c r="K14" s="17" t="s">
        <v>3</v>
      </c>
      <c r="L14" s="153">
        <f>Dat_01!J21/1000</f>
        <v>0.57614449999999995</v>
      </c>
      <c r="M14" s="17">
        <f>Dat_01!L21*100</f>
        <v>84.749040010000002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16.222718</v>
      </c>
      <c r="G15" s="173">
        <f>((SUM(Dat_01!R8,Dat_01!R15:R18,Dat_01!R20)/SUM(Dat_01!S8,Dat_01!S15:S18,Dat_01!S20))-1)*100</f>
        <v>-34.028026803069402</v>
      </c>
      <c r="H15" s="172">
        <f>SUM(H9:H14)</f>
        <v>120.666586</v>
      </c>
      <c r="I15" s="173">
        <f>((SUM(Dat_01!Z8,Dat_01!Z15:Z18,Dat_01!Z20)/SUM(Dat_01!AA8,Dat_01!AA15:AA18,Dat_01!AA20))-1)*100</f>
        <v>7.1899066694786073</v>
      </c>
      <c r="J15" s="172" t="s">
        <v>3</v>
      </c>
      <c r="K15" s="173" t="s">
        <v>3</v>
      </c>
      <c r="L15" s="172">
        <f>SUM(L9:L14)</f>
        <v>0.5824395</v>
      </c>
      <c r="M15" s="173">
        <f>((SUM(Dat_01!J8,Dat_01!J15:J18,Dat_01!J21)/SUM(Dat_01!K8,Dat_01!K15:K18,Dat_01!K20))-1)*100</f>
        <v>82.907159871182273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69.531804000000008</v>
      </c>
      <c r="G16" s="17">
        <f>IF(Dat_01!T9="-","-",Dat_01!T9*100)</f>
        <v>-63.569076560000006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17.623545000000004</v>
      </c>
      <c r="G17" s="24">
        <f>((SUM(Dat_01!R10,Dat_01!R14)/SUM(Dat_01!S10,Dat_01!S14))-1)*100</f>
        <v>-58.588111882377049</v>
      </c>
      <c r="H17" s="154">
        <f>Dat_01!Z10/1000</f>
        <v>140.27562899999998</v>
      </c>
      <c r="I17" s="24">
        <f>Dat_01!AB10*100</f>
        <v>-16.569427689999998</v>
      </c>
      <c r="J17" s="154">
        <f>Dat_01!B10/1000</f>
        <v>15.993171</v>
      </c>
      <c r="K17" s="24">
        <f>Dat_01!D10*100</f>
        <v>-9.0923399499999995</v>
      </c>
      <c r="L17" s="154">
        <f>Dat_01!J10/1000</f>
        <v>15.391598999999999</v>
      </c>
      <c r="M17" s="24">
        <f>Dat_01!L10*100</f>
        <v>-8.7918540600000004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8.9368049999999997</v>
      </c>
      <c r="G18" s="24">
        <f>Dat_01!T11*100</f>
        <v>-68.009733530000005</v>
      </c>
      <c r="H18" s="154">
        <f>Dat_01!Z11/1000</f>
        <v>32.544134999999997</v>
      </c>
      <c r="I18" s="24">
        <f>Dat_01!AB11*100</f>
        <v>95.285697760000005</v>
      </c>
      <c r="J18" s="24">
        <f>Dat_01!B11/1000</f>
        <v>0.10259699999999999</v>
      </c>
      <c r="K18" s="24">
        <f>Dat_01!D11*100</f>
        <v>34.312121169999998</v>
      </c>
      <c r="L18" s="154">
        <f>Dat_01!J11/1000</f>
        <v>1.299E-3</v>
      </c>
      <c r="M18" s="24">
        <f>Dat_01!L11*100</f>
        <v>-17.940619080000001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128.21449999999999</v>
      </c>
      <c r="I19" s="24">
        <f>Dat_01!AB12*100</f>
        <v>-24.834359110000001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26.560350000000003</v>
      </c>
      <c r="G20" s="17">
        <f>((SUM(Dat_01!R10:R12,Dat_01!R14)/SUM(Dat_01!S10:S12,Dat_01!S14))-1)*100</f>
        <v>-62.321865703564214</v>
      </c>
      <c r="H20" s="153">
        <f>SUM(H17:H19)</f>
        <v>301.03426399999995</v>
      </c>
      <c r="I20" s="17">
        <f>(H20/(H17/(I17/100+1)+H18/(I18/100+1)+H19/(I19/100+1))-1)*100</f>
        <v>-15.291189970774365</v>
      </c>
      <c r="J20" s="153">
        <f>SUM(J17:J19)</f>
        <v>16.095768</v>
      </c>
      <c r="K20" s="17">
        <f>(J20/(J17/(K17/100+1)+J18/(K18/100+1))-1)*100</f>
        <v>-8.9046944664165188</v>
      </c>
      <c r="L20" s="153">
        <f>SUM(L17:L19)</f>
        <v>15.392897999999999</v>
      </c>
      <c r="M20" s="17">
        <f>(L20/(L17/(M17/100+1)+L18/(M18/100+1))-1)*100</f>
        <v>-8.7927121889190385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141.13588200000001</v>
      </c>
      <c r="G21" s="17">
        <f>Dat_01!T13*100</f>
        <v>187.71106247</v>
      </c>
      <c r="H21" s="153">
        <f>Dat_01!Z13/1000</f>
        <v>252.83072899999999</v>
      </c>
      <c r="I21" s="17">
        <f>Dat_01!AB13*100</f>
        <v>-17.330260339999999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2.3333560000000002</v>
      </c>
      <c r="G22" s="17">
        <f>Dat_01!T19*100</f>
        <v>-16.95843039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6.2382179999999998</v>
      </c>
      <c r="G23" s="17">
        <f>Dat_01!T20*100</f>
        <v>-58.285278599999998</v>
      </c>
      <c r="H23" s="153" t="s">
        <v>3</v>
      </c>
      <c r="I23" s="17" t="s">
        <v>3</v>
      </c>
      <c r="J23" s="153" t="s">
        <v>3</v>
      </c>
      <c r="K23" s="17" t="s">
        <v>3</v>
      </c>
      <c r="L23" s="153">
        <f>Dat_01!J20/1000</f>
        <v>0.57614449999999995</v>
      </c>
      <c r="M23" s="17">
        <f>Dat_01!L20*100</f>
        <v>84.749040010000002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245.79961000000003</v>
      </c>
      <c r="G24" s="173">
        <f>((SUM(Dat_01!R9:R14,Dat_01!R19,Dat_01!R21)/SUM(Dat_01!S9:S14,Dat_01!S19,Dat_01!S21))-1)*100</f>
        <v>-25.100167562587515</v>
      </c>
      <c r="H24" s="155">
        <f>SUM(H16,H20:H23)</f>
        <v>553.86499299999991</v>
      </c>
      <c r="I24" s="173">
        <f>((SUM(Dat_01!Z9:Z14,Dat_01!Z19,Dat_01!Z21)/SUM(Dat_01!AA9:AA14,Dat_01!AA19,Dat_01!AA21))-1)*100</f>
        <v>-16.234333164735261</v>
      </c>
      <c r="J24" s="155">
        <f>SUM(J16,J20:J23)</f>
        <v>16.095768</v>
      </c>
      <c r="K24" s="173">
        <f>((SUM(Dat_01!B9:B14,Dat_01!B19,Dat_01!B21)/SUM(Dat_01!C9:C14,Dat_01!C19,Dat_01!C21))-1)*100</f>
        <v>-8.9046944641146268</v>
      </c>
      <c r="L24" s="155">
        <f>SUM(L16,L20:L23)</f>
        <v>15.969042499999999</v>
      </c>
      <c r="M24" s="173">
        <f>((SUM(Dat_01!J9:J14,Dat_01!J19,Dat_01!J21)/SUM(Dat_01!K9:K14,Dat_01!K19,Dat_01!K21))-1)*100</f>
        <v>-7.0955936905340744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105.943506</v>
      </c>
      <c r="G25" s="14">
        <f>Dat_01!T23*100</f>
        <v>-23.042845060000001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367.96583399999997</v>
      </c>
      <c r="G26" s="11">
        <f>Dat_01!T24*100</f>
        <v>-24.97031424</v>
      </c>
      <c r="H26" s="157">
        <f>Dat_01!Z24/1000</f>
        <v>674.53157900000008</v>
      </c>
      <c r="I26" s="11">
        <f>Dat_01!AB24*100</f>
        <v>-12.826479499999998</v>
      </c>
      <c r="J26" s="157">
        <f>Dat_01!B24/1000</f>
        <v>16.095768</v>
      </c>
      <c r="K26" s="11">
        <f>Dat_01!D24*100</f>
        <v>-8.90469446</v>
      </c>
      <c r="L26" s="157">
        <f>Dat_01!J24/1000</f>
        <v>16.551482</v>
      </c>
      <c r="M26" s="11">
        <f>Dat_01!L24*100</f>
        <v>-5.4585461100000003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120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88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91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92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I34" sqref="I34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Octubre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Octubre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18" sqref="H18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Octubre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Octubre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2020-11-13T07:04:09Z</dcterms:modified>
</cp:coreProperties>
</file>