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OCT\INF_ELABORADA\"/>
    </mc:Choice>
  </mc:AlternateContent>
  <xr:revisionPtr revIDLastSave="0" documentId="13_ncr:1_{A4F90EEB-9FAE-43E6-A489-90AFB82E892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Dat_01!$A$85:$Y$112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22" l="1"/>
  <c r="B69" i="18" l="1"/>
  <c r="O119" i="18"/>
  <c r="B53" i="18" l="1"/>
  <c r="B52" i="18" l="1"/>
  <c r="L24" i="22" l="1"/>
  <c r="M24" i="22"/>
  <c r="B29" i="18" l="1"/>
  <c r="C47" i="18"/>
  <c r="B47" i="18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G55" i="18"/>
  <c r="G54" i="18"/>
  <c r="G53" i="18"/>
  <c r="G52" i="18"/>
  <c r="B62" i="18"/>
  <c r="B61" i="18"/>
  <c r="B60" i="18"/>
  <c r="B59" i="18"/>
  <c r="B58" i="18"/>
  <c r="B57" i="18"/>
  <c r="B55" i="18"/>
  <c r="B54" i="18"/>
  <c r="B78" i="18" l="1"/>
  <c r="B76" i="18"/>
  <c r="B75" i="18"/>
  <c r="B74" i="18"/>
  <c r="B73" i="18"/>
  <c r="B71" i="18"/>
  <c r="B70" i="18"/>
  <c r="F17" i="22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G16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M12" i="22"/>
  <c r="L12" i="22"/>
  <c r="L15" i="22" s="1"/>
  <c r="I12" i="22"/>
  <c r="H12" i="22"/>
  <c r="G12" i="22"/>
  <c r="F12" i="22"/>
  <c r="I11" i="22"/>
  <c r="H11" i="22"/>
  <c r="G11" i="22"/>
  <c r="F11" i="22"/>
  <c r="I10" i="22"/>
  <c r="H10" i="22"/>
  <c r="I9" i="22"/>
  <c r="H9" i="22"/>
  <c r="K20" i="22" l="1"/>
  <c r="L20" i="22"/>
  <c r="H15" i="22"/>
  <c r="F15" i="22"/>
  <c r="F24" i="22"/>
  <c r="H20" i="22"/>
  <c r="I20" i="22" s="1"/>
  <c r="J24" i="22"/>
  <c r="M20" i="22" l="1"/>
  <c r="H24" i="22"/>
  <c r="B77" i="18" l="1"/>
  <c r="B79" i="18"/>
  <c r="B68" i="18" l="1"/>
  <c r="B80" i="18" l="1"/>
  <c r="G77" i="18"/>
  <c r="G76" i="18"/>
  <c r="G75" i="18"/>
  <c r="G72" i="18"/>
  <c r="G73" i="18"/>
  <c r="G70" i="18"/>
  <c r="G69" i="18"/>
  <c r="G68" i="18"/>
  <c r="O117" i="18" l="1"/>
  <c r="O134" i="18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<sst xmlns="http://schemas.openxmlformats.org/spreadsheetml/2006/main" count="422" uniqueCount="133">
  <si>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</si>
  <si>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</si>
  <si>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</si>
  <si>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</si>
  <si>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</si>
  <si>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</si>
  <si>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</si>
  <si>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</si>
  <si>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</si>
  <si>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</si>
  <si>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</si>
  <si>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</si>
  <si>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</si>
  <si>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</si>
  <si>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</si>
  <si>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</si>
  <si>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</si>
  <si>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</si>
  <si>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</si>
  <si>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</si>
  <si>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</si>
  <si>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</si>
  <si>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</si>
  <si>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</si>
  <si>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</si>
  <si>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</si>
  <si>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</si>
  <si>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</si>
  <si>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</si>
  <si>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</si>
  <si>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</si>
  <si>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</si>
  <si>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</si>
  <si>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</si>
  <si>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</si>
  <si>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</si>
  <si>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</si>
  <si>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</si>
  <si>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</si>
  <si>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</si>
  <si>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</si>
  <si>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</si>
  <si>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</si>
  <si>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</si>
  <si>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</si>
  <si>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</si>
  <si>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</si>
  <si>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</si>
  <si>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</si>
  <si>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</si>
  <si>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</si>
  <si>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</si>
  <si>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</si>
  <si>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</si>
  <si>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</si>
  <si>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</si>
  <si>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</si>
  <si>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Febrero 2018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</si>
  <si>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</si>
  <si>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</si>
  <si>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</si>
  <si>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</si>
  <si>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</si>
  <si>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</si>
  <si>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</si>
  <si>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</si>
  <si>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</si>
  <si>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</si>
  <si>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</si>
  <si>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</si>
  <si>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</si>
  <si>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</si>
  <si>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</si>
  <si>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</si>
  <si>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Enero 2018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</si>
  <si>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</si>
  <si>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</si>
  <si>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</si>
  <si>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</si>
  <si>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</si>
  <si>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Abril 2018</t>
  </si>
  <si>
    <t>Marzo 2018</t>
  </si>
  <si>
    <t>Mayo 2018</t>
  </si>
  <si>
    <t>Agosto 2018</t>
  </si>
  <si>
    <t>Motores diesel</t>
  </si>
  <si>
    <t>Demanda transporte (b.c.)</t>
  </si>
  <si>
    <t>Junio 2018</t>
  </si>
  <si>
    <t>Julio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</si>
  <si>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</si>
  <si>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</si>
  <si>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</si>
  <si>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</si>
  <si>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</si>
  <si>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</si>
  <si>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</si>
  <si>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</si>
  <si>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</si>
  <si>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</si>
  <si>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</si>
  <si>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</si>
  <si>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</si>
  <si>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</si>
  <si>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</si>
  <si>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</si>
  <si>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</si>
  <si>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</si>
  <si>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</si>
  <si>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</si>
  <si>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</si>
  <si>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</si>
  <si>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</si>
  <si>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</si>
  <si>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</si>
  <si>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</si>
  <si>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</si>
  <si>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</si>
  <si>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</si>
  <si>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</si>
  <si>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</si>
  <si>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</si>
  <si>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</si>
  <si>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</si>
  <si>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</si>
  <si>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</si>
  <si>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</si>
  <si>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31/10/2019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</si>
  <si>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ut="11/11/2019 14:21:55" si="2.000000018bdd5f6e8a1513aba45e586cbf1f43391fce9185b4996022597adc54d6be9177a7f0a344d79b2f577362893dbe22b8973a105e82f02b39320372a2b6c30bf0114572e9cff0e7970a1a6b18cdfd59d0d9aeeb0bba3266a2c320936ac968d1616d30c3fd5a6656a47c0b01aa2592f2cffc93e4593922f5e2495e12e91922f1.3082.0.1.Europe/Madrid.upriv*_1*_pidn2*_1*_session*-lat*_1.000000010d2fc5d236591f98e142c055e66e684db5ee3e722d696cd81a2dcd5c1bc707086edebd63a2852c3e5a57fa05287b1bbf267163f4.00000001c195a42db559cdfd7af2d09c63f8da2bb5ee3e724ccab7ca5d8aeb8856befae51c26a06263a7605a3f3c57e97ddf58651856cba3.0.1.1.BDEbi.D066E1C611E6257C10D00080EF253B44.0-3082.1.1_-0.1.0_-3082.1.1_5.5.0.*0.00000001f98d04587e3e09949e21630147d3a9afc911585ad22fc8e2a06776851592d56ab1453d42.0.10*.25*.15*.214.23.10*.4*.0400*.0074J.e.000000010fa8478857fc392ff31fb589d56a39efc911585a7a504aa918015e4a0b142c5e6c8433fb.0" msgID="9C319D0D11EA048E16F30080EF152E62"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</si>
  <si>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ut="11/11/2019 16:29:23" si="2.0000000113f6f31ba5dd1264b77da3ec5fa5b56c4ace53f9806d3ab8bee979f70f94f713e6a2086ca658881ac3ceccf621f07a8e0b5b8d7b6cc75635727e3b342d37c38dc12550b68c99598d2e56fff27be28b055747f2616c2c032e1558e4a24d1f19c1d62475e1c2cb2106efdabf3dc80ee8f39d33203945fcf5730d2c00719747.3082.0.1.Europe/Madrid.upriv*_1*_pidn2*_39*_session*-lat*_1.00000001810d6aaef694c9e4088aa7b4e0e8d760b5ee3e72ba4143debce3c15357f99ef7324684e0b36cb6d172dce8ecd7ea149e9009371c.000000014dc1dd4f20b533703257ff04570ec501b5ee3e722edd0b845c013f749ba93f48849b00c95e63c261895b35d9a3bf3d28fea4d0c1.0.1.1.BDEbi.D066E1C611E6257C10D00080EF253B44.0-3082.1.1_-0.1.0_-3082.1.1_5.5.0.*0.0000000114f272d231ea2203a015a3cf04d34fbdc911585a1914a8f764cff76b08c2c58c2fe066b0.0.10*.25*.15*.214.23.10*.4*.0400*.0074J.e.00000001add393ec31240c6ebaf1c71427ad050dc911585a454f0b00720a175af647a632dee4f211.0" msgID="6399392111EA04A0742C0080EF55E245"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nrr="4" nrc="48"&gt;&lt;pg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</si>
  <si>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ut="11/11/2019 16:29:42" si="2.0000000113f6f31ba5dd1264b77da3ec5fa5b56c4ace53f9806d3ab8bee979f70f94f713e6a2086ca658881ac3ceccf621f07a8e0b5b8d7b6cc75635727e3b342d37c38dc12550b68c99598d2e56fff27be28b055747f2616c2c032e1558e4a24d1f19c1d62475e1c2cb2106efdabf3dc80ee8f39d33203945fcf5730d2c00719747.3082.0.1.Europe/Madrid.upriv*_1*_pidn2*_39*_session*-lat*_1.00000001810d6aaef694c9e4088aa7b4e0e8d760b5ee3e72ba4143debce3c15357f99ef7324684e0b36cb6d172dce8ecd7ea149e9009371c.000000014dc1dd4f20b533703257ff04570ec501b5ee3e722edd0b845c013f749ba93f48849b00c95e63c261895b35d9a3bf3d28fea4d0c1.0.1.1.BDEbi.D066E1C611E6257C10D00080EF253B44.0-3082.1.1_-0.1.0_-3082.1.1_5.5.0.*0.0000000114f272d231ea2203a015a3cf04d34fbdc911585a1914a8f764cff76b08c2c58c2fe066b0.0.10*.25*.15*.214.23.10*.4*.0400*.0074J.e.00000001add393ec31240c6ebaf1c71427ad050dc911585a454f0b00720a175af647a632dee4f211.0" msgID="71B823B911EA04A0742C0080EF258245"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nrr="6" nrc="72"&gt;&lt;pg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</si>
  <si>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16:39:35" si="2.00000001a83b50d7106a9bbcecc7bfc9d672c727984f8a5970279afbc2665d5671f3a59cb9392fba787b604a26a9b1470a05a6a092cc76bc92f680fb62aa5215641ca7712a1bfa3ecbc1b7581fe63a32fefb718dd8d19f81cb5716d8734f4ed99bd0199973804e87373a5c4d16273858653ae345fbe5f1d6ee57e78e39e4acb88f7e.3082.0.1.Europe/Madrid.upriv*_1*_pidn2*_1*_session*-lat*_1.00000001b343bb0923d516ac3146e2388bef9047b5ee3e721d78fe769ae51b9ad2b02e4d3903060973703516cfe81881bee53f2dff968a26.00000001645572519b5ad329af1f142e756026f7b5ee3e7292d378736e73fabaaa1f3e2fa61ed905bea8f976cbd6582fe3927a023e9b53b6.0.1.1.BDEbi.D066E1C611E6257C10D00080EF253B44.0-3082.1.1_-0.1.0_-3082.1.1_5.5.0.*0.00000001940a6e6ab862f1b7b56d16aecca42a5ec911585a79d9630ea100e1ce6d55f62c07f98e9f.0.10*.25*.15*.214.23.10*.4*.0400*.0074J.e.00000001f1968bdc81de01e9447e27fde88d747dc911585a349dc3dc54a003a3994973de5aad3422.0" msgID="AE82509211EA04A1742C0080EF650347"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nrr="493" nrc="928"&gt;&lt;pg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</si>
  <si>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Noviembre 2019</t>
  </si>
  <si>
    <t>b8ed2f2a0ff743bba81c612caddf55a3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</si>
  <si>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ut="11/13/2019 16:05:39" si="2.00000001d96a67aca3d395e7c5c4662e9dd782382b757047037fde2b28fddd2fba8d2301e5f5522b533eca71fc6d456ce6a52db4406823bb0795db8855697257f91310a5a0905362ef8bc5fe0816e6f8bfef2b3598f009521938d16a94554ba8f8ff237b3029c157f5420fe3241aa83d158791cc4d3a35f3a74dd9e45bb010ee56b4.3082.0.1.Europe/Madrid.upriv*_1*_pidn2*_8*_session*-lat*_1.000000014184370c5e2ccda12d4e15b0699df12abc6025e0d554f4dc87cb2408923efd0b1446d75d3e92e2e1d1c4d5ad620e24c615195584.000000010b753d1b78a2a378d4e3b0d3053f6ca5bc6025e02db500fc0b203a46cb1ee763647273cef56dccd7c80add1c6f4ab832e0e3e49e.0.1.1.BDEbi.D066E1C611E6257C10D00080EF253B44.0-3082.1.1_-0.1.0_-3082.1.1_5.5.0.*0.00000001ef990132c5580b8684f6027efb9179b1c911585aee472872dc9d680b46357e80a70f5bf0.0.10*.25*.15*.214.23.10*.4*.0400*.0074J.e.000000013777c773b7249cb63a900b3fc65b0d6ac911585adf7a3e7b6e31ed8d979a5203d7ab175f.0" msgID="5BE75D7A11EA062F16F30080EF55AE63"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cols="25" /&gt;&lt;esdo ews="" ece="" ptn="" /&gt;&lt;/excel&gt;&lt;pgs&gt;&lt;pg rows="25" cols="23" nrr="677" nrc="532"&gt;&lt;pg /&gt;&lt;bls&gt;&lt;bl sr="1" sc="1" rfetch="25" cfetch="23" posid="1" darows="0" dacols="1"&gt;&lt;excel&gt;&lt;epo ews="Dat_01" ece="A85" enr="MSTR.Serie_Balance_B.C._Mensual_Baleares_y_Canarias" ptn="" qtn="" rows="28" cols="25" /&gt;&lt;esdo ews="" ece="" ptn="" /&gt;&lt;/excel&gt;&lt;gridRng&gt;&lt;sect id="TITLE_AREA" rngprop="1:1:3:2" /&gt;&lt;sect id="ROWHEADERS_AREA" rngprop="4:1:25:2" /&gt;&lt;sect id="COLUMNHEADERS_AREA" rngprop="1:3:3:23" /&gt;&lt;sect id="DATA_AREA" rngprop="4:3:25:23"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</si>
</sst>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</numFmts>
  <fonts count="49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16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47" fillId="11" borderId="10" xfId="32" quotePrefix="1" applyAlignment="1">
      <alignment horizontal="center"/>
    </xf>
    <xf numFmtId="0" fontId="33" fillId="7" borderId="10" xfId="23" quotePrefix="1" applyAlignment="1">
      <alignment horizontal="center"/>
    </xf>
    <xf numFmtId="165" fontId="32" fillId="6" borderId="10" xfId="13" applyNumberFormat="1" applyAlignment="1">
      <alignment horizontal="right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7" fillId="11" borderId="10" xfId="32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8FA2D4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-9.7560975609756101E-2"/>
                  <c:y val="0.15607650146672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-0.16910569105691056"/>
                  <c:y val="0.166013007565230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-0.1996288329812432"/>
                  <c:y val="0.16127450980392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8130094104090647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3414634146341465"/>
                  <c:y val="1.90697853944727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2344497791434606"/>
                  <c:y val="-0.10345877721167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235772357723577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4.5528455284552849E-2"/>
                  <c:y val="-0.2193542535124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211382113821137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39</c:v>
                </c:pt>
                <c:pt idx="1">
                  <c:v>8.6999999999999993</c:v>
                </c:pt>
                <c:pt idx="2">
                  <c:v>5.7</c:v>
                </c:pt>
                <c:pt idx="3">
                  <c:v>10</c:v>
                </c:pt>
                <c:pt idx="5">
                  <c:v>0.6</c:v>
                </c:pt>
                <c:pt idx="6">
                  <c:v>3</c:v>
                </c:pt>
                <c:pt idx="7">
                  <c:v>3</c:v>
                </c:pt>
                <c:pt idx="8">
                  <c:v>0.1</c:v>
                </c:pt>
                <c:pt idx="9">
                  <c:v>1.8</c:v>
                </c:pt>
                <c:pt idx="10">
                  <c:v>0</c:v>
                </c:pt>
                <c:pt idx="11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4065040650406491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6585365853658537"/>
                  <c:y val="0.12254901960784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8943089430894309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17560975609756099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4.878048780487805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9.9186863837142245E-2"/>
                  <c:y val="-0.16257796819515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0.20857025798604442"/>
                  <c:y val="-0.13252161494519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32520325203252032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20.799999999999997</c:v>
                </c:pt>
                <c:pt idx="1">
                  <c:v>6.2</c:v>
                </c:pt>
                <c:pt idx="2">
                  <c:v>27</c:v>
                </c:pt>
                <c:pt idx="3">
                  <c:v>38.200000000000003</c:v>
                </c:pt>
                <c:pt idx="5">
                  <c:v>0.5</c:v>
                </c:pt>
                <c:pt idx="6">
                  <c:v>1.7</c:v>
                </c:pt>
                <c:pt idx="7">
                  <c:v>1.7</c:v>
                </c:pt>
                <c:pt idx="8">
                  <c:v>0.2</c:v>
                </c:pt>
                <c:pt idx="9">
                  <c:v>3.6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186.96457799999999</c:v>
                </c:pt>
                <c:pt idx="1">
                  <c:v>108.227965</c:v>
                </c:pt>
                <c:pt idx="2">
                  <c:v>181.578711</c:v>
                </c:pt>
                <c:pt idx="3">
                  <c:v>217.72528600000001</c:v>
                </c:pt>
                <c:pt idx="4">
                  <c:v>164.40237099999999</c:v>
                </c:pt>
                <c:pt idx="5">
                  <c:v>141.74739099999999</c:v>
                </c:pt>
                <c:pt idx="6">
                  <c:v>126.20684799999999</c:v>
                </c:pt>
                <c:pt idx="7">
                  <c:v>121.49093499999999</c:v>
                </c:pt>
                <c:pt idx="8">
                  <c:v>98.710933999999995</c:v>
                </c:pt>
                <c:pt idx="9">
                  <c:v>173.44610299999999</c:v>
                </c:pt>
                <c:pt idx="10">
                  <c:v>257.56122599999998</c:v>
                </c:pt>
                <c:pt idx="11">
                  <c:v>239.89604299999999</c:v>
                </c:pt>
                <c:pt idx="12">
                  <c:v>190.859296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112.518334</c:v>
                </c:pt>
                <c:pt idx="1">
                  <c:v>89.969028000000009</c:v>
                </c:pt>
                <c:pt idx="2">
                  <c:v>52.297241</c:v>
                </c:pt>
                <c:pt idx="3">
                  <c:v>57.736736000000008</c:v>
                </c:pt>
                <c:pt idx="4">
                  <c:v>49.177787000000002</c:v>
                </c:pt>
                <c:pt idx="5">
                  <c:v>51.184275999999997</c:v>
                </c:pt>
                <c:pt idx="6">
                  <c:v>60.374122999999997</c:v>
                </c:pt>
                <c:pt idx="7">
                  <c:v>65.895672000000005</c:v>
                </c:pt>
                <c:pt idx="8">
                  <c:v>89.729967000000002</c:v>
                </c:pt>
                <c:pt idx="9">
                  <c:v>140.971656</c:v>
                </c:pt>
                <c:pt idx="10">
                  <c:v>139.42335</c:v>
                </c:pt>
                <c:pt idx="11">
                  <c:v>100.854845</c:v>
                </c:pt>
                <c:pt idx="12">
                  <c:v>70.492642000000004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45.569164000000001</c:v>
                </c:pt>
                <c:pt idx="1">
                  <c:v>109.56093300000001</c:v>
                </c:pt>
                <c:pt idx="2">
                  <c:v>38.723094000000003</c:v>
                </c:pt>
                <c:pt idx="3">
                  <c:v>34.412135999999997</c:v>
                </c:pt>
                <c:pt idx="4">
                  <c:v>55.402149000000001</c:v>
                </c:pt>
                <c:pt idx="5">
                  <c:v>83.928335000000004</c:v>
                </c:pt>
                <c:pt idx="6">
                  <c:v>93.323053000000002</c:v>
                </c:pt>
                <c:pt idx="7">
                  <c:v>103.560644</c:v>
                </c:pt>
                <c:pt idx="8">
                  <c:v>148.873491</c:v>
                </c:pt>
                <c:pt idx="9">
                  <c:v>160.980031</c:v>
                </c:pt>
                <c:pt idx="10">
                  <c:v>81.694967000000005</c:v>
                </c:pt>
                <c:pt idx="11">
                  <c:v>37.844405000000002</c:v>
                </c:pt>
                <c:pt idx="12">
                  <c:v>49.054825999999998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0.620313</c:v>
                </c:pt>
                <c:pt idx="1">
                  <c:v>0.555396</c:v>
                </c:pt>
                <c:pt idx="2">
                  <c:v>0.41894799999999999</c:v>
                </c:pt>
                <c:pt idx="3">
                  <c:v>0.805427</c:v>
                </c:pt>
                <c:pt idx="4">
                  <c:v>0.49932900000000002</c:v>
                </c:pt>
                <c:pt idx="5">
                  <c:v>0.70238800000000001</c:v>
                </c:pt>
                <c:pt idx="6">
                  <c:v>0.63947100000000001</c:v>
                </c:pt>
                <c:pt idx="7">
                  <c:v>0.653721</c:v>
                </c:pt>
                <c:pt idx="8">
                  <c:v>0.34985300000000003</c:v>
                </c:pt>
                <c:pt idx="9">
                  <c:v>0.23036599999999999</c:v>
                </c:pt>
                <c:pt idx="10">
                  <c:v>0.347945</c:v>
                </c:pt>
                <c:pt idx="11">
                  <c:v>0.51373500000000005</c:v>
                </c:pt>
                <c:pt idx="12">
                  <c:v>0.402117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8.0499039999999997</c:v>
                </c:pt>
                <c:pt idx="1">
                  <c:v>6.0326560000000002</c:v>
                </c:pt>
                <c:pt idx="2">
                  <c:v>6.7678240000000001</c:v>
                </c:pt>
                <c:pt idx="3">
                  <c:v>7.284478</c:v>
                </c:pt>
                <c:pt idx="4">
                  <c:v>9.3459380000000003</c:v>
                </c:pt>
                <c:pt idx="5">
                  <c:v>11.373048000000001</c:v>
                </c:pt>
                <c:pt idx="6">
                  <c:v>10.643307999999999</c:v>
                </c:pt>
                <c:pt idx="7">
                  <c:v>12.915601000000001</c:v>
                </c:pt>
                <c:pt idx="8">
                  <c:v>13.270170999999999</c:v>
                </c:pt>
                <c:pt idx="9">
                  <c:v>12.470931</c:v>
                </c:pt>
                <c:pt idx="10">
                  <c:v>12.139662</c:v>
                </c:pt>
                <c:pt idx="11">
                  <c:v>9.9702669999999998</c:v>
                </c:pt>
                <c:pt idx="12">
                  <c:v>9.0470970000000008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6.0415000000000003E-2</c:v>
                </c:pt>
                <c:pt idx="1">
                  <c:v>6.8765999999999994E-2</c:v>
                </c:pt>
                <c:pt idx="2">
                  <c:v>0.13137799999999999</c:v>
                </c:pt>
                <c:pt idx="3">
                  <c:v>0.107643</c:v>
                </c:pt>
                <c:pt idx="4">
                  <c:v>8.2346000000000003E-2</c:v>
                </c:pt>
                <c:pt idx="5">
                  <c:v>0.111343</c:v>
                </c:pt>
                <c:pt idx="6">
                  <c:v>8.9931999999999998E-2</c:v>
                </c:pt>
                <c:pt idx="7">
                  <c:v>5.4199999999999998E-2</c:v>
                </c:pt>
                <c:pt idx="8">
                  <c:v>0.12551699999999999</c:v>
                </c:pt>
                <c:pt idx="9">
                  <c:v>9.8985000000000004E-2</c:v>
                </c:pt>
                <c:pt idx="10">
                  <c:v>8.3363000000000007E-2</c:v>
                </c:pt>
                <c:pt idx="11">
                  <c:v>9.2619999999999994E-2</c:v>
                </c:pt>
                <c:pt idx="12">
                  <c:v>9.9426E-2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2.5715089999999998</c:v>
                </c:pt>
                <c:pt idx="1">
                  <c:v>3.145667</c:v>
                </c:pt>
                <c:pt idx="2">
                  <c:v>3.260389</c:v>
                </c:pt>
                <c:pt idx="3">
                  <c:v>3.3415469999999998</c:v>
                </c:pt>
                <c:pt idx="4">
                  <c:v>3.483536</c:v>
                </c:pt>
                <c:pt idx="5">
                  <c:v>3.2674569999999998</c:v>
                </c:pt>
                <c:pt idx="6">
                  <c:v>2.9153180000000001</c:v>
                </c:pt>
                <c:pt idx="7">
                  <c:v>2.2857509999999999</c:v>
                </c:pt>
                <c:pt idx="8">
                  <c:v>2.3003499999999999</c:v>
                </c:pt>
                <c:pt idx="9">
                  <c:v>1.194464</c:v>
                </c:pt>
                <c:pt idx="10">
                  <c:v>2.848757</c:v>
                </c:pt>
                <c:pt idx="11">
                  <c:v>2.8740579999999998</c:v>
                </c:pt>
                <c:pt idx="12">
                  <c:v>2.8082799999999999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13.8976735</c:v>
                </c:pt>
                <c:pt idx="1">
                  <c:v>7.0333759999999996</c:v>
                </c:pt>
                <c:pt idx="2">
                  <c:v>13.124928499999999</c:v>
                </c:pt>
                <c:pt idx="3">
                  <c:v>9.5605395000000009</c:v>
                </c:pt>
                <c:pt idx="4">
                  <c:v>6.8600294999999996</c:v>
                </c:pt>
                <c:pt idx="5">
                  <c:v>11.083662500000001</c:v>
                </c:pt>
                <c:pt idx="6">
                  <c:v>13.4563305</c:v>
                </c:pt>
                <c:pt idx="7">
                  <c:v>13.087209</c:v>
                </c:pt>
                <c:pt idx="8">
                  <c:v>13.341946</c:v>
                </c:pt>
                <c:pt idx="9">
                  <c:v>14.4424645</c:v>
                </c:pt>
                <c:pt idx="10">
                  <c:v>12.562136000000001</c:v>
                </c:pt>
                <c:pt idx="11">
                  <c:v>13.691565000000001</c:v>
                </c:pt>
                <c:pt idx="12">
                  <c:v>14.954476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13.8976735</c:v>
                </c:pt>
                <c:pt idx="1">
                  <c:v>7.0333759999999996</c:v>
                </c:pt>
                <c:pt idx="2">
                  <c:v>13.124928499999999</c:v>
                </c:pt>
                <c:pt idx="3">
                  <c:v>9.5605395000000009</c:v>
                </c:pt>
                <c:pt idx="4">
                  <c:v>6.8600294999999996</c:v>
                </c:pt>
                <c:pt idx="5">
                  <c:v>11.083662500000001</c:v>
                </c:pt>
                <c:pt idx="6">
                  <c:v>13.4563305</c:v>
                </c:pt>
                <c:pt idx="7">
                  <c:v>13.087209</c:v>
                </c:pt>
                <c:pt idx="8">
                  <c:v>13.341946</c:v>
                </c:pt>
                <c:pt idx="9">
                  <c:v>14.4424645</c:v>
                </c:pt>
                <c:pt idx="10">
                  <c:v>12.562136000000001</c:v>
                </c:pt>
                <c:pt idx="11">
                  <c:v>13.691565000000001</c:v>
                </c:pt>
                <c:pt idx="12">
                  <c:v>14.954476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92.007576999999998</c:v>
                </c:pt>
                <c:pt idx="1">
                  <c:v>65.068314999999998</c:v>
                </c:pt>
                <c:pt idx="2">
                  <c:v>112.575441</c:v>
                </c:pt>
                <c:pt idx="3">
                  <c:v>137.254998</c:v>
                </c:pt>
                <c:pt idx="4">
                  <c:v>119.223619</c:v>
                </c:pt>
                <c:pt idx="5">
                  <c:v>122.32533599999999</c:v>
                </c:pt>
                <c:pt idx="6">
                  <c:v>124.430774</c:v>
                </c:pt>
                <c:pt idx="7">
                  <c:v>143.16130000000001</c:v>
                </c:pt>
                <c:pt idx="8">
                  <c:v>159.634671</c:v>
                </c:pt>
                <c:pt idx="9">
                  <c:v>201.16611399999999</c:v>
                </c:pt>
                <c:pt idx="10">
                  <c:v>185.76976199999999</c:v>
                </c:pt>
                <c:pt idx="11">
                  <c:v>153.19726600000001</c:v>
                </c:pt>
                <c:pt idx="12">
                  <c:v>137.66557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-3.4313725490196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21.7</c:v>
                </c:pt>
                <c:pt idx="1">
                  <c:v>2.2000000000000002</c:v>
                </c:pt>
                <c:pt idx="2">
                  <c:v>22.1</c:v>
                </c:pt>
                <c:pt idx="3">
                  <c:v>39.499999999999993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11.5</c:v>
                </c:pt>
                <c:pt idx="8">
                  <c:v>2.7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0.297373</c:v>
                </c:pt>
                <c:pt idx="1">
                  <c:v>0.28930699999999998</c:v>
                </c:pt>
                <c:pt idx="2">
                  <c:v>0.29630699999999999</c:v>
                </c:pt>
                <c:pt idx="3">
                  <c:v>0.29291600000000001</c:v>
                </c:pt>
                <c:pt idx="4">
                  <c:v>0.26504899999999998</c:v>
                </c:pt>
                <c:pt idx="5">
                  <c:v>0.298315</c:v>
                </c:pt>
                <c:pt idx="6">
                  <c:v>0.29424499999999998</c:v>
                </c:pt>
                <c:pt idx="7">
                  <c:v>0.299674</c:v>
                </c:pt>
                <c:pt idx="8">
                  <c:v>0.27668100000000001</c:v>
                </c:pt>
                <c:pt idx="9">
                  <c:v>0.29841899999999999</c:v>
                </c:pt>
                <c:pt idx="10">
                  <c:v>0.29929</c:v>
                </c:pt>
                <c:pt idx="11">
                  <c:v>0.28253899999999998</c:v>
                </c:pt>
                <c:pt idx="12">
                  <c:v>0.297543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417.76272399999999</c:v>
                </c:pt>
                <c:pt idx="1">
                  <c:v>413.52137700000003</c:v>
                </c:pt>
                <c:pt idx="2">
                  <c:v>402.79991699999999</c:v>
                </c:pt>
                <c:pt idx="3">
                  <c:v>414.86051199999997</c:v>
                </c:pt>
                <c:pt idx="4">
                  <c:v>384.770937</c:v>
                </c:pt>
                <c:pt idx="5">
                  <c:v>389.44758000000002</c:v>
                </c:pt>
                <c:pt idx="6">
                  <c:v>377.027762</c:v>
                </c:pt>
                <c:pt idx="7">
                  <c:v>375.43118500000003</c:v>
                </c:pt>
                <c:pt idx="8">
                  <c:v>392.00518099999999</c:v>
                </c:pt>
                <c:pt idx="9">
                  <c:v>310.36124699999999</c:v>
                </c:pt>
                <c:pt idx="10">
                  <c:v>307.670436</c:v>
                </c:pt>
                <c:pt idx="11">
                  <c:v>349.34223900000001</c:v>
                </c:pt>
                <c:pt idx="12">
                  <c:v>355.37539000000004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317.069143</c:v>
                </c:pt>
                <c:pt idx="1">
                  <c:v>256.69696599999997</c:v>
                </c:pt>
                <c:pt idx="2">
                  <c:v>273.98589099999998</c:v>
                </c:pt>
                <c:pt idx="3">
                  <c:v>264.507273</c:v>
                </c:pt>
                <c:pt idx="4">
                  <c:v>221.964823</c:v>
                </c:pt>
                <c:pt idx="5">
                  <c:v>224.52281400000001</c:v>
                </c:pt>
                <c:pt idx="6">
                  <c:v>229.693647</c:v>
                </c:pt>
                <c:pt idx="7">
                  <c:v>220.83250000000001</c:v>
                </c:pt>
                <c:pt idx="8">
                  <c:v>222.51747599999999</c:v>
                </c:pt>
                <c:pt idx="9">
                  <c:v>262.048877</c:v>
                </c:pt>
                <c:pt idx="10">
                  <c:v>290.23648900000001</c:v>
                </c:pt>
                <c:pt idx="11">
                  <c:v>276.37973799999997</c:v>
                </c:pt>
                <c:pt idx="12">
                  <c:v>305.83225499999998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0.87331099999999995</c:v>
                </c:pt>
                <c:pt idx="1">
                  <c:v>0.90078800000000003</c:v>
                </c:pt>
                <c:pt idx="2">
                  <c:v>0.90973300000000001</c:v>
                </c:pt>
                <c:pt idx="3">
                  <c:v>1.109656</c:v>
                </c:pt>
                <c:pt idx="4">
                  <c:v>0.97254499999999999</c:v>
                </c:pt>
                <c:pt idx="5">
                  <c:v>1.955158</c:v>
                </c:pt>
                <c:pt idx="6">
                  <c:v>1.5483690000000001</c:v>
                </c:pt>
                <c:pt idx="7">
                  <c:v>2.031012</c:v>
                </c:pt>
                <c:pt idx="8">
                  <c:v>1.3721410000000001</c:v>
                </c:pt>
                <c:pt idx="9">
                  <c:v>3.727338</c:v>
                </c:pt>
                <c:pt idx="10">
                  <c:v>3.4751189999999998</c:v>
                </c:pt>
                <c:pt idx="11">
                  <c:v>2.2183510000000002</c:v>
                </c:pt>
                <c:pt idx="12">
                  <c:v>1.582837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22.368559999999999</c:v>
                </c:pt>
                <c:pt idx="1">
                  <c:v>32.447859000000001</c:v>
                </c:pt>
                <c:pt idx="2">
                  <c:v>44.326591000000001</c:v>
                </c:pt>
                <c:pt idx="3">
                  <c:v>53.23789</c:v>
                </c:pt>
                <c:pt idx="4">
                  <c:v>47.231451999999997</c:v>
                </c:pt>
                <c:pt idx="5">
                  <c:v>96.846602000000004</c:v>
                </c:pt>
                <c:pt idx="6">
                  <c:v>66.984110999999999</c:v>
                </c:pt>
                <c:pt idx="7">
                  <c:v>95.371887000000001</c:v>
                </c:pt>
                <c:pt idx="8">
                  <c:v>74.330708999999999</c:v>
                </c:pt>
                <c:pt idx="9">
                  <c:v>158.183166</c:v>
                </c:pt>
                <c:pt idx="10">
                  <c:v>158.502759</c:v>
                </c:pt>
                <c:pt idx="11">
                  <c:v>100.47458899999999</c:v>
                </c:pt>
                <c:pt idx="12">
                  <c:v>89.262077000000005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19.523973999999999</c:v>
                </c:pt>
                <c:pt idx="1">
                  <c:v>16.178767000000001</c:v>
                </c:pt>
                <c:pt idx="2">
                  <c:v>18.710820999999999</c:v>
                </c:pt>
                <c:pt idx="3">
                  <c:v>17.902628</c:v>
                </c:pt>
                <c:pt idx="4">
                  <c:v>21.361954999999998</c:v>
                </c:pt>
                <c:pt idx="5">
                  <c:v>24.910511</c:v>
                </c:pt>
                <c:pt idx="6">
                  <c:v>24.434999999999999</c:v>
                </c:pt>
                <c:pt idx="7">
                  <c:v>29.431000000000001</c:v>
                </c:pt>
                <c:pt idx="8">
                  <c:v>23.327897</c:v>
                </c:pt>
                <c:pt idx="9">
                  <c:v>29.517797000000002</c:v>
                </c:pt>
                <c:pt idx="10">
                  <c:v>27.277090000000001</c:v>
                </c:pt>
                <c:pt idx="11">
                  <c:v>23.073407</c:v>
                </c:pt>
                <c:pt idx="12">
                  <c:v>20.507878000000002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oct.-18</c:v>
                </c:pt>
                <c:pt idx="1">
                  <c:v>nov.-18</c:v>
                </c:pt>
                <c:pt idx="2">
                  <c:v>dic.-18</c:v>
                </c:pt>
                <c:pt idx="3">
                  <c:v>ene.-19</c:v>
                </c:pt>
                <c:pt idx="4">
                  <c:v>feb.-19</c:v>
                </c:pt>
                <c:pt idx="5">
                  <c:v>mar.-19</c:v>
                </c:pt>
                <c:pt idx="6">
                  <c:v>abr.-19</c:v>
                </c:pt>
                <c:pt idx="7">
                  <c:v>may.-19</c:v>
                </c:pt>
                <c:pt idx="8">
                  <c:v>jun.-19</c:v>
                </c:pt>
                <c:pt idx="9">
                  <c:v>jul.-19</c:v>
                </c:pt>
                <c:pt idx="10">
                  <c:v>ago.-19</c:v>
                </c:pt>
                <c:pt idx="11">
                  <c:v>sep.-19</c:v>
                </c:pt>
                <c:pt idx="12">
                  <c:v>oct.-19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0.813334</c:v>
                </c:pt>
                <c:pt idx="1">
                  <c:v>0.85025300000000004</c:v>
                </c:pt>
                <c:pt idx="2">
                  <c:v>0.89945200000000003</c:v>
                </c:pt>
                <c:pt idx="3">
                  <c:v>0.96332899999999999</c:v>
                </c:pt>
                <c:pt idx="4">
                  <c:v>0.82279800000000003</c:v>
                </c:pt>
                <c:pt idx="5">
                  <c:v>0.90107099999999996</c:v>
                </c:pt>
                <c:pt idx="6">
                  <c:v>0.89633300000000005</c:v>
                </c:pt>
                <c:pt idx="7">
                  <c:v>0.94455500000000003</c:v>
                </c:pt>
                <c:pt idx="8">
                  <c:v>0.82330000000000003</c:v>
                </c:pt>
                <c:pt idx="9">
                  <c:v>0.917458</c:v>
                </c:pt>
                <c:pt idx="10">
                  <c:v>0.71267199999999997</c:v>
                </c:pt>
                <c:pt idx="11">
                  <c:v>0.43661899999999998</c:v>
                </c:pt>
                <c:pt idx="12">
                  <c:v>0.57729399999999997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Octubre 2019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B110" activePane="bottomRight" state="frozen"/>
      <selection pane="topRight" activeCell="B1" sqref="B1"/>
      <selection pane="bottomLeft" activeCell="A2" sqref="A2"/>
      <selection pane="bottomRight" activeCell="D144" sqref="D144:O144"/>
    </sheetView>
  </sheetViews>
  <sheetFormatPr baseColWidth="10" defaultColWidth="11.42578125" defaultRowHeight="12"/>
  <cols>
    <col min="1" max="1" width="20.42578125" style="111" customWidth="1"/>
    <col min="2" max="2" width="26" style="111" customWidth="1"/>
    <col min="3" max="33" width="14.7109375" style="111" customWidth="1"/>
    <col min="34" max="16384" width="11.42578125" style="111"/>
  </cols>
  <sheetData>
    <row r="1" spans="1:33">
      <c r="A1" s="143" t="s">
        <v>68</v>
      </c>
      <c r="B1" s="143" t="s">
        <v>72</v>
      </c>
    </row>
    <row r="2" spans="1:33">
      <c r="A2" s="144" t="s">
        <v>124</v>
      </c>
      <c r="B2" s="144" t="s">
        <v>125</v>
      </c>
    </row>
    <row r="4" spans="1:33" ht="15">
      <c r="A4" s="145" t="s">
        <v>68</v>
      </c>
      <c r="B4" s="203" t="s">
        <v>124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33" ht="15">
      <c r="A5" s="145" t="s">
        <v>69</v>
      </c>
      <c r="B5" s="205" t="s">
        <v>15</v>
      </c>
      <c r="C5" s="206"/>
      <c r="D5" s="206"/>
      <c r="E5" s="206"/>
      <c r="F5" s="206"/>
      <c r="G5" s="206"/>
      <c r="H5" s="206"/>
      <c r="I5" s="207"/>
      <c r="J5" s="205" t="s">
        <v>14</v>
      </c>
      <c r="K5" s="206"/>
      <c r="L5" s="206"/>
      <c r="M5" s="206"/>
      <c r="N5" s="206"/>
      <c r="O5" s="206"/>
      <c r="P5" s="206"/>
      <c r="Q5" s="207"/>
      <c r="R5" s="205" t="s">
        <v>58</v>
      </c>
      <c r="S5" s="206"/>
      <c r="T5" s="206"/>
      <c r="U5" s="206"/>
      <c r="V5" s="206"/>
      <c r="W5" s="206"/>
      <c r="X5" s="206"/>
      <c r="Y5" s="207"/>
      <c r="Z5" s="205" t="s">
        <v>59</v>
      </c>
      <c r="AA5" s="206"/>
      <c r="AB5" s="206"/>
      <c r="AC5" s="206"/>
      <c r="AD5" s="206"/>
      <c r="AE5" s="206"/>
      <c r="AF5" s="206"/>
      <c r="AG5" s="206"/>
    </row>
    <row r="6" spans="1:33">
      <c r="A6" s="145" t="s">
        <v>70</v>
      </c>
      <c r="B6" s="180" t="s">
        <v>60</v>
      </c>
      <c r="C6" s="180" t="s">
        <v>61</v>
      </c>
      <c r="D6" s="180" t="s">
        <v>62</v>
      </c>
      <c r="E6" s="180" t="s">
        <v>63</v>
      </c>
      <c r="F6" s="180" t="s">
        <v>64</v>
      </c>
      <c r="G6" s="180" t="s">
        <v>65</v>
      </c>
      <c r="H6" s="180" t="s">
        <v>66</v>
      </c>
      <c r="I6" s="180" t="s">
        <v>67</v>
      </c>
      <c r="J6" s="180" t="s">
        <v>60</v>
      </c>
      <c r="K6" s="180" t="s">
        <v>61</v>
      </c>
      <c r="L6" s="180" t="s">
        <v>62</v>
      </c>
      <c r="M6" s="180" t="s">
        <v>63</v>
      </c>
      <c r="N6" s="180" t="s">
        <v>64</v>
      </c>
      <c r="O6" s="180" t="s">
        <v>65</v>
      </c>
      <c r="P6" s="180" t="s">
        <v>66</v>
      </c>
      <c r="Q6" s="180" t="s">
        <v>67</v>
      </c>
      <c r="R6" s="180" t="s">
        <v>60</v>
      </c>
      <c r="S6" s="180" t="s">
        <v>61</v>
      </c>
      <c r="T6" s="180" t="s">
        <v>62</v>
      </c>
      <c r="U6" s="180" t="s">
        <v>63</v>
      </c>
      <c r="V6" s="180" t="s">
        <v>64</v>
      </c>
      <c r="W6" s="180" t="s">
        <v>65</v>
      </c>
      <c r="X6" s="180" t="s">
        <v>66</v>
      </c>
      <c r="Y6" s="180" t="s">
        <v>67</v>
      </c>
      <c r="Z6" s="180" t="s">
        <v>60</v>
      </c>
      <c r="AA6" s="180" t="s">
        <v>61</v>
      </c>
      <c r="AB6" s="180" t="s">
        <v>62</v>
      </c>
      <c r="AC6" s="180" t="s">
        <v>63</v>
      </c>
      <c r="AD6" s="180" t="s">
        <v>64</v>
      </c>
      <c r="AE6" s="180" t="s">
        <v>65</v>
      </c>
      <c r="AF6" s="180" t="s">
        <v>66</v>
      </c>
      <c r="AG6" s="180" t="s">
        <v>67</v>
      </c>
    </row>
    <row r="7" spans="1:33">
      <c r="A7" s="145" t="s">
        <v>71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297.54300000000001</v>
      </c>
      <c r="AA8" s="158">
        <v>297.37299999999999</v>
      </c>
      <c r="AB8" s="151">
        <v>5.7167260000000005E-4</v>
      </c>
      <c r="AC8" s="158">
        <v>2904.6709999999998</v>
      </c>
      <c r="AD8" s="158">
        <v>2691.498</v>
      </c>
      <c r="AE8" s="151">
        <v>7.9202362400000004E-2</v>
      </c>
      <c r="AF8" s="158">
        <v>3490.2849999999999</v>
      </c>
      <c r="AG8" s="151">
        <v>6.5176131900000003E-2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190859.296</v>
      </c>
      <c r="S9" s="158">
        <v>186964.57800000001</v>
      </c>
      <c r="T9" s="151">
        <v>2.0831314900000002E-2</v>
      </c>
      <c r="U9" s="158">
        <v>1732046.433</v>
      </c>
      <c r="V9" s="158">
        <v>2105964.2549999999</v>
      </c>
      <c r="W9" s="151">
        <v>-0.17755183690000001</v>
      </c>
      <c r="X9" s="158">
        <v>2021853.1089999999</v>
      </c>
      <c r="Y9" s="151">
        <v>-0.1788950577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84</v>
      </c>
      <c r="B10" s="158">
        <v>17592.764999999999</v>
      </c>
      <c r="C10" s="158">
        <v>17758.571</v>
      </c>
      <c r="D10" s="151">
        <v>-9.3366747000000003E-3</v>
      </c>
      <c r="E10" s="158">
        <v>171097.255</v>
      </c>
      <c r="F10" s="158">
        <v>172557.36799999999</v>
      </c>
      <c r="G10" s="151">
        <v>-8.4616090999999997E-3</v>
      </c>
      <c r="H10" s="158">
        <v>205776.02499999999</v>
      </c>
      <c r="I10" s="151">
        <v>-4.7012787000000004E-3</v>
      </c>
      <c r="J10" s="158">
        <v>16875.245999999999</v>
      </c>
      <c r="K10" s="158">
        <v>16831.804</v>
      </c>
      <c r="L10" s="151">
        <v>2.5809473999999998E-3</v>
      </c>
      <c r="M10" s="158">
        <v>168811.81899999999</v>
      </c>
      <c r="N10" s="158">
        <v>169472.079</v>
      </c>
      <c r="O10" s="151">
        <v>-3.8959810000000002E-3</v>
      </c>
      <c r="P10" s="158">
        <v>201453.40599999999</v>
      </c>
      <c r="Q10" s="151">
        <v>-5.4545881999999999E-3</v>
      </c>
      <c r="R10" s="158">
        <v>40788.258000000002</v>
      </c>
      <c r="S10" s="158">
        <v>57781.025999999998</v>
      </c>
      <c r="T10" s="151">
        <v>-0.2940890665</v>
      </c>
      <c r="U10" s="158">
        <v>416625.19199999998</v>
      </c>
      <c r="V10" s="158">
        <v>559911.755</v>
      </c>
      <c r="W10" s="151">
        <v>-0.25590918880000002</v>
      </c>
      <c r="X10" s="158">
        <v>491594.16100000002</v>
      </c>
      <c r="Y10" s="151">
        <v>-0.20413760340000001</v>
      </c>
      <c r="Z10" s="158">
        <v>168134.56400000001</v>
      </c>
      <c r="AA10" s="158">
        <v>190675.11799999999</v>
      </c>
      <c r="AB10" s="151">
        <v>-0.1182144489</v>
      </c>
      <c r="AC10" s="158">
        <v>1627477.3319999999</v>
      </c>
      <c r="AD10" s="158">
        <v>1780627.409</v>
      </c>
      <c r="AE10" s="151">
        <v>-8.6009052899999994E-2</v>
      </c>
      <c r="AF10" s="158">
        <v>1967984.8119999999</v>
      </c>
      <c r="AG10" s="151">
        <v>-8.5347156300000004E-2</v>
      </c>
    </row>
    <row r="11" spans="1:33">
      <c r="A11" s="144" t="s">
        <v>9</v>
      </c>
      <c r="B11" s="158">
        <v>76.387</v>
      </c>
      <c r="C11" s="158">
        <v>95.56</v>
      </c>
      <c r="D11" s="151">
        <v>-0.2006383424</v>
      </c>
      <c r="E11" s="158">
        <v>82.435000000000002</v>
      </c>
      <c r="F11" s="158">
        <v>118.952</v>
      </c>
      <c r="G11" s="151">
        <v>-0.30698937389999997</v>
      </c>
      <c r="H11" s="158">
        <v>83.569000000000003</v>
      </c>
      <c r="I11" s="151">
        <v>-0.48829562500000001</v>
      </c>
      <c r="J11" s="158">
        <v>1.583</v>
      </c>
      <c r="K11" s="158">
        <v>0</v>
      </c>
      <c r="L11" s="151">
        <v>0</v>
      </c>
      <c r="M11" s="158">
        <v>19.635000000000002</v>
      </c>
      <c r="N11" s="158">
        <v>66.391000000000005</v>
      </c>
      <c r="O11" s="151">
        <v>-0.70425208240000003</v>
      </c>
      <c r="P11" s="158">
        <v>20.344999999999999</v>
      </c>
      <c r="Q11" s="151">
        <v>-0.85362045639999995</v>
      </c>
      <c r="R11" s="158">
        <v>27935.913</v>
      </c>
      <c r="S11" s="158">
        <v>54458.813000000002</v>
      </c>
      <c r="T11" s="151">
        <v>-0.48702677379999998</v>
      </c>
      <c r="U11" s="158">
        <v>392318.76299999998</v>
      </c>
      <c r="V11" s="158">
        <v>697701.71499999997</v>
      </c>
      <c r="W11" s="151">
        <v>-0.4376984397</v>
      </c>
      <c r="X11" s="158">
        <v>459616.06300000002</v>
      </c>
      <c r="Y11" s="151">
        <v>-0.44300032509999998</v>
      </c>
      <c r="Z11" s="158">
        <v>16664.883999999998</v>
      </c>
      <c r="AA11" s="158">
        <v>25162.983</v>
      </c>
      <c r="AB11" s="151">
        <v>-0.3377222406</v>
      </c>
      <c r="AC11" s="158">
        <v>193808.09099999999</v>
      </c>
      <c r="AD11" s="158">
        <v>239548.079</v>
      </c>
      <c r="AE11" s="151">
        <v>-0.19094282949999999</v>
      </c>
      <c r="AF11" s="158">
        <v>238352.821</v>
      </c>
      <c r="AG11" s="151">
        <v>-0.18074272129999999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170575.94200000001</v>
      </c>
      <c r="AA12" s="158">
        <v>201924.62299999999</v>
      </c>
      <c r="AB12" s="151">
        <v>-0.155249422</v>
      </c>
      <c r="AC12" s="158">
        <v>1835007.0460000001</v>
      </c>
      <c r="AD12" s="158">
        <v>2024163.213</v>
      </c>
      <c r="AE12" s="151">
        <v>-9.3449068600000004E-2</v>
      </c>
      <c r="AF12" s="158">
        <v>2266276.13</v>
      </c>
      <c r="AG12" s="151">
        <v>-7.8099677000000006E-2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49054.826000000001</v>
      </c>
      <c r="S13" s="158">
        <v>45569.163999999997</v>
      </c>
      <c r="T13" s="151">
        <v>7.6491682000000005E-2</v>
      </c>
      <c r="U13" s="158">
        <v>849074.03700000001</v>
      </c>
      <c r="V13" s="158">
        <v>442238.49099999998</v>
      </c>
      <c r="W13" s="151">
        <v>0.91994603429999999</v>
      </c>
      <c r="X13" s="158">
        <v>997358.06400000001</v>
      </c>
      <c r="Y13" s="151">
        <v>0.85278934070000001</v>
      </c>
      <c r="Z13" s="158">
        <v>305832.255</v>
      </c>
      <c r="AA13" s="158">
        <v>317069.14299999998</v>
      </c>
      <c r="AB13" s="151">
        <v>-3.5439866200000003E-2</v>
      </c>
      <c r="AC13" s="158">
        <v>2518535.892</v>
      </c>
      <c r="AD13" s="158">
        <v>2520338.7510000002</v>
      </c>
      <c r="AE13" s="151">
        <v>-7.1532409999999996E-4</v>
      </c>
      <c r="AF13" s="158">
        <v>3049218.7489999998</v>
      </c>
      <c r="AG13" s="151">
        <v>-1.8749140000000001E-3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1768.471</v>
      </c>
      <c r="S14" s="158">
        <v>278.495</v>
      </c>
      <c r="T14" s="151">
        <v>5.3500996427</v>
      </c>
      <c r="U14" s="158">
        <v>16897.098999999998</v>
      </c>
      <c r="V14" s="158">
        <v>12813.724</v>
      </c>
      <c r="W14" s="151">
        <v>0.31867199569999999</v>
      </c>
      <c r="X14" s="158">
        <v>16897.098999999998</v>
      </c>
      <c r="Y14" s="151">
        <v>0.31867199569999999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1582.837</v>
      </c>
      <c r="AA15" s="158">
        <v>873.31100000000004</v>
      </c>
      <c r="AB15" s="151">
        <v>0.81245512769999995</v>
      </c>
      <c r="AC15" s="158">
        <v>19992.526000000002</v>
      </c>
      <c r="AD15" s="158">
        <v>21845.023000000001</v>
      </c>
      <c r="AE15" s="151">
        <v>-8.4801787599999998E-2</v>
      </c>
      <c r="AF15" s="158">
        <v>21803.046999999999</v>
      </c>
      <c r="AG15" s="151">
        <v>-8.8572594399999996E-2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402.11700000000002</v>
      </c>
      <c r="S16" s="158">
        <v>620.31299999999999</v>
      </c>
      <c r="T16" s="151">
        <v>-0.3517514545</v>
      </c>
      <c r="U16" s="158">
        <v>5144.3519999999999</v>
      </c>
      <c r="V16" s="158">
        <v>2782.8270000000002</v>
      </c>
      <c r="W16" s="151">
        <v>0.84860647099999997</v>
      </c>
      <c r="X16" s="158">
        <v>6118.6959999999999</v>
      </c>
      <c r="Y16" s="151">
        <v>0.74416634459999997</v>
      </c>
      <c r="Z16" s="158">
        <v>89262.077000000005</v>
      </c>
      <c r="AA16" s="158">
        <v>22368.560000000001</v>
      </c>
      <c r="AB16" s="151">
        <v>2.9905151247999999</v>
      </c>
      <c r="AC16" s="158">
        <v>940425.24199999997</v>
      </c>
      <c r="AD16" s="158">
        <v>545254.152</v>
      </c>
      <c r="AE16" s="151">
        <v>0.72474659490000004</v>
      </c>
      <c r="AF16" s="158">
        <v>1017199.692</v>
      </c>
      <c r="AG16" s="151">
        <v>0.67001436400000003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6.5819999999999999</v>
      </c>
      <c r="K17" s="158">
        <v>6.0419999999999998</v>
      </c>
      <c r="L17" s="151">
        <v>8.9374379300000001E-2</v>
      </c>
      <c r="M17" s="158">
        <v>71.876000000000005</v>
      </c>
      <c r="N17" s="158">
        <v>65.796000000000006</v>
      </c>
      <c r="O17" s="151">
        <v>9.2406833199999996E-2</v>
      </c>
      <c r="P17" s="158">
        <v>80.691000000000003</v>
      </c>
      <c r="Q17" s="151">
        <v>8.02152639E-2</v>
      </c>
      <c r="R17" s="158">
        <v>9047.0969999999998</v>
      </c>
      <c r="S17" s="158">
        <v>8049.9040000000005</v>
      </c>
      <c r="T17" s="151">
        <v>0.1238763841</v>
      </c>
      <c r="U17" s="158">
        <v>108460.501</v>
      </c>
      <c r="V17" s="158">
        <v>100683.06</v>
      </c>
      <c r="W17" s="151">
        <v>7.7246768199999996E-2</v>
      </c>
      <c r="X17" s="158">
        <v>121260.981</v>
      </c>
      <c r="Y17" s="151">
        <v>6.8396120399999996E-2</v>
      </c>
      <c r="Z17" s="158">
        <v>20507.878000000001</v>
      </c>
      <c r="AA17" s="158">
        <v>19523.973999999998</v>
      </c>
      <c r="AB17" s="151">
        <v>5.03946584E-2</v>
      </c>
      <c r="AC17" s="158">
        <v>241745.163</v>
      </c>
      <c r="AD17" s="158">
        <v>237183.10399999999</v>
      </c>
      <c r="AE17" s="151">
        <v>1.92343338E-2</v>
      </c>
      <c r="AF17" s="158">
        <v>276634.75099999999</v>
      </c>
      <c r="AG17" s="151">
        <v>1.9999131999999999E-2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99.426000000000002</v>
      </c>
      <c r="S18" s="158">
        <v>60.414999999999999</v>
      </c>
      <c r="T18" s="151">
        <v>0.64571712319999996</v>
      </c>
      <c r="U18" s="158">
        <v>945.375</v>
      </c>
      <c r="V18" s="158">
        <v>1132.451</v>
      </c>
      <c r="W18" s="151">
        <v>-0.1651956685</v>
      </c>
      <c r="X18" s="158">
        <v>1145.519</v>
      </c>
      <c r="Y18" s="151">
        <v>-0.17956282270000001</v>
      </c>
      <c r="Z18" s="158">
        <v>577.29399999999998</v>
      </c>
      <c r="AA18" s="158">
        <v>813.33399999999995</v>
      </c>
      <c r="AB18" s="151">
        <v>-0.29021287690000003</v>
      </c>
      <c r="AC18" s="158">
        <v>7995.4290000000001</v>
      </c>
      <c r="AD18" s="158">
        <v>7181.8919999999998</v>
      </c>
      <c r="AE18" s="151">
        <v>0.1132761395</v>
      </c>
      <c r="AF18" s="158">
        <v>9745.134</v>
      </c>
      <c r="AG18" s="151">
        <v>0.11158671489999999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2808.28</v>
      </c>
      <c r="S19" s="158">
        <v>2571.509</v>
      </c>
      <c r="T19" s="151">
        <v>9.2074731199999996E-2</v>
      </c>
      <c r="U19" s="158">
        <v>27319.518</v>
      </c>
      <c r="V19" s="158">
        <v>28568.39</v>
      </c>
      <c r="W19" s="151">
        <v>-4.37151691E-2</v>
      </c>
      <c r="X19" s="158">
        <v>33725.574000000001</v>
      </c>
      <c r="Y19" s="151">
        <v>-4.3712931400000002E-2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311.85250000000002</v>
      </c>
      <c r="K20" s="158">
        <v>414.20150000000001</v>
      </c>
      <c r="L20" s="151">
        <v>-0.24709953970000001</v>
      </c>
      <c r="M20" s="158">
        <v>4517.6315000000004</v>
      </c>
      <c r="N20" s="158">
        <v>4660.3204999999998</v>
      </c>
      <c r="O20" s="151">
        <v>-3.0617851299999999E-2</v>
      </c>
      <c r="P20" s="158">
        <v>5204.1499999999996</v>
      </c>
      <c r="Q20" s="151">
        <v>-1.8578579200000001E-2</v>
      </c>
      <c r="R20" s="158">
        <v>14954.476000000001</v>
      </c>
      <c r="S20" s="158">
        <v>13897.673500000001</v>
      </c>
      <c r="T20" s="151">
        <v>7.6041684200000001E-2</v>
      </c>
      <c r="U20" s="158">
        <v>123040.3585</v>
      </c>
      <c r="V20" s="158">
        <v>115599.44</v>
      </c>
      <c r="W20" s="151">
        <v>6.4368118899999993E-2</v>
      </c>
      <c r="X20" s="158">
        <v>143198.663</v>
      </c>
      <c r="Y20" s="151">
        <v>4.6309865899999997E-2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311.85250000000002</v>
      </c>
      <c r="K21" s="158">
        <v>414.20150000000001</v>
      </c>
      <c r="L21" s="151">
        <v>-0.24709953970000001</v>
      </c>
      <c r="M21" s="158">
        <v>4517.6315000000004</v>
      </c>
      <c r="N21" s="158">
        <v>4660.3204999999998</v>
      </c>
      <c r="O21" s="151">
        <v>-3.0617851299999999E-2</v>
      </c>
      <c r="P21" s="158">
        <v>5204.1499999999996</v>
      </c>
      <c r="Q21" s="151">
        <v>-1.8578579200000001E-2</v>
      </c>
      <c r="R21" s="158">
        <v>14954.476000000001</v>
      </c>
      <c r="S21" s="158">
        <v>13897.673500000001</v>
      </c>
      <c r="T21" s="151">
        <v>7.6041684200000001E-2</v>
      </c>
      <c r="U21" s="158">
        <v>123040.3585</v>
      </c>
      <c r="V21" s="158">
        <v>115599.44</v>
      </c>
      <c r="W21" s="151">
        <v>6.4368118899999993E-2</v>
      </c>
      <c r="X21" s="158">
        <v>143198.663</v>
      </c>
      <c r="Y21" s="151">
        <v>4.6309865899999997E-2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17669.151999999998</v>
      </c>
      <c r="C22" s="159">
        <v>17854.131000000001</v>
      </c>
      <c r="D22" s="152">
        <v>-1.03605715E-2</v>
      </c>
      <c r="E22" s="159">
        <v>171179.69</v>
      </c>
      <c r="F22" s="159">
        <v>172676.32</v>
      </c>
      <c r="G22" s="152">
        <v>-8.6672567000000006E-3</v>
      </c>
      <c r="H22" s="159">
        <v>205859.59400000001</v>
      </c>
      <c r="I22" s="152">
        <v>-5.0829795000000002E-3</v>
      </c>
      <c r="J22" s="159">
        <v>17507.116000000002</v>
      </c>
      <c r="K22" s="159">
        <v>17666.249</v>
      </c>
      <c r="L22" s="152">
        <v>-9.0077413000000002E-3</v>
      </c>
      <c r="M22" s="159">
        <v>177938.59299999999</v>
      </c>
      <c r="N22" s="159">
        <v>178924.90700000001</v>
      </c>
      <c r="O22" s="152">
        <v>-5.5124466E-3</v>
      </c>
      <c r="P22" s="159">
        <v>211962.742</v>
      </c>
      <c r="Q22" s="152">
        <v>-6.6293604000000001E-3</v>
      </c>
      <c r="R22" s="159">
        <v>352672.636</v>
      </c>
      <c r="S22" s="159">
        <v>384149.56400000001</v>
      </c>
      <c r="T22" s="152">
        <v>-8.1939252200000007E-2</v>
      </c>
      <c r="U22" s="159">
        <v>3794911.9870000002</v>
      </c>
      <c r="V22" s="159">
        <v>4182995.548</v>
      </c>
      <c r="W22" s="152">
        <v>-9.277647E-2</v>
      </c>
      <c r="X22" s="159">
        <v>4435966.5920000002</v>
      </c>
      <c r="Y22" s="152">
        <v>-9.1681639199999998E-2</v>
      </c>
      <c r="Z22" s="159">
        <v>773435.27399999998</v>
      </c>
      <c r="AA22" s="159">
        <v>778708.41899999999</v>
      </c>
      <c r="AB22" s="152">
        <v>-6.7716553000000002E-3</v>
      </c>
      <c r="AC22" s="159">
        <v>7387891.392</v>
      </c>
      <c r="AD22" s="159">
        <v>7378833.1210000003</v>
      </c>
      <c r="AE22" s="152">
        <v>1.2276021E-3</v>
      </c>
      <c r="AF22" s="159">
        <v>8850705.4210000001</v>
      </c>
      <c r="AG22" s="152">
        <v>-2.4049363E-3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137665.57</v>
      </c>
      <c r="S23" s="158">
        <v>92007.577000000005</v>
      </c>
      <c r="T23" s="151">
        <v>0.49624166279999998</v>
      </c>
      <c r="U23" s="158">
        <v>1483829.41</v>
      </c>
      <c r="V23" s="158">
        <v>1055714.3859999999</v>
      </c>
      <c r="W23" s="151">
        <v>0.4055216351</v>
      </c>
      <c r="X23" s="158">
        <v>1661473.166</v>
      </c>
      <c r="Y23" s="151">
        <v>0.36449921159999998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85</v>
      </c>
      <c r="B24" s="159">
        <v>17669.151999999998</v>
      </c>
      <c r="C24" s="159">
        <v>17854.131000000001</v>
      </c>
      <c r="D24" s="152">
        <v>-1.03605715E-2</v>
      </c>
      <c r="E24" s="159">
        <v>171179.69</v>
      </c>
      <c r="F24" s="159">
        <v>172676.32</v>
      </c>
      <c r="G24" s="152">
        <v>-8.6672567000000006E-3</v>
      </c>
      <c r="H24" s="159">
        <v>205859.59400000001</v>
      </c>
      <c r="I24" s="152">
        <v>-5.0829795000000002E-3</v>
      </c>
      <c r="J24" s="159">
        <v>17507.116000000002</v>
      </c>
      <c r="K24" s="159">
        <v>17666.249</v>
      </c>
      <c r="L24" s="152">
        <v>-9.0077413000000002E-3</v>
      </c>
      <c r="M24" s="159">
        <v>177938.59299999999</v>
      </c>
      <c r="N24" s="159">
        <v>178924.90700000001</v>
      </c>
      <c r="O24" s="152">
        <v>-5.5124466E-3</v>
      </c>
      <c r="P24" s="159">
        <v>211962.742</v>
      </c>
      <c r="Q24" s="152">
        <v>-6.6293604000000001E-3</v>
      </c>
      <c r="R24" s="159">
        <v>490338.20600000001</v>
      </c>
      <c r="S24" s="159">
        <v>476157.141</v>
      </c>
      <c r="T24" s="152">
        <v>2.9782321399999999E-2</v>
      </c>
      <c r="U24" s="159">
        <v>5278741.3969999999</v>
      </c>
      <c r="V24" s="159">
        <v>5238709.9340000004</v>
      </c>
      <c r="W24" s="152">
        <v>7.6414734999999999E-3</v>
      </c>
      <c r="X24" s="159">
        <v>6097439.7580000004</v>
      </c>
      <c r="Y24" s="152">
        <v>-6.419676E-4</v>
      </c>
      <c r="Z24" s="159">
        <v>773435.27399999998</v>
      </c>
      <c r="AA24" s="159">
        <v>778708.41899999999</v>
      </c>
      <c r="AB24" s="152">
        <v>-6.7716553000000002E-3</v>
      </c>
      <c r="AC24" s="159">
        <v>7387891.392</v>
      </c>
      <c r="AD24" s="159">
        <v>7378833.1210000003</v>
      </c>
      <c r="AE24" s="152">
        <v>1.2276021E-3</v>
      </c>
      <c r="AF24" s="159">
        <v>8850705.4210000001</v>
      </c>
      <c r="AG24" s="152">
        <v>-2.4049363E-3</v>
      </c>
    </row>
    <row r="29" spans="1:33" ht="15">
      <c r="A29" s="145" t="s">
        <v>68</v>
      </c>
      <c r="B29" s="203" t="str">
        <f>A2</f>
        <v>Octubre 2019</v>
      </c>
      <c r="C29" s="204"/>
    </row>
    <row r="30" spans="1:33" ht="15">
      <c r="A30" s="145" t="s">
        <v>70</v>
      </c>
      <c r="B30" s="201" t="s">
        <v>73</v>
      </c>
      <c r="C30" s="202"/>
    </row>
    <row r="31" spans="1:33">
      <c r="A31" s="143" t="s">
        <v>69</v>
      </c>
      <c r="B31" s="179" t="s">
        <v>58</v>
      </c>
      <c r="C31" s="179" t="s">
        <v>59</v>
      </c>
    </row>
    <row r="32" spans="1:33">
      <c r="A32" s="145" t="s">
        <v>71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468.4</v>
      </c>
      <c r="C34" s="147"/>
    </row>
    <row r="35" spans="1:3">
      <c r="A35" s="144" t="s">
        <v>84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80.837264999999846</v>
      </c>
      <c r="C42" s="147">
        <v>166.73214499999966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2243.0417649999995</v>
      </c>
      <c r="C47" s="183">
        <f>SUM(C33:C46)</f>
        <v>3012.4531449999995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468.4</v>
      </c>
      <c r="C52" s="116">
        <f>100-SUM(C53:C62)</f>
        <v>20.799999999999997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>B35+B39</f>
        <v>139.4</v>
      </c>
      <c r="C53" s="116">
        <f>ROUND(B53/$B$63*100,1)</f>
        <v>6.2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>B36</f>
        <v>605.4</v>
      </c>
      <c r="C54" s="116">
        <f t="shared" ref="C54:C62" si="0">ROUND(B54/$B$63*100,1)</f>
        <v>27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0"/>
        <v>38.200000000000003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1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0"/>
        <v>0.5</v>
      </c>
      <c r="F57" s="114" t="s">
        <v>12</v>
      </c>
      <c r="G57" s="116">
        <f>C33</f>
        <v>2.02</v>
      </c>
      <c r="H57" s="116">
        <f t="shared" si="1"/>
        <v>0.1</v>
      </c>
    </row>
    <row r="58" spans="1:8">
      <c r="A58" s="114" t="s">
        <v>55</v>
      </c>
      <c r="B58" s="115">
        <f>B46</f>
        <v>37.400000000000006</v>
      </c>
      <c r="C58" s="116">
        <f t="shared" si="0"/>
        <v>1.7</v>
      </c>
      <c r="F58" s="114" t="s">
        <v>6</v>
      </c>
      <c r="G58" s="115">
        <f>C40</f>
        <v>11.39</v>
      </c>
      <c r="H58" s="116">
        <f t="shared" si="1"/>
        <v>0.4</v>
      </c>
    </row>
    <row r="59" spans="1:8">
      <c r="A59" s="114" t="s">
        <v>54</v>
      </c>
      <c r="B59" s="115">
        <f>B45</f>
        <v>37.400000000000006</v>
      </c>
      <c r="C59" s="116">
        <f t="shared" si="0"/>
        <v>1.7</v>
      </c>
      <c r="F59" s="114" t="s">
        <v>5</v>
      </c>
      <c r="G59" s="115">
        <f>C41</f>
        <v>428.71499999999997</v>
      </c>
      <c r="H59" s="116">
        <f t="shared" si="1"/>
        <v>14.2</v>
      </c>
    </row>
    <row r="60" spans="1:8">
      <c r="A60" s="114" t="s">
        <v>5</v>
      </c>
      <c r="B60" s="115">
        <f>B41</f>
        <v>3.6374999999999909</v>
      </c>
      <c r="C60" s="116">
        <f t="shared" si="0"/>
        <v>0.2</v>
      </c>
      <c r="F60" s="114" t="s">
        <v>4</v>
      </c>
      <c r="G60" s="115">
        <f>C42</f>
        <v>166.73214499999966</v>
      </c>
      <c r="H60" s="116">
        <f t="shared" si="1"/>
        <v>5.5</v>
      </c>
    </row>
    <row r="61" spans="1:8">
      <c r="A61" s="114" t="s">
        <v>4</v>
      </c>
      <c r="B61" s="115">
        <f>B42</f>
        <v>80.837264999999846</v>
      </c>
      <c r="C61" s="116">
        <f t="shared" si="0"/>
        <v>3.6</v>
      </c>
      <c r="F61" s="114" t="s">
        <v>22</v>
      </c>
      <c r="G61" s="115">
        <f>C43</f>
        <v>3.6960000000000002</v>
      </c>
      <c r="H61" s="116">
        <f t="shared" si="1"/>
        <v>0.1</v>
      </c>
    </row>
    <row r="62" spans="1:8">
      <c r="A62" s="114" t="s">
        <v>22</v>
      </c>
      <c r="B62" s="115">
        <f>B43</f>
        <v>2.13</v>
      </c>
      <c r="C62" s="116">
        <f t="shared" si="0"/>
        <v>0.1</v>
      </c>
      <c r="F62" s="117" t="s">
        <v>20</v>
      </c>
      <c r="G62" s="118">
        <f>SUM(G52:G61)</f>
        <v>3012.4531449999999</v>
      </c>
      <c r="H62" s="119">
        <f>SUM(H52:H61)</f>
        <v>100</v>
      </c>
    </row>
    <row r="63" spans="1:8">
      <c r="A63" s="117" t="s">
        <v>20</v>
      </c>
      <c r="B63" s="118">
        <f>SUM(B52:B62)</f>
        <v>2243.0417649999995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F67" s="112"/>
      <c r="G67" s="113" t="s">
        <v>26</v>
      </c>
    </row>
    <row r="68" spans="1:7">
      <c r="A68" s="114" t="s">
        <v>11</v>
      </c>
      <c r="B68" s="116">
        <f>100-SUM(B69:B79)</f>
        <v>39</v>
      </c>
      <c r="F68" s="114" t="s">
        <v>10</v>
      </c>
      <c r="G68" s="116">
        <f>ROUND((Z10/Z$24)*100,1)</f>
        <v>21.7</v>
      </c>
    </row>
    <row r="69" spans="1:7">
      <c r="A69" s="114" t="s">
        <v>10</v>
      </c>
      <c r="B69" s="116">
        <f>ROUND((SUM(R10,R14)/R$24)*100,1)</f>
        <v>8.6999999999999993</v>
      </c>
      <c r="F69" s="114" t="s">
        <v>9</v>
      </c>
      <c r="G69" s="116">
        <f>ROUND((Z11/Z$24)*100,1)</f>
        <v>2.2000000000000002</v>
      </c>
    </row>
    <row r="70" spans="1:7">
      <c r="A70" s="114" t="s">
        <v>9</v>
      </c>
      <c r="B70" s="116">
        <f>ROUND((R11/R$24)*100,1)</f>
        <v>5.7</v>
      </c>
      <c r="F70" s="114" t="s">
        <v>8</v>
      </c>
      <c r="G70" s="116">
        <f>ROUND((Z12/Z$24)*100,1)</f>
        <v>22.1</v>
      </c>
    </row>
    <row r="71" spans="1:7">
      <c r="A71" s="114" t="s">
        <v>25</v>
      </c>
      <c r="B71" s="116">
        <f>ROUND((R13/R$24)*100,1)</f>
        <v>10</v>
      </c>
      <c r="F71" s="114" t="s">
        <v>25</v>
      </c>
      <c r="G71" s="116">
        <f>100-SUM(G68:G70,G72:G77)</f>
        <v>39.499999999999993</v>
      </c>
    </row>
    <row r="72" spans="1:7">
      <c r="A72" s="114"/>
      <c r="B72" s="116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ROUND((R19/R$24)*100,1)</f>
        <v>0.6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>ROUND((R21/R$24)*100,1)</f>
        <v>3</v>
      </c>
      <c r="F74" s="114" t="s">
        <v>6</v>
      </c>
      <c r="G74" s="116">
        <f>ROUND((Z15/Z$24)*100,1)</f>
        <v>0.2</v>
      </c>
    </row>
    <row r="75" spans="1:7">
      <c r="A75" s="114" t="s">
        <v>54</v>
      </c>
      <c r="B75" s="116">
        <f>ROUND((R20/R$24)*100,1)</f>
        <v>3</v>
      </c>
      <c r="F75" s="114" t="s">
        <v>5</v>
      </c>
      <c r="G75" s="116">
        <f>ROUND((Z16/Z$24)*100,1)</f>
        <v>11.5</v>
      </c>
    </row>
    <row r="76" spans="1:7">
      <c r="A76" s="114" t="s">
        <v>5</v>
      </c>
      <c r="B76" s="116">
        <f>ROUND((R16/R$24)*100,1)</f>
        <v>0.1</v>
      </c>
      <c r="F76" s="114" t="s">
        <v>4</v>
      </c>
      <c r="G76" s="116">
        <f>ROUND((Z17/Z$24)*100,1)</f>
        <v>2.7</v>
      </c>
    </row>
    <row r="77" spans="1:7">
      <c r="A77" s="114" t="s">
        <v>4</v>
      </c>
      <c r="B77" s="116">
        <f>ROUND((R17/R$24)*100,1)</f>
        <v>1.8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>ROUND((R18/R$24)*100,1)</f>
        <v>0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ROUND((R23/R$24)*100,1)</f>
        <v>28.1</v>
      </c>
    </row>
    <row r="80" spans="1:7">
      <c r="A80" s="117" t="s">
        <v>20</v>
      </c>
      <c r="B80" s="119">
        <f>SUM(B68:B79)</f>
        <v>100</v>
      </c>
    </row>
    <row r="85" spans="1:26" ht="15">
      <c r="A85" s="145"/>
      <c r="B85" s="145" t="s">
        <v>70</v>
      </c>
      <c r="C85" s="208" t="s">
        <v>13</v>
      </c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/>
    </row>
    <row r="86" spans="1:26" ht="15">
      <c r="A86" s="145"/>
      <c r="B86" s="143" t="s">
        <v>68</v>
      </c>
      <c r="C86" s="182" t="s">
        <v>74</v>
      </c>
      <c r="D86" s="182" t="s">
        <v>57</v>
      </c>
      <c r="E86" s="182" t="s">
        <v>81</v>
      </c>
      <c r="F86" s="182" t="s">
        <v>80</v>
      </c>
      <c r="G86" s="182" t="s">
        <v>82</v>
      </c>
      <c r="H86" s="182" t="s">
        <v>86</v>
      </c>
      <c r="I86" s="182" t="s">
        <v>87</v>
      </c>
      <c r="J86" s="182" t="s">
        <v>83</v>
      </c>
      <c r="K86" s="182" t="s">
        <v>88</v>
      </c>
      <c r="L86" s="182" t="s">
        <v>89</v>
      </c>
      <c r="M86" s="182" t="s">
        <v>90</v>
      </c>
      <c r="N86" s="182" t="s">
        <v>91</v>
      </c>
      <c r="O86" s="182" t="s">
        <v>92</v>
      </c>
      <c r="P86" s="182" t="s">
        <v>93</v>
      </c>
      <c r="Q86" s="182" t="s">
        <v>94</v>
      </c>
      <c r="R86" s="182" t="s">
        <v>95</v>
      </c>
      <c r="S86" s="182" t="s">
        <v>96</v>
      </c>
      <c r="T86" s="182" t="s">
        <v>97</v>
      </c>
      <c r="U86" s="182" t="s">
        <v>106</v>
      </c>
      <c r="V86" s="182" t="s">
        <v>109</v>
      </c>
      <c r="W86" s="182" t="s">
        <v>110</v>
      </c>
      <c r="X86" s="182" t="s">
        <v>124</v>
      </c>
      <c r="Y86" s="182" t="s">
        <v>130</v>
      </c>
      <c r="Z86"/>
    </row>
    <row r="87" spans="1:26" ht="15">
      <c r="A87" s="145" t="s">
        <v>69</v>
      </c>
      <c r="B87" s="145" t="s">
        <v>71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/>
    </row>
    <row r="88" spans="1:26" ht="15">
      <c r="A88" s="200" t="s">
        <v>58</v>
      </c>
      <c r="B88" s="144" t="s">
        <v>11</v>
      </c>
      <c r="C88" s="147">
        <v>198.55502899999999</v>
      </c>
      <c r="D88" s="147">
        <v>192.79493400000001</v>
      </c>
      <c r="E88" s="147">
        <v>199.82157000000001</v>
      </c>
      <c r="F88" s="147">
        <v>183.05622099999999</v>
      </c>
      <c r="G88" s="147">
        <v>187.11588399999999</v>
      </c>
      <c r="H88" s="147">
        <v>207.64405500000001</v>
      </c>
      <c r="I88" s="147">
        <v>242.068479</v>
      </c>
      <c r="J88" s="147">
        <v>257.31310999999999</v>
      </c>
      <c r="K88" s="147">
        <v>250.63039499999999</v>
      </c>
      <c r="L88" s="147">
        <v>186.96457799999999</v>
      </c>
      <c r="M88" s="147">
        <v>108.227965</v>
      </c>
      <c r="N88" s="147">
        <v>181.578711</v>
      </c>
      <c r="O88" s="147">
        <v>217.72528600000001</v>
      </c>
      <c r="P88" s="147">
        <v>164.40237099999999</v>
      </c>
      <c r="Q88" s="147">
        <v>141.74739099999999</v>
      </c>
      <c r="R88" s="147">
        <v>126.20684799999999</v>
      </c>
      <c r="S88" s="147">
        <v>121.49093499999999</v>
      </c>
      <c r="T88" s="147">
        <v>98.710933999999995</v>
      </c>
      <c r="U88" s="147">
        <v>173.44610299999999</v>
      </c>
      <c r="V88" s="147">
        <v>257.56122599999998</v>
      </c>
      <c r="W88" s="147">
        <v>239.89604299999999</v>
      </c>
      <c r="X88" s="147">
        <v>190.859296</v>
      </c>
      <c r="Y88" s="147">
        <v>60.060212</v>
      </c>
      <c r="Z88"/>
    </row>
    <row r="89" spans="1:26" ht="15">
      <c r="A89" s="198"/>
      <c r="B89" s="144" t="s">
        <v>84</v>
      </c>
      <c r="C89" s="147">
        <v>35.080182000000001</v>
      </c>
      <c r="D89" s="147">
        <v>38.969616000000002</v>
      </c>
      <c r="E89" s="147">
        <v>35.928452</v>
      </c>
      <c r="F89" s="147">
        <v>37.207234999999997</v>
      </c>
      <c r="G89" s="147">
        <v>51.279922999999997</v>
      </c>
      <c r="H89" s="147">
        <v>59.423205000000003</v>
      </c>
      <c r="I89" s="147">
        <v>82.636359999999996</v>
      </c>
      <c r="J89" s="147">
        <v>89.525766000000004</v>
      </c>
      <c r="K89" s="147">
        <v>72.079989999999995</v>
      </c>
      <c r="L89" s="147">
        <v>57.781025999999997</v>
      </c>
      <c r="M89" s="147">
        <v>42.036839000000001</v>
      </c>
      <c r="N89" s="147">
        <v>32.932130000000001</v>
      </c>
      <c r="O89" s="147">
        <v>35.212248000000002</v>
      </c>
      <c r="P89" s="147">
        <v>26.576927000000001</v>
      </c>
      <c r="Q89" s="147">
        <v>16.635784999999998</v>
      </c>
      <c r="R89" s="147">
        <v>30.202653000000002</v>
      </c>
      <c r="S89" s="147">
        <v>38.207940999999998</v>
      </c>
      <c r="T89" s="147">
        <v>49.833764000000002</v>
      </c>
      <c r="U89" s="147">
        <v>64.359393999999995</v>
      </c>
      <c r="V89" s="147">
        <v>64.194573000000005</v>
      </c>
      <c r="W89" s="147">
        <v>50.613649000000002</v>
      </c>
      <c r="X89" s="147">
        <v>40.788257999999999</v>
      </c>
      <c r="Y89" s="147">
        <v>12.259859000000001</v>
      </c>
      <c r="Z89"/>
    </row>
    <row r="90" spans="1:26" ht="15">
      <c r="A90" s="198"/>
      <c r="B90" s="144" t="s">
        <v>9</v>
      </c>
      <c r="C90" s="147">
        <v>59.852255999999997</v>
      </c>
      <c r="D90" s="147">
        <v>59.882575000000003</v>
      </c>
      <c r="E90" s="147">
        <v>61.051561</v>
      </c>
      <c r="F90" s="147">
        <v>57.191896</v>
      </c>
      <c r="G90" s="147">
        <v>66.096778</v>
      </c>
      <c r="H90" s="147">
        <v>77.051412999999997</v>
      </c>
      <c r="I90" s="147">
        <v>95.847725999999994</v>
      </c>
      <c r="J90" s="147">
        <v>91.166568999999996</v>
      </c>
      <c r="K90" s="147">
        <v>75.102127999999993</v>
      </c>
      <c r="L90" s="147">
        <v>54.458812999999999</v>
      </c>
      <c r="M90" s="147">
        <v>47.932189000000001</v>
      </c>
      <c r="N90" s="147">
        <v>19.365110999999999</v>
      </c>
      <c r="O90" s="147">
        <v>22.524488000000002</v>
      </c>
      <c r="P90" s="147">
        <v>22.600860000000001</v>
      </c>
      <c r="Q90" s="147">
        <v>34.548490999999999</v>
      </c>
      <c r="R90" s="147">
        <v>30.171469999999999</v>
      </c>
      <c r="S90" s="147">
        <v>27.505562000000001</v>
      </c>
      <c r="T90" s="147">
        <v>38.491146999999998</v>
      </c>
      <c r="U90" s="147">
        <v>72.469969000000006</v>
      </c>
      <c r="V90" s="147">
        <v>70.419168999999997</v>
      </c>
      <c r="W90" s="147">
        <v>45.651693999999999</v>
      </c>
      <c r="X90" s="147">
        <v>27.935912999999999</v>
      </c>
      <c r="Y90" s="147">
        <v>10.724430999999999</v>
      </c>
      <c r="Z90"/>
    </row>
    <row r="91" spans="1:26" ht="15">
      <c r="A91" s="198"/>
      <c r="B91" s="144" t="s">
        <v>25</v>
      </c>
      <c r="C91" s="147">
        <v>31.200264000000001</v>
      </c>
      <c r="D91" s="147">
        <v>48.135339999999999</v>
      </c>
      <c r="E91" s="147">
        <v>39.439261999999999</v>
      </c>
      <c r="F91" s="147">
        <v>48.047037000000003</v>
      </c>
      <c r="G91" s="147">
        <v>45.724513999999999</v>
      </c>
      <c r="H91" s="147">
        <v>36.753745000000002</v>
      </c>
      <c r="I91" s="147">
        <v>53.754595000000002</v>
      </c>
      <c r="J91" s="147">
        <v>62.510635000000001</v>
      </c>
      <c r="K91" s="147">
        <v>31.103935</v>
      </c>
      <c r="L91" s="147">
        <v>45.569164000000001</v>
      </c>
      <c r="M91" s="147">
        <v>109.56093300000001</v>
      </c>
      <c r="N91" s="147">
        <v>38.723094000000003</v>
      </c>
      <c r="O91" s="147">
        <v>34.412135999999997</v>
      </c>
      <c r="P91" s="147">
        <v>55.402149000000001</v>
      </c>
      <c r="Q91" s="147">
        <v>83.928335000000004</v>
      </c>
      <c r="R91" s="147">
        <v>93.323053000000002</v>
      </c>
      <c r="S91" s="147">
        <v>103.560644</v>
      </c>
      <c r="T91" s="147">
        <v>148.873491</v>
      </c>
      <c r="U91" s="147">
        <v>160.980031</v>
      </c>
      <c r="V91" s="147">
        <v>81.694967000000005</v>
      </c>
      <c r="W91" s="147">
        <v>37.844405000000002</v>
      </c>
      <c r="X91" s="147">
        <v>49.054825999999998</v>
      </c>
      <c r="Y91" s="147">
        <v>40.682003999999999</v>
      </c>
      <c r="Z91"/>
    </row>
    <row r="92" spans="1:26" ht="15">
      <c r="A92" s="198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0.258189</v>
      </c>
      <c r="H92" s="147">
        <v>1.4068510000000001</v>
      </c>
      <c r="I92" s="147">
        <v>3.4087329999999998</v>
      </c>
      <c r="J92" s="147">
        <v>5.1961240000000002</v>
      </c>
      <c r="K92" s="147">
        <v>2.2653319999999999</v>
      </c>
      <c r="L92" s="147">
        <v>0.27849499999999999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0.182169</v>
      </c>
      <c r="T92" s="147">
        <v>1.4050560000000001</v>
      </c>
      <c r="U92" s="147">
        <v>4.1422929999999996</v>
      </c>
      <c r="V92" s="147">
        <v>4.8096079999999999</v>
      </c>
      <c r="W92" s="147">
        <v>4.5895020000000004</v>
      </c>
      <c r="X92" s="147">
        <v>1.7684709999999999</v>
      </c>
      <c r="Y92" s="147">
        <v>0</v>
      </c>
      <c r="Z92"/>
    </row>
    <row r="93" spans="1:26" ht="15">
      <c r="A93" s="198"/>
      <c r="B93" s="144" t="s">
        <v>5</v>
      </c>
      <c r="C93" s="147">
        <v>0.25263999999999998</v>
      </c>
      <c r="D93" s="147">
        <v>0.32401200000000002</v>
      </c>
      <c r="E93" s="147">
        <v>0.40592400000000001</v>
      </c>
      <c r="F93" s="147">
        <v>0.28265000000000001</v>
      </c>
      <c r="G93" s="147">
        <v>0.22889300000000001</v>
      </c>
      <c r="H93" s="147">
        <v>0.138682</v>
      </c>
      <c r="I93" s="147">
        <v>0.13932900000000001</v>
      </c>
      <c r="J93" s="147">
        <v>0.19220799999999999</v>
      </c>
      <c r="K93" s="147">
        <v>0.19817599999999999</v>
      </c>
      <c r="L93" s="147">
        <v>0.620313</v>
      </c>
      <c r="M93" s="147">
        <v>0.555396</v>
      </c>
      <c r="N93" s="147">
        <v>0.41894799999999999</v>
      </c>
      <c r="O93" s="147">
        <v>0.805427</v>
      </c>
      <c r="P93" s="147">
        <v>0.49932900000000002</v>
      </c>
      <c r="Q93" s="147">
        <v>0.70238800000000001</v>
      </c>
      <c r="R93" s="147">
        <v>0.63947100000000001</v>
      </c>
      <c r="S93" s="147">
        <v>0.653721</v>
      </c>
      <c r="T93" s="147">
        <v>0.34985300000000003</v>
      </c>
      <c r="U93" s="147">
        <v>0.23036599999999999</v>
      </c>
      <c r="V93" s="147">
        <v>0.347945</v>
      </c>
      <c r="W93" s="147">
        <v>0.51373500000000005</v>
      </c>
      <c r="X93" s="147">
        <v>0.402117</v>
      </c>
      <c r="Y93" s="147">
        <v>0.28566999999999998</v>
      </c>
      <c r="Z93"/>
    </row>
    <row r="94" spans="1:26" ht="15">
      <c r="A94" s="198"/>
      <c r="B94" s="144" t="s">
        <v>4</v>
      </c>
      <c r="C94" s="147">
        <v>7.0445000000000002</v>
      </c>
      <c r="D94" s="147">
        <v>5.3380900000000002</v>
      </c>
      <c r="E94" s="147">
        <v>10.207919</v>
      </c>
      <c r="F94" s="147">
        <v>11.477546</v>
      </c>
      <c r="G94" s="147">
        <v>11.852795</v>
      </c>
      <c r="H94" s="147">
        <v>12.390930000000001</v>
      </c>
      <c r="I94" s="147">
        <v>13.412572000000001</v>
      </c>
      <c r="J94" s="147">
        <v>11.599539999999999</v>
      </c>
      <c r="K94" s="147">
        <v>9.3092640000000006</v>
      </c>
      <c r="L94" s="147">
        <v>8.0499039999999997</v>
      </c>
      <c r="M94" s="147">
        <v>6.0326560000000002</v>
      </c>
      <c r="N94" s="147">
        <v>6.7678240000000001</v>
      </c>
      <c r="O94" s="147">
        <v>7.284478</v>
      </c>
      <c r="P94" s="147">
        <v>9.3459380000000003</v>
      </c>
      <c r="Q94" s="147">
        <v>11.373048000000001</v>
      </c>
      <c r="R94" s="147">
        <v>10.643307999999999</v>
      </c>
      <c r="S94" s="147">
        <v>12.915601000000001</v>
      </c>
      <c r="T94" s="147">
        <v>13.270170999999999</v>
      </c>
      <c r="U94" s="147">
        <v>12.470931</v>
      </c>
      <c r="V94" s="147">
        <v>12.139662</v>
      </c>
      <c r="W94" s="147">
        <v>9.9702669999999998</v>
      </c>
      <c r="X94" s="147">
        <v>9.0470970000000008</v>
      </c>
      <c r="Y94" s="147">
        <v>2.8835299999999999</v>
      </c>
      <c r="Z94"/>
    </row>
    <row r="95" spans="1:26" ht="15">
      <c r="A95" s="198"/>
      <c r="B95" s="144" t="s">
        <v>22</v>
      </c>
      <c r="C95" s="147">
        <v>0.219363</v>
      </c>
      <c r="D95" s="147">
        <v>0.16624</v>
      </c>
      <c r="E95" s="147">
        <v>0.184165</v>
      </c>
      <c r="F95" s="147">
        <v>0.130801</v>
      </c>
      <c r="G95" s="147">
        <v>0.12767999999999999</v>
      </c>
      <c r="H95" s="147">
        <v>0.110028</v>
      </c>
      <c r="I95" s="147">
        <v>5.7736999999999997E-2</v>
      </c>
      <c r="J95" s="147">
        <v>5.6852E-2</v>
      </c>
      <c r="K95" s="147">
        <v>1.917E-2</v>
      </c>
      <c r="L95" s="147">
        <v>6.0415000000000003E-2</v>
      </c>
      <c r="M95" s="147">
        <v>6.8765999999999994E-2</v>
      </c>
      <c r="N95" s="147">
        <v>0.13137799999999999</v>
      </c>
      <c r="O95" s="147">
        <v>0.107643</v>
      </c>
      <c r="P95" s="147">
        <v>8.2346000000000003E-2</v>
      </c>
      <c r="Q95" s="147">
        <v>0.111343</v>
      </c>
      <c r="R95" s="147">
        <v>8.9931999999999998E-2</v>
      </c>
      <c r="S95" s="147">
        <v>5.4199999999999998E-2</v>
      </c>
      <c r="T95" s="147">
        <v>0.12551699999999999</v>
      </c>
      <c r="U95" s="147">
        <v>9.8985000000000004E-2</v>
      </c>
      <c r="V95" s="147">
        <v>8.3363000000000007E-2</v>
      </c>
      <c r="W95" s="147">
        <v>9.2619999999999994E-2</v>
      </c>
      <c r="X95" s="147">
        <v>9.9426E-2</v>
      </c>
      <c r="Y95" s="147">
        <v>3.4200000000000001E-2</v>
      </c>
      <c r="Z95"/>
    </row>
    <row r="96" spans="1:26" ht="15">
      <c r="A96" s="198"/>
      <c r="B96" s="144" t="s">
        <v>23</v>
      </c>
      <c r="C96" s="147">
        <v>3.1829869999999998</v>
      </c>
      <c r="D96" s="147">
        <v>3.0836540000000001</v>
      </c>
      <c r="E96" s="147">
        <v>2.2946849999999999</v>
      </c>
      <c r="F96" s="147">
        <v>1.9821660000000001</v>
      </c>
      <c r="G96" s="147">
        <v>2.5785749999999998</v>
      </c>
      <c r="H96" s="147">
        <v>3.3572419999999998</v>
      </c>
      <c r="I96" s="147">
        <v>3.5655640000000002</v>
      </c>
      <c r="J96" s="147">
        <v>3.5154580000000002</v>
      </c>
      <c r="K96" s="147">
        <v>2.43655</v>
      </c>
      <c r="L96" s="147">
        <v>2.5715089999999998</v>
      </c>
      <c r="M96" s="147">
        <v>3.145667</v>
      </c>
      <c r="N96" s="147">
        <v>3.260389</v>
      </c>
      <c r="O96" s="147">
        <v>3.3415469999999998</v>
      </c>
      <c r="P96" s="147">
        <v>3.483536</v>
      </c>
      <c r="Q96" s="147">
        <v>3.2674569999999998</v>
      </c>
      <c r="R96" s="147">
        <v>2.9153180000000001</v>
      </c>
      <c r="S96" s="147">
        <v>2.2857509999999999</v>
      </c>
      <c r="T96" s="147">
        <v>2.3003499999999999</v>
      </c>
      <c r="U96" s="147">
        <v>1.194464</v>
      </c>
      <c r="V96" s="147">
        <v>2.848757</v>
      </c>
      <c r="W96" s="147">
        <v>2.8740579999999998</v>
      </c>
      <c r="X96" s="147">
        <v>2.8082799999999999</v>
      </c>
      <c r="Y96" s="147">
        <v>1.1362699999999999</v>
      </c>
      <c r="Z96"/>
    </row>
    <row r="97" spans="1:26" ht="15">
      <c r="A97" s="198"/>
      <c r="B97" s="144" t="s">
        <v>54</v>
      </c>
      <c r="C97" s="147">
        <v>7.4814245000000001</v>
      </c>
      <c r="D97" s="147">
        <v>4.4559544999999998</v>
      </c>
      <c r="E97" s="147">
        <v>11.199851499999999</v>
      </c>
      <c r="F97" s="147">
        <v>10.4867385</v>
      </c>
      <c r="G97" s="147">
        <v>10.524592</v>
      </c>
      <c r="H97" s="147">
        <v>14.7091545</v>
      </c>
      <c r="I97" s="147">
        <v>14.429119</v>
      </c>
      <c r="J97" s="147">
        <v>14.9613625</v>
      </c>
      <c r="K97" s="147">
        <v>13.4535695</v>
      </c>
      <c r="L97" s="147">
        <v>13.8976735</v>
      </c>
      <c r="M97" s="147">
        <v>7.0333759999999996</v>
      </c>
      <c r="N97" s="147">
        <v>13.124928499999999</v>
      </c>
      <c r="O97" s="147">
        <v>9.5605395000000009</v>
      </c>
      <c r="P97" s="147">
        <v>6.8600294999999996</v>
      </c>
      <c r="Q97" s="147">
        <v>11.083662500000001</v>
      </c>
      <c r="R97" s="147">
        <v>13.4563305</v>
      </c>
      <c r="S97" s="147">
        <v>13.087209</v>
      </c>
      <c r="T97" s="147">
        <v>13.341946</v>
      </c>
      <c r="U97" s="147">
        <v>14.4424645</v>
      </c>
      <c r="V97" s="147">
        <v>12.562136000000001</v>
      </c>
      <c r="W97" s="147">
        <v>13.691565000000001</v>
      </c>
      <c r="X97" s="147">
        <v>14.954476</v>
      </c>
      <c r="Y97" s="147">
        <v>4.9885000000000002</v>
      </c>
      <c r="Z97"/>
    </row>
    <row r="98" spans="1:26" ht="15">
      <c r="A98" s="198"/>
      <c r="B98" s="144" t="s">
        <v>55</v>
      </c>
      <c r="C98" s="147">
        <v>7.4814245000000001</v>
      </c>
      <c r="D98" s="147">
        <v>4.4559544999999998</v>
      </c>
      <c r="E98" s="147">
        <v>11.199851499999999</v>
      </c>
      <c r="F98" s="147">
        <v>10.4867385</v>
      </c>
      <c r="G98" s="147">
        <v>10.524592</v>
      </c>
      <c r="H98" s="147">
        <v>14.7091545</v>
      </c>
      <c r="I98" s="147">
        <v>14.429119</v>
      </c>
      <c r="J98" s="147">
        <v>14.9613625</v>
      </c>
      <c r="K98" s="147">
        <v>13.4535695</v>
      </c>
      <c r="L98" s="147">
        <v>13.8976735</v>
      </c>
      <c r="M98" s="147">
        <v>7.0333759999999996</v>
      </c>
      <c r="N98" s="147">
        <v>13.124928499999999</v>
      </c>
      <c r="O98" s="147">
        <v>9.5605395000000009</v>
      </c>
      <c r="P98" s="147">
        <v>6.8600294999999996</v>
      </c>
      <c r="Q98" s="147">
        <v>11.083662500000001</v>
      </c>
      <c r="R98" s="147">
        <v>13.4563305</v>
      </c>
      <c r="S98" s="147">
        <v>13.087209</v>
      </c>
      <c r="T98" s="147">
        <v>13.341946</v>
      </c>
      <c r="U98" s="147">
        <v>14.4424645</v>
      </c>
      <c r="V98" s="147">
        <v>12.562136000000001</v>
      </c>
      <c r="W98" s="147">
        <v>13.691565000000001</v>
      </c>
      <c r="X98" s="147">
        <v>14.954476</v>
      </c>
      <c r="Y98" s="147">
        <v>4.9885000000000002</v>
      </c>
      <c r="Z98"/>
    </row>
    <row r="99" spans="1:26" ht="15">
      <c r="A99" s="198"/>
      <c r="B99" s="149" t="s">
        <v>2</v>
      </c>
      <c r="C99" s="150">
        <v>350.35007000000002</v>
      </c>
      <c r="D99" s="150">
        <v>357.60637000000003</v>
      </c>
      <c r="E99" s="150">
        <v>371.73324100000002</v>
      </c>
      <c r="F99" s="150">
        <v>360.34902899999997</v>
      </c>
      <c r="G99" s="150">
        <v>386.31241499999999</v>
      </c>
      <c r="H99" s="150">
        <v>427.69445999999999</v>
      </c>
      <c r="I99" s="150">
        <v>523.74933299999998</v>
      </c>
      <c r="J99" s="150">
        <v>550.99898700000006</v>
      </c>
      <c r="K99" s="150">
        <v>470.05207899999999</v>
      </c>
      <c r="L99" s="150">
        <v>384.149564</v>
      </c>
      <c r="M99" s="150">
        <v>331.627163</v>
      </c>
      <c r="N99" s="150">
        <v>309.42744199999999</v>
      </c>
      <c r="O99" s="150">
        <v>340.53433200000001</v>
      </c>
      <c r="P99" s="150">
        <v>296.11351500000001</v>
      </c>
      <c r="Q99" s="150">
        <v>314.48156299999999</v>
      </c>
      <c r="R99" s="150">
        <v>321.104714</v>
      </c>
      <c r="S99" s="150">
        <v>333.03094199999998</v>
      </c>
      <c r="T99" s="150">
        <v>380.044175</v>
      </c>
      <c r="U99" s="150">
        <v>518.27746500000001</v>
      </c>
      <c r="V99" s="150">
        <v>519.22354199999995</v>
      </c>
      <c r="W99" s="150">
        <v>419.429103</v>
      </c>
      <c r="X99" s="150">
        <v>352.67263600000001</v>
      </c>
      <c r="Y99" s="150">
        <v>138.04317599999999</v>
      </c>
      <c r="Z99"/>
    </row>
    <row r="100" spans="1:26" ht="15">
      <c r="A100" s="198"/>
      <c r="B100" s="144" t="s">
        <v>21</v>
      </c>
      <c r="C100" s="147">
        <v>86.203828999999999</v>
      </c>
      <c r="D100" s="147">
        <v>99.993398999999997</v>
      </c>
      <c r="E100" s="147">
        <v>89.996875000000003</v>
      </c>
      <c r="F100" s="147">
        <v>66.467519999999993</v>
      </c>
      <c r="G100" s="147">
        <v>89.565090999999995</v>
      </c>
      <c r="H100" s="147">
        <v>108.62363499999999</v>
      </c>
      <c r="I100" s="147">
        <v>161.79160300000001</v>
      </c>
      <c r="J100" s="147">
        <v>153.133589</v>
      </c>
      <c r="K100" s="147">
        <v>107.931268</v>
      </c>
      <c r="L100" s="147">
        <v>92.007576999999998</v>
      </c>
      <c r="M100" s="147">
        <v>65.068314999999998</v>
      </c>
      <c r="N100" s="147">
        <v>112.575441</v>
      </c>
      <c r="O100" s="147">
        <v>137.254998</v>
      </c>
      <c r="P100" s="147">
        <v>119.223619</v>
      </c>
      <c r="Q100" s="147">
        <v>122.32533599999999</v>
      </c>
      <c r="R100" s="147">
        <v>124.430774</v>
      </c>
      <c r="S100" s="147">
        <v>143.16130000000001</v>
      </c>
      <c r="T100" s="147">
        <v>159.634671</v>
      </c>
      <c r="U100" s="147">
        <v>201.16611399999999</v>
      </c>
      <c r="V100" s="147">
        <v>185.76976199999999</v>
      </c>
      <c r="W100" s="147">
        <v>153.19726600000001</v>
      </c>
      <c r="X100" s="147">
        <v>137.66557</v>
      </c>
      <c r="Y100" s="147">
        <v>31.425000000000001</v>
      </c>
      <c r="Z100"/>
    </row>
    <row r="101" spans="1:26" ht="15">
      <c r="A101" s="199"/>
      <c r="B101" s="149" t="s">
        <v>85</v>
      </c>
      <c r="C101" s="150">
        <v>436.553899</v>
      </c>
      <c r="D101" s="150">
        <v>457.59976899999998</v>
      </c>
      <c r="E101" s="150">
        <v>461.73011600000001</v>
      </c>
      <c r="F101" s="150">
        <v>426.81654900000001</v>
      </c>
      <c r="G101" s="150">
        <v>475.87750599999998</v>
      </c>
      <c r="H101" s="150">
        <v>536.31809499999997</v>
      </c>
      <c r="I101" s="150">
        <v>685.54093599999999</v>
      </c>
      <c r="J101" s="150">
        <v>704.13257599999997</v>
      </c>
      <c r="K101" s="150">
        <v>577.98334699999998</v>
      </c>
      <c r="L101" s="150">
        <v>476.15714100000002</v>
      </c>
      <c r="M101" s="150">
        <v>396.69547799999998</v>
      </c>
      <c r="N101" s="150">
        <v>422.002883</v>
      </c>
      <c r="O101" s="150">
        <v>477.78933000000001</v>
      </c>
      <c r="P101" s="150">
        <v>415.33713399999999</v>
      </c>
      <c r="Q101" s="150">
        <v>436.80689899999999</v>
      </c>
      <c r="R101" s="150">
        <v>445.53548799999999</v>
      </c>
      <c r="S101" s="150">
        <v>476.19224200000002</v>
      </c>
      <c r="T101" s="150">
        <v>539.67884600000002</v>
      </c>
      <c r="U101" s="150">
        <v>719.443579</v>
      </c>
      <c r="V101" s="150">
        <v>704.99330399999997</v>
      </c>
      <c r="W101" s="150">
        <v>572.62636899999995</v>
      </c>
      <c r="X101" s="150">
        <v>490.33820600000001</v>
      </c>
      <c r="Y101" s="150">
        <v>169.468176</v>
      </c>
      <c r="Z101"/>
    </row>
    <row r="102" spans="1:26" ht="15">
      <c r="A102" s="197" t="s">
        <v>59</v>
      </c>
      <c r="B102" s="144" t="s">
        <v>12</v>
      </c>
      <c r="C102" s="147">
        <v>0.27943200000000001</v>
      </c>
      <c r="D102" s="147">
        <v>3.4173000000000002E-2</v>
      </c>
      <c r="E102" s="147">
        <v>0.309946</v>
      </c>
      <c r="F102" s="147">
        <v>0.27612300000000001</v>
      </c>
      <c r="G102" s="147">
        <v>0.308334</v>
      </c>
      <c r="H102" s="147">
        <v>0.29448200000000002</v>
      </c>
      <c r="I102" s="147">
        <v>0.29559600000000003</v>
      </c>
      <c r="J102" s="147">
        <v>0.30764000000000002</v>
      </c>
      <c r="K102" s="147">
        <v>0.28839900000000002</v>
      </c>
      <c r="L102" s="147">
        <v>0.297373</v>
      </c>
      <c r="M102" s="147">
        <v>0.28930699999999998</v>
      </c>
      <c r="N102" s="147">
        <v>0.29630699999999999</v>
      </c>
      <c r="O102" s="147">
        <v>0.29291600000000001</v>
      </c>
      <c r="P102" s="147">
        <v>0.26504899999999998</v>
      </c>
      <c r="Q102" s="147">
        <v>0.298315</v>
      </c>
      <c r="R102" s="147">
        <v>0.29424499999999998</v>
      </c>
      <c r="S102" s="147">
        <v>0.299674</v>
      </c>
      <c r="T102" s="147">
        <v>0.27668100000000001</v>
      </c>
      <c r="U102" s="147">
        <v>0.29841899999999999</v>
      </c>
      <c r="V102" s="147">
        <v>0.29929</v>
      </c>
      <c r="W102" s="147">
        <v>0.28253899999999998</v>
      </c>
      <c r="X102" s="147">
        <v>0.297543</v>
      </c>
      <c r="Y102" s="147">
        <v>7.7866000000000005E-2</v>
      </c>
      <c r="Z102"/>
    </row>
    <row r="103" spans="1:26" ht="15">
      <c r="A103" s="198"/>
      <c r="B103" s="144" t="s">
        <v>84</v>
      </c>
      <c r="C103" s="147">
        <v>184.470955</v>
      </c>
      <c r="D103" s="147">
        <v>165.51885899999999</v>
      </c>
      <c r="E103" s="147">
        <v>176.17658599999999</v>
      </c>
      <c r="F103" s="147">
        <v>171.46459999999999</v>
      </c>
      <c r="G103" s="147">
        <v>172.14836700000001</v>
      </c>
      <c r="H103" s="147">
        <v>162.811961</v>
      </c>
      <c r="I103" s="147">
        <v>173.812749</v>
      </c>
      <c r="J103" s="147">
        <v>196.42565300000001</v>
      </c>
      <c r="K103" s="147">
        <v>187.12256099999999</v>
      </c>
      <c r="L103" s="147">
        <v>190.675118</v>
      </c>
      <c r="M103" s="147">
        <v>163.85602700000001</v>
      </c>
      <c r="N103" s="147">
        <v>176.651453</v>
      </c>
      <c r="O103" s="147">
        <v>174.26427200000001</v>
      </c>
      <c r="P103" s="147">
        <v>152.846857</v>
      </c>
      <c r="Q103" s="147">
        <v>161.02722900000001</v>
      </c>
      <c r="R103" s="147">
        <v>157.06491</v>
      </c>
      <c r="S103" s="147">
        <v>150.35795200000001</v>
      </c>
      <c r="T103" s="147">
        <v>167.34978899999999</v>
      </c>
      <c r="U103" s="147">
        <v>155.88908699999999</v>
      </c>
      <c r="V103" s="147">
        <v>173.50264200000001</v>
      </c>
      <c r="W103" s="147">
        <v>167.04003</v>
      </c>
      <c r="X103" s="147">
        <v>168.13456400000001</v>
      </c>
      <c r="Y103" s="147">
        <v>61.292361</v>
      </c>
      <c r="Z103"/>
    </row>
    <row r="104" spans="1:26" ht="15">
      <c r="A104" s="198"/>
      <c r="B104" s="144" t="s">
        <v>9</v>
      </c>
      <c r="C104" s="147">
        <v>27.249141000000002</v>
      </c>
      <c r="D104" s="147">
        <v>24.751363999999999</v>
      </c>
      <c r="E104" s="147">
        <v>19.300775999999999</v>
      </c>
      <c r="F104" s="147">
        <v>22.020657</v>
      </c>
      <c r="G104" s="147">
        <v>27.236414</v>
      </c>
      <c r="H104" s="147">
        <v>24.035202999999999</v>
      </c>
      <c r="I104" s="147">
        <v>19.071615000000001</v>
      </c>
      <c r="J104" s="147">
        <v>22.413599999999999</v>
      </c>
      <c r="K104" s="147">
        <v>28.306325999999999</v>
      </c>
      <c r="L104" s="147">
        <v>25.162983000000001</v>
      </c>
      <c r="M104" s="147">
        <v>25.639095999999999</v>
      </c>
      <c r="N104" s="147">
        <v>18.905633999999999</v>
      </c>
      <c r="O104" s="147">
        <v>21.945627999999999</v>
      </c>
      <c r="P104" s="147">
        <v>18.942269</v>
      </c>
      <c r="Q104" s="147">
        <v>19.360040999999999</v>
      </c>
      <c r="R104" s="147">
        <v>20.008278000000001</v>
      </c>
      <c r="S104" s="147">
        <v>23.358886999999999</v>
      </c>
      <c r="T104" s="147">
        <v>14.744834000000001</v>
      </c>
      <c r="U104" s="147">
        <v>16.517122000000001</v>
      </c>
      <c r="V104" s="147">
        <v>17.472964999999999</v>
      </c>
      <c r="W104" s="147">
        <v>24.793182999999999</v>
      </c>
      <c r="X104" s="147">
        <v>16.664884000000001</v>
      </c>
      <c r="Y104" s="147">
        <v>5.1562619999999999</v>
      </c>
      <c r="Z104"/>
    </row>
    <row r="105" spans="1:26" ht="15">
      <c r="A105" s="198"/>
      <c r="B105" s="144" t="s">
        <v>8</v>
      </c>
      <c r="C105" s="147">
        <v>230.384784</v>
      </c>
      <c r="D105" s="147">
        <v>210.40916100000001</v>
      </c>
      <c r="E105" s="147">
        <v>195.20305200000001</v>
      </c>
      <c r="F105" s="147">
        <v>189.55861100000001</v>
      </c>
      <c r="G105" s="147">
        <v>186.40918600000001</v>
      </c>
      <c r="H105" s="147">
        <v>200.03084899999999</v>
      </c>
      <c r="I105" s="147">
        <v>206.69372799999999</v>
      </c>
      <c r="J105" s="147">
        <v>214.943949</v>
      </c>
      <c r="K105" s="147">
        <v>188.60526999999999</v>
      </c>
      <c r="L105" s="147">
        <v>201.924623</v>
      </c>
      <c r="M105" s="147">
        <v>224.02625399999999</v>
      </c>
      <c r="N105" s="147">
        <v>207.24283</v>
      </c>
      <c r="O105" s="147">
        <v>218.650612</v>
      </c>
      <c r="P105" s="147">
        <v>212.98181099999999</v>
      </c>
      <c r="Q105" s="147">
        <v>209.06030999999999</v>
      </c>
      <c r="R105" s="147">
        <v>199.95457400000001</v>
      </c>
      <c r="S105" s="147">
        <v>201.71434600000001</v>
      </c>
      <c r="T105" s="147">
        <v>209.91055800000001</v>
      </c>
      <c r="U105" s="147">
        <v>137.955038</v>
      </c>
      <c r="V105" s="147">
        <v>116.694829</v>
      </c>
      <c r="W105" s="147">
        <v>157.50902600000001</v>
      </c>
      <c r="X105" s="147">
        <v>170.575942</v>
      </c>
      <c r="Y105" s="147">
        <v>69.320498000000001</v>
      </c>
      <c r="Z105"/>
    </row>
    <row r="106" spans="1:26" ht="15">
      <c r="A106" s="198"/>
      <c r="B106" s="144" t="s">
        <v>25</v>
      </c>
      <c r="C106" s="147">
        <v>233.901625</v>
      </c>
      <c r="D106" s="147">
        <v>215.21677199999999</v>
      </c>
      <c r="E106" s="147">
        <v>260.839181</v>
      </c>
      <c r="F106" s="147">
        <v>246.337683</v>
      </c>
      <c r="G106" s="147">
        <v>248.61678900000001</v>
      </c>
      <c r="H106" s="147">
        <v>234.94823600000001</v>
      </c>
      <c r="I106" s="147">
        <v>230.14559600000001</v>
      </c>
      <c r="J106" s="147">
        <v>251.789052</v>
      </c>
      <c r="K106" s="147">
        <v>281.47467399999999</v>
      </c>
      <c r="L106" s="147">
        <v>317.069143</v>
      </c>
      <c r="M106" s="147">
        <v>256.69696599999997</v>
      </c>
      <c r="N106" s="147">
        <v>273.98589099999998</v>
      </c>
      <c r="O106" s="147">
        <v>264.507273</v>
      </c>
      <c r="P106" s="147">
        <v>221.964823</v>
      </c>
      <c r="Q106" s="147">
        <v>224.52281400000001</v>
      </c>
      <c r="R106" s="147">
        <v>229.693647</v>
      </c>
      <c r="S106" s="147">
        <v>220.83250000000001</v>
      </c>
      <c r="T106" s="147">
        <v>222.51747599999999</v>
      </c>
      <c r="U106" s="147">
        <v>262.048877</v>
      </c>
      <c r="V106" s="147">
        <v>290.23648900000001</v>
      </c>
      <c r="W106" s="147">
        <v>276.37973799999997</v>
      </c>
      <c r="X106" s="147">
        <v>305.83225499999998</v>
      </c>
      <c r="Y106" s="147">
        <v>96.650948</v>
      </c>
      <c r="Z106"/>
    </row>
    <row r="107" spans="1:26" ht="15">
      <c r="A107" s="198"/>
      <c r="B107" s="144" t="s">
        <v>6</v>
      </c>
      <c r="C107" s="147">
        <v>2.2577669999999999</v>
      </c>
      <c r="D107" s="147">
        <v>1.754305</v>
      </c>
      <c r="E107" s="147">
        <v>1.5995220000000001</v>
      </c>
      <c r="F107" s="147">
        <v>2.2626460000000002</v>
      </c>
      <c r="G107" s="147">
        <v>2.0342030000000002</v>
      </c>
      <c r="H107" s="147">
        <v>2.3218040000000002</v>
      </c>
      <c r="I107" s="147">
        <v>3.7162829999999998</v>
      </c>
      <c r="J107" s="147">
        <v>2.859321</v>
      </c>
      <c r="K107" s="147">
        <v>2.165861</v>
      </c>
      <c r="L107" s="147">
        <v>0.87331099999999995</v>
      </c>
      <c r="M107" s="147">
        <v>0.90078800000000003</v>
      </c>
      <c r="N107" s="147">
        <v>0.90973300000000001</v>
      </c>
      <c r="O107" s="147">
        <v>1.109656</v>
      </c>
      <c r="P107" s="147">
        <v>0.97254499999999999</v>
      </c>
      <c r="Q107" s="147">
        <v>1.955158</v>
      </c>
      <c r="R107" s="147">
        <v>1.5483690000000001</v>
      </c>
      <c r="S107" s="147">
        <v>2.031012</v>
      </c>
      <c r="T107" s="147">
        <v>1.3721410000000001</v>
      </c>
      <c r="U107" s="147">
        <v>3.727338</v>
      </c>
      <c r="V107" s="147">
        <v>3.4751189999999998</v>
      </c>
      <c r="W107" s="147">
        <v>2.2183510000000002</v>
      </c>
      <c r="X107" s="147">
        <v>1.582837</v>
      </c>
      <c r="Y107" s="147">
        <v>1.282427</v>
      </c>
      <c r="Z107"/>
    </row>
    <row r="108" spans="1:26" ht="15">
      <c r="A108" s="198"/>
      <c r="B108" s="144" t="s">
        <v>5</v>
      </c>
      <c r="C108" s="147">
        <v>56.908338999999998</v>
      </c>
      <c r="D108" s="147">
        <v>46.206065000000002</v>
      </c>
      <c r="E108" s="147">
        <v>50.516177999999996</v>
      </c>
      <c r="F108" s="147">
        <v>45.545817999999997</v>
      </c>
      <c r="G108" s="147">
        <v>55.351522000000003</v>
      </c>
      <c r="H108" s="147">
        <v>56.430290999999997</v>
      </c>
      <c r="I108" s="147">
        <v>95.158366999999998</v>
      </c>
      <c r="J108" s="147">
        <v>65.080791000000005</v>
      </c>
      <c r="K108" s="147">
        <v>51.688220999999999</v>
      </c>
      <c r="L108" s="147">
        <v>22.368559999999999</v>
      </c>
      <c r="M108" s="147">
        <v>32.447859000000001</v>
      </c>
      <c r="N108" s="147">
        <v>44.326591000000001</v>
      </c>
      <c r="O108" s="147">
        <v>53.23789</v>
      </c>
      <c r="P108" s="147">
        <v>47.231451999999997</v>
      </c>
      <c r="Q108" s="147">
        <v>96.846602000000004</v>
      </c>
      <c r="R108" s="147">
        <v>66.984110999999999</v>
      </c>
      <c r="S108" s="147">
        <v>95.371887000000001</v>
      </c>
      <c r="T108" s="147">
        <v>74.330708999999999</v>
      </c>
      <c r="U108" s="147">
        <v>158.183166</v>
      </c>
      <c r="V108" s="147">
        <v>158.502759</v>
      </c>
      <c r="W108" s="147">
        <v>100.47458899999999</v>
      </c>
      <c r="X108" s="147">
        <v>89.262077000000005</v>
      </c>
      <c r="Y108" s="147">
        <v>79.085723999999999</v>
      </c>
      <c r="Z108"/>
    </row>
    <row r="109" spans="1:26" ht="15">
      <c r="A109" s="198"/>
      <c r="B109" s="144" t="s">
        <v>4</v>
      </c>
      <c r="C109" s="147">
        <v>19.072745000000001</v>
      </c>
      <c r="D109" s="147">
        <v>17.886313000000001</v>
      </c>
      <c r="E109" s="147">
        <v>25.114194999999999</v>
      </c>
      <c r="F109" s="147">
        <v>25.220663999999999</v>
      </c>
      <c r="G109" s="147">
        <v>23.092976</v>
      </c>
      <c r="H109" s="147">
        <v>25.995988000000001</v>
      </c>
      <c r="I109" s="147">
        <v>29.446832000000001</v>
      </c>
      <c r="J109" s="147">
        <v>27.697894000000002</v>
      </c>
      <c r="K109" s="147">
        <v>24.131523000000001</v>
      </c>
      <c r="L109" s="147">
        <v>19.523973999999999</v>
      </c>
      <c r="M109" s="147">
        <v>16.178767000000001</v>
      </c>
      <c r="N109" s="147">
        <v>18.710820999999999</v>
      </c>
      <c r="O109" s="147">
        <v>17.902628</v>
      </c>
      <c r="P109" s="147">
        <v>21.361954999999998</v>
      </c>
      <c r="Q109" s="147">
        <v>24.910511</v>
      </c>
      <c r="R109" s="147">
        <v>24.434999999999999</v>
      </c>
      <c r="S109" s="147">
        <v>29.431000000000001</v>
      </c>
      <c r="T109" s="147">
        <v>23.327897</v>
      </c>
      <c r="U109" s="147">
        <v>29.517797000000002</v>
      </c>
      <c r="V109" s="147">
        <v>27.277090000000001</v>
      </c>
      <c r="W109" s="147">
        <v>23.073407</v>
      </c>
      <c r="X109" s="147">
        <v>20.507878000000002</v>
      </c>
      <c r="Y109" s="147">
        <v>5.8525029999999996</v>
      </c>
      <c r="Z109"/>
    </row>
    <row r="110" spans="1:26" ht="15">
      <c r="A110" s="198"/>
      <c r="B110" s="144" t="s">
        <v>22</v>
      </c>
      <c r="C110" s="147">
        <v>0.76242299999999996</v>
      </c>
      <c r="D110" s="147">
        <v>0.64657299999999995</v>
      </c>
      <c r="E110" s="147">
        <v>0.83729399999999998</v>
      </c>
      <c r="F110" s="147">
        <v>0.53889699999999996</v>
      </c>
      <c r="G110" s="147">
        <v>0.75060099999999996</v>
      </c>
      <c r="H110" s="147">
        <v>0.53101500000000001</v>
      </c>
      <c r="I110" s="147">
        <v>0.70239399999999996</v>
      </c>
      <c r="J110" s="147">
        <v>0.81645199999999996</v>
      </c>
      <c r="K110" s="147">
        <v>0.78290899999999997</v>
      </c>
      <c r="L110" s="147">
        <v>0.813334</v>
      </c>
      <c r="M110" s="147">
        <v>0.85025300000000004</v>
      </c>
      <c r="N110" s="147">
        <v>0.89945200000000003</v>
      </c>
      <c r="O110" s="147">
        <v>0.96332899999999999</v>
      </c>
      <c r="P110" s="147">
        <v>0.82279800000000003</v>
      </c>
      <c r="Q110" s="147">
        <v>0.90107099999999996</v>
      </c>
      <c r="R110" s="147">
        <v>0.89633300000000005</v>
      </c>
      <c r="S110" s="147">
        <v>0.94455500000000003</v>
      </c>
      <c r="T110" s="147">
        <v>0.82330000000000003</v>
      </c>
      <c r="U110" s="147">
        <v>0.917458</v>
      </c>
      <c r="V110" s="147">
        <v>0.71267199999999997</v>
      </c>
      <c r="W110" s="147">
        <v>0.43661899999999998</v>
      </c>
      <c r="X110" s="147">
        <v>0.57729399999999997</v>
      </c>
      <c r="Y110" s="147">
        <v>0.20794099999999999</v>
      </c>
      <c r="Z110"/>
    </row>
    <row r="111" spans="1:26" ht="15">
      <c r="A111" s="198"/>
      <c r="B111" s="149" t="s">
        <v>2</v>
      </c>
      <c r="C111" s="150">
        <v>755.28721099999996</v>
      </c>
      <c r="D111" s="150">
        <v>682.423585</v>
      </c>
      <c r="E111" s="150">
        <v>729.89673000000005</v>
      </c>
      <c r="F111" s="150">
        <v>703.22569899999996</v>
      </c>
      <c r="G111" s="150">
        <v>715.94839200000001</v>
      </c>
      <c r="H111" s="150">
        <v>707.39982899999995</v>
      </c>
      <c r="I111" s="150">
        <v>759.04315999999994</v>
      </c>
      <c r="J111" s="150">
        <v>782.33435199999997</v>
      </c>
      <c r="K111" s="150">
        <v>764.565744</v>
      </c>
      <c r="L111" s="150">
        <v>778.70841900000005</v>
      </c>
      <c r="M111" s="150">
        <v>720.88531699999999</v>
      </c>
      <c r="N111" s="150">
        <v>741.92871200000002</v>
      </c>
      <c r="O111" s="150">
        <v>752.87420399999996</v>
      </c>
      <c r="P111" s="150">
        <v>677.38955899999996</v>
      </c>
      <c r="Q111" s="150">
        <v>738.88205100000005</v>
      </c>
      <c r="R111" s="150">
        <v>700.87946699999998</v>
      </c>
      <c r="S111" s="150">
        <v>724.341813</v>
      </c>
      <c r="T111" s="150">
        <v>714.65338499999996</v>
      </c>
      <c r="U111" s="150">
        <v>765.05430200000001</v>
      </c>
      <c r="V111" s="150">
        <v>788.173855</v>
      </c>
      <c r="W111" s="150">
        <v>752.20748200000003</v>
      </c>
      <c r="X111" s="150">
        <v>773.43527400000005</v>
      </c>
      <c r="Y111" s="150">
        <v>318.92653000000001</v>
      </c>
      <c r="Z111"/>
    </row>
    <row r="112" spans="1:26" ht="15">
      <c r="A112" s="199"/>
      <c r="B112" s="149" t="s">
        <v>85</v>
      </c>
      <c r="C112" s="150">
        <v>755.28721099999996</v>
      </c>
      <c r="D112" s="150">
        <v>682.423585</v>
      </c>
      <c r="E112" s="150">
        <v>729.89673000000005</v>
      </c>
      <c r="F112" s="150">
        <v>703.22569899999996</v>
      </c>
      <c r="G112" s="150">
        <v>715.94839200000001</v>
      </c>
      <c r="H112" s="150">
        <v>707.39982899999995</v>
      </c>
      <c r="I112" s="150">
        <v>759.04315999999994</v>
      </c>
      <c r="J112" s="150">
        <v>782.33435199999997</v>
      </c>
      <c r="K112" s="150">
        <v>764.565744</v>
      </c>
      <c r="L112" s="150">
        <v>778.70841900000005</v>
      </c>
      <c r="M112" s="150">
        <v>720.88531699999999</v>
      </c>
      <c r="N112" s="150">
        <v>741.92871200000002</v>
      </c>
      <c r="O112" s="150">
        <v>752.87420399999996</v>
      </c>
      <c r="P112" s="150">
        <v>677.38955899999996</v>
      </c>
      <c r="Q112" s="150">
        <v>738.88205100000005</v>
      </c>
      <c r="R112" s="150">
        <v>700.87946699999998</v>
      </c>
      <c r="S112" s="150">
        <v>724.341813</v>
      </c>
      <c r="T112" s="150">
        <v>714.65338499999996</v>
      </c>
      <c r="U112" s="150">
        <v>765.05430200000001</v>
      </c>
      <c r="V112" s="150">
        <v>788.173855</v>
      </c>
      <c r="W112" s="150">
        <v>752.20748200000003</v>
      </c>
      <c r="X112" s="150">
        <v>773.43527400000005</v>
      </c>
      <c r="Y112" s="150">
        <v>318.92653000000001</v>
      </c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4" t="s">
        <v>75</v>
      </c>
      <c r="C117" s="120" t="str">
        <f>TEXT(EDATE(D117,-1),"mmmm aaaa")</f>
        <v>octubre 2018</v>
      </c>
      <c r="D117" s="120" t="str">
        <f t="shared" ref="D117:M117" si="2">TEXT(EDATE(E117,-1),"mmmm aaaa")</f>
        <v>noviembre 2018</v>
      </c>
      <c r="E117" s="120" t="str">
        <f t="shared" si="2"/>
        <v>diciembre 2018</v>
      </c>
      <c r="F117" s="120" t="str">
        <f t="shared" si="2"/>
        <v>enero 2019</v>
      </c>
      <c r="G117" s="120" t="str">
        <f t="shared" si="2"/>
        <v>febrero 2019</v>
      </c>
      <c r="H117" s="120" t="str">
        <f t="shared" si="2"/>
        <v>marzo 2019</v>
      </c>
      <c r="I117" s="120" t="str">
        <f t="shared" si="2"/>
        <v>abril 2019</v>
      </c>
      <c r="J117" s="120" t="str">
        <f t="shared" si="2"/>
        <v>mayo 2019</v>
      </c>
      <c r="K117" s="120" t="str">
        <f t="shared" si="2"/>
        <v>junio 2019</v>
      </c>
      <c r="L117" s="120" t="str">
        <f t="shared" si="2"/>
        <v>julio 2019</v>
      </c>
      <c r="M117" s="120" t="str">
        <f t="shared" si="2"/>
        <v>agosto 2019</v>
      </c>
      <c r="N117" s="120" t="str">
        <f>TEXT(EDATE(O117,-1),"mmmm aaaa")</f>
        <v>septiembre 2019</v>
      </c>
      <c r="O117" s="121" t="str">
        <f>A2</f>
        <v>Octubre 2019</v>
      </c>
    </row>
    <row r="118" spans="1:19">
      <c r="B118" s="215"/>
      <c r="C118" s="131" t="str">
        <f>TEXT(EDATE($A$2,-12),"mmm")&amp;".-"&amp;TEXT(EDATE($A$2,-12),"aa")</f>
        <v>oct.-18</v>
      </c>
      <c r="D118" s="131" t="str">
        <f>TEXT(EDATE($A$2,-11),"mmm")&amp;".-"&amp;TEXT(EDATE($A$2,-11),"aa")</f>
        <v>nov.-18</v>
      </c>
      <c r="E118" s="131" t="str">
        <f>TEXT(EDATE($A$2,-10),"mmm")&amp;".-"&amp;TEXT(EDATE($A$2,-10),"aa")</f>
        <v>dic.-18</v>
      </c>
      <c r="F118" s="131" t="str">
        <f>TEXT(EDATE($A$2,-9),"mmm")&amp;".-"&amp;TEXT(EDATE($A$2,-9),"aa")</f>
        <v>ene.-19</v>
      </c>
      <c r="G118" s="131" t="str">
        <f>TEXT(EDATE($A$2,-8),"mmm")&amp;".-"&amp;TEXT(EDATE($A$2,-8),"aa")</f>
        <v>feb.-19</v>
      </c>
      <c r="H118" s="131" t="str">
        <f>TEXT(EDATE($A$2,-7),"mmm")&amp;".-"&amp;TEXT(EDATE($A$2,-7),"aa")</f>
        <v>mar.-19</v>
      </c>
      <c r="I118" s="131" t="str">
        <f>TEXT(EDATE($A$2,-6),"mmm")&amp;".-"&amp;TEXT(EDATE($A$2,-6),"aa")</f>
        <v>abr.-19</v>
      </c>
      <c r="J118" s="131" t="str">
        <f>TEXT(EDATE($A$2,-5),"mmm")&amp;".-"&amp;TEXT(EDATE($A$2,-5),"aa")</f>
        <v>may.-19</v>
      </c>
      <c r="K118" s="131" t="str">
        <f>TEXT(EDATE($A$2,-4),"mmm")&amp;".-"&amp;TEXT(EDATE($A$2,-4),"aa")</f>
        <v>jun.-19</v>
      </c>
      <c r="L118" s="131" t="str">
        <f>TEXT(EDATE($A$2,-3),"mmm")&amp;".-"&amp;TEXT(EDATE($A$2,-3),"aa")</f>
        <v>jul.-19</v>
      </c>
      <c r="M118" s="131" t="str">
        <f>TEXT(EDATE($A$2,-2),"mmm")&amp;".-"&amp;TEXT(EDATE($A$2,-2),"aa")</f>
        <v>ago.-19</v>
      </c>
      <c r="N118" s="131" t="str">
        <f>TEXT(EDATE($A$2,-1),"mmm")&amp;".-"&amp;TEXT(EDATE($A$2,-1),"aa")</f>
        <v>sep.-19</v>
      </c>
      <c r="O118" s="160" t="str">
        <f>TEXT($A$2,"mmm")&amp;".-"&amp;TEXT($A$2,"aa")</f>
        <v>oct.-19</v>
      </c>
    </row>
    <row r="119" spans="1:19">
      <c r="A119" s="211" t="s">
        <v>78</v>
      </c>
      <c r="B119" s="132" t="s">
        <v>11</v>
      </c>
      <c r="C119" s="133">
        <f>HLOOKUP(C$117,$86:$101,3,FALSE)</f>
        <v>186.96457799999999</v>
      </c>
      <c r="D119" s="133">
        <f t="shared" ref="D119:N119" si="3">HLOOKUP(D$117,$86:$101,3,FALSE)</f>
        <v>108.227965</v>
      </c>
      <c r="E119" s="133">
        <f t="shared" si="3"/>
        <v>181.578711</v>
      </c>
      <c r="F119" s="133">
        <f t="shared" si="3"/>
        <v>217.72528600000001</v>
      </c>
      <c r="G119" s="133">
        <f t="shared" si="3"/>
        <v>164.40237099999999</v>
      </c>
      <c r="H119" s="133">
        <f t="shared" si="3"/>
        <v>141.74739099999999</v>
      </c>
      <c r="I119" s="133">
        <f t="shared" si="3"/>
        <v>126.20684799999999</v>
      </c>
      <c r="J119" s="133">
        <f t="shared" si="3"/>
        <v>121.49093499999999</v>
      </c>
      <c r="K119" s="133">
        <f t="shared" si="3"/>
        <v>98.710933999999995</v>
      </c>
      <c r="L119" s="133">
        <f t="shared" si="3"/>
        <v>173.44610299999999</v>
      </c>
      <c r="M119" s="133">
        <f t="shared" si="3"/>
        <v>257.56122599999998</v>
      </c>
      <c r="N119" s="133">
        <f t="shared" si="3"/>
        <v>239.89604299999999</v>
      </c>
      <c r="O119" s="134">
        <f>HLOOKUP(O$117,$86:$101,3,FALSE)</f>
        <v>190.859296</v>
      </c>
    </row>
    <row r="120" spans="1:19">
      <c r="A120" s="212"/>
      <c r="B120" s="122" t="s">
        <v>10</v>
      </c>
      <c r="C120" s="116">
        <f>HLOOKUP(C$117,$86:$101,4,FALSE)</f>
        <v>57.781025999999997</v>
      </c>
      <c r="D120" s="116">
        <f t="shared" ref="D120:O120" si="4">HLOOKUP(D$117,$86:$101,4,FALSE)</f>
        <v>42.036839000000001</v>
      </c>
      <c r="E120" s="116">
        <f t="shared" si="4"/>
        <v>32.932130000000001</v>
      </c>
      <c r="F120" s="116">
        <f t="shared" si="4"/>
        <v>35.212248000000002</v>
      </c>
      <c r="G120" s="116">
        <f t="shared" si="4"/>
        <v>26.576927000000001</v>
      </c>
      <c r="H120" s="116">
        <f t="shared" si="4"/>
        <v>16.635784999999998</v>
      </c>
      <c r="I120" s="116">
        <f t="shared" si="4"/>
        <v>30.202653000000002</v>
      </c>
      <c r="J120" s="116">
        <f t="shared" si="4"/>
        <v>38.207940999999998</v>
      </c>
      <c r="K120" s="116">
        <f t="shared" si="4"/>
        <v>49.833764000000002</v>
      </c>
      <c r="L120" s="116">
        <f t="shared" si="4"/>
        <v>64.359393999999995</v>
      </c>
      <c r="M120" s="116">
        <f t="shared" si="4"/>
        <v>64.194573000000005</v>
      </c>
      <c r="N120" s="116">
        <f t="shared" si="4"/>
        <v>50.613649000000002</v>
      </c>
      <c r="O120" s="134">
        <f t="shared" si="4"/>
        <v>40.788257999999999</v>
      </c>
    </row>
    <row r="121" spans="1:19">
      <c r="A121" s="212"/>
      <c r="B121" s="122" t="s">
        <v>9</v>
      </c>
      <c r="C121" s="116">
        <f>HLOOKUP(C$117,$86:$101,5,FALSE)</f>
        <v>54.458812999999999</v>
      </c>
      <c r="D121" s="116">
        <f t="shared" ref="D121:O121" si="5">HLOOKUP(D$117,$86:$101,5,FALSE)</f>
        <v>47.932189000000001</v>
      </c>
      <c r="E121" s="116">
        <f t="shared" si="5"/>
        <v>19.365110999999999</v>
      </c>
      <c r="F121" s="116">
        <f t="shared" si="5"/>
        <v>22.524488000000002</v>
      </c>
      <c r="G121" s="116">
        <f t="shared" si="5"/>
        <v>22.600860000000001</v>
      </c>
      <c r="H121" s="116">
        <f t="shared" si="5"/>
        <v>34.548490999999999</v>
      </c>
      <c r="I121" s="116">
        <f t="shared" si="5"/>
        <v>30.171469999999999</v>
      </c>
      <c r="J121" s="116">
        <f t="shared" si="5"/>
        <v>27.505562000000001</v>
      </c>
      <c r="K121" s="116">
        <f t="shared" si="5"/>
        <v>38.491146999999998</v>
      </c>
      <c r="L121" s="116">
        <f t="shared" si="5"/>
        <v>72.469969000000006</v>
      </c>
      <c r="M121" s="116">
        <f t="shared" si="5"/>
        <v>70.419168999999997</v>
      </c>
      <c r="N121" s="116">
        <f t="shared" si="5"/>
        <v>45.651693999999999</v>
      </c>
      <c r="O121" s="134">
        <f t="shared" si="5"/>
        <v>27.935912999999999</v>
      </c>
    </row>
    <row r="122" spans="1:19" ht="14.25">
      <c r="A122" s="212"/>
      <c r="B122" s="122" t="s">
        <v>76</v>
      </c>
      <c r="C122" s="116">
        <f>HLOOKUP(C$117,$86:$101,6,FALSE)</f>
        <v>45.569164000000001</v>
      </c>
      <c r="D122" s="116">
        <f t="shared" ref="D122:O122" si="6">HLOOKUP(D$117,$86:$101,6,FALSE)</f>
        <v>109.56093300000001</v>
      </c>
      <c r="E122" s="116">
        <f t="shared" si="6"/>
        <v>38.723094000000003</v>
      </c>
      <c r="F122" s="116">
        <f t="shared" si="6"/>
        <v>34.412135999999997</v>
      </c>
      <c r="G122" s="116">
        <f t="shared" si="6"/>
        <v>55.402149000000001</v>
      </c>
      <c r="H122" s="116">
        <f t="shared" si="6"/>
        <v>83.928335000000004</v>
      </c>
      <c r="I122" s="116">
        <f t="shared" si="6"/>
        <v>93.323053000000002</v>
      </c>
      <c r="J122" s="116">
        <f t="shared" si="6"/>
        <v>103.560644</v>
      </c>
      <c r="K122" s="116">
        <f t="shared" si="6"/>
        <v>148.873491</v>
      </c>
      <c r="L122" s="116">
        <f t="shared" si="6"/>
        <v>160.980031</v>
      </c>
      <c r="M122" s="116">
        <f t="shared" si="6"/>
        <v>81.694967000000005</v>
      </c>
      <c r="N122" s="116">
        <f t="shared" si="6"/>
        <v>37.844405000000002</v>
      </c>
      <c r="O122" s="134">
        <f t="shared" si="6"/>
        <v>49.054825999999998</v>
      </c>
    </row>
    <row r="123" spans="1:19">
      <c r="A123" s="212"/>
      <c r="B123" s="122" t="s">
        <v>24</v>
      </c>
      <c r="C123" s="116">
        <f>HLOOKUP(C$117,$86:$101,7,FALSE)</f>
        <v>0.27849499999999999</v>
      </c>
      <c r="D123" s="116">
        <f t="shared" ref="D123:O123" si="7">HLOOKUP(D$117,$86:$101,7,FALSE)</f>
        <v>0</v>
      </c>
      <c r="E123" s="116">
        <f t="shared" si="7"/>
        <v>0</v>
      </c>
      <c r="F123" s="116">
        <f t="shared" si="7"/>
        <v>0</v>
      </c>
      <c r="G123" s="116">
        <f t="shared" si="7"/>
        <v>0</v>
      </c>
      <c r="H123" s="116">
        <f t="shared" si="7"/>
        <v>0</v>
      </c>
      <c r="I123" s="116">
        <f t="shared" si="7"/>
        <v>0</v>
      </c>
      <c r="J123" s="116">
        <f t="shared" si="7"/>
        <v>0.182169</v>
      </c>
      <c r="K123" s="116">
        <f t="shared" si="7"/>
        <v>1.4050560000000001</v>
      </c>
      <c r="L123" s="116">
        <f t="shared" si="7"/>
        <v>4.1422929999999996</v>
      </c>
      <c r="M123" s="116">
        <f t="shared" si="7"/>
        <v>4.8096079999999999</v>
      </c>
      <c r="N123" s="116">
        <f t="shared" si="7"/>
        <v>4.5895020000000004</v>
      </c>
      <c r="O123" s="134">
        <f t="shared" si="7"/>
        <v>1.7684709999999999</v>
      </c>
    </row>
    <row r="124" spans="1:19">
      <c r="A124" s="212"/>
      <c r="B124" s="122" t="s">
        <v>5</v>
      </c>
      <c r="C124" s="116">
        <f>HLOOKUP(C$117,$86:$102,8,FALSE)</f>
        <v>0.620313</v>
      </c>
      <c r="D124" s="116">
        <f t="shared" ref="D124:O124" si="8">HLOOKUP(D$117,$86:$102,8,FALSE)</f>
        <v>0.555396</v>
      </c>
      <c r="E124" s="116">
        <f t="shared" si="8"/>
        <v>0.41894799999999999</v>
      </c>
      <c r="F124" s="116">
        <f t="shared" si="8"/>
        <v>0.805427</v>
      </c>
      <c r="G124" s="116">
        <f t="shared" si="8"/>
        <v>0.49932900000000002</v>
      </c>
      <c r="H124" s="116">
        <f t="shared" si="8"/>
        <v>0.70238800000000001</v>
      </c>
      <c r="I124" s="116">
        <f t="shared" si="8"/>
        <v>0.63947100000000001</v>
      </c>
      <c r="J124" s="116">
        <f t="shared" si="8"/>
        <v>0.653721</v>
      </c>
      <c r="K124" s="116">
        <f t="shared" si="8"/>
        <v>0.34985300000000003</v>
      </c>
      <c r="L124" s="116">
        <f t="shared" si="8"/>
        <v>0.23036599999999999</v>
      </c>
      <c r="M124" s="116">
        <f t="shared" si="8"/>
        <v>0.347945</v>
      </c>
      <c r="N124" s="116">
        <f t="shared" si="8"/>
        <v>0.51373500000000005</v>
      </c>
      <c r="O124" s="134">
        <f t="shared" si="8"/>
        <v>0.402117</v>
      </c>
    </row>
    <row r="125" spans="1:19">
      <c r="A125" s="212"/>
      <c r="B125" s="122" t="s">
        <v>4</v>
      </c>
      <c r="C125" s="116">
        <f>HLOOKUP(C$117,$86:$102,9,FALSE)</f>
        <v>8.0499039999999997</v>
      </c>
      <c r="D125" s="116">
        <f t="shared" ref="D125:O125" si="9">HLOOKUP(D$117,$86:$102,9,FALSE)</f>
        <v>6.0326560000000002</v>
      </c>
      <c r="E125" s="116">
        <f t="shared" si="9"/>
        <v>6.7678240000000001</v>
      </c>
      <c r="F125" s="116">
        <f t="shared" si="9"/>
        <v>7.284478</v>
      </c>
      <c r="G125" s="116">
        <f t="shared" si="9"/>
        <v>9.3459380000000003</v>
      </c>
      <c r="H125" s="116">
        <f t="shared" si="9"/>
        <v>11.373048000000001</v>
      </c>
      <c r="I125" s="116">
        <f t="shared" si="9"/>
        <v>10.643307999999999</v>
      </c>
      <c r="J125" s="116">
        <f t="shared" si="9"/>
        <v>12.915601000000001</v>
      </c>
      <c r="K125" s="116">
        <f t="shared" si="9"/>
        <v>13.270170999999999</v>
      </c>
      <c r="L125" s="116">
        <f t="shared" si="9"/>
        <v>12.470931</v>
      </c>
      <c r="M125" s="116">
        <f t="shared" si="9"/>
        <v>12.139662</v>
      </c>
      <c r="N125" s="116">
        <f t="shared" si="9"/>
        <v>9.9702669999999998</v>
      </c>
      <c r="O125" s="134">
        <f t="shared" si="9"/>
        <v>9.0470970000000008</v>
      </c>
    </row>
    <row r="126" spans="1:19">
      <c r="A126" s="212"/>
      <c r="B126" s="123" t="s">
        <v>22</v>
      </c>
      <c r="C126" s="116">
        <f>HLOOKUP(C$117,$86:$102,10,FALSE)</f>
        <v>6.0415000000000003E-2</v>
      </c>
      <c r="D126" s="116">
        <f t="shared" ref="D126:O126" si="10">HLOOKUP(D$117,$86:$102,10,FALSE)</f>
        <v>6.8765999999999994E-2</v>
      </c>
      <c r="E126" s="116">
        <f t="shared" si="10"/>
        <v>0.13137799999999999</v>
      </c>
      <c r="F126" s="116">
        <f t="shared" si="10"/>
        <v>0.107643</v>
      </c>
      <c r="G126" s="116">
        <f t="shared" si="10"/>
        <v>8.2346000000000003E-2</v>
      </c>
      <c r="H126" s="116">
        <f t="shared" si="10"/>
        <v>0.111343</v>
      </c>
      <c r="I126" s="116">
        <f t="shared" si="10"/>
        <v>8.9931999999999998E-2</v>
      </c>
      <c r="J126" s="116">
        <f t="shared" si="10"/>
        <v>5.4199999999999998E-2</v>
      </c>
      <c r="K126" s="116">
        <f t="shared" si="10"/>
        <v>0.12551699999999999</v>
      </c>
      <c r="L126" s="116">
        <f t="shared" si="10"/>
        <v>9.8985000000000004E-2</v>
      </c>
      <c r="M126" s="116">
        <f t="shared" si="10"/>
        <v>8.3363000000000007E-2</v>
      </c>
      <c r="N126" s="116">
        <f t="shared" si="10"/>
        <v>9.2619999999999994E-2</v>
      </c>
      <c r="O126" s="134">
        <f t="shared" si="10"/>
        <v>9.9426E-2</v>
      </c>
    </row>
    <row r="127" spans="1:19">
      <c r="A127" s="212"/>
      <c r="B127" s="123" t="s">
        <v>23</v>
      </c>
      <c r="C127" s="116">
        <f>HLOOKUP(C$117,$86:$102,11,FALSE)</f>
        <v>2.5715089999999998</v>
      </c>
      <c r="D127" s="116">
        <f t="shared" ref="D127:O127" si="11">HLOOKUP(D$117,$86:$102,11,FALSE)</f>
        <v>3.145667</v>
      </c>
      <c r="E127" s="116">
        <f t="shared" si="11"/>
        <v>3.260389</v>
      </c>
      <c r="F127" s="116">
        <f t="shared" si="11"/>
        <v>3.3415469999999998</v>
      </c>
      <c r="G127" s="116">
        <f t="shared" si="11"/>
        <v>3.483536</v>
      </c>
      <c r="H127" s="116">
        <f t="shared" si="11"/>
        <v>3.2674569999999998</v>
      </c>
      <c r="I127" s="116">
        <f t="shared" si="11"/>
        <v>2.9153180000000001</v>
      </c>
      <c r="J127" s="116">
        <f t="shared" si="11"/>
        <v>2.2857509999999999</v>
      </c>
      <c r="K127" s="116">
        <f t="shared" si="11"/>
        <v>2.3003499999999999</v>
      </c>
      <c r="L127" s="116">
        <f t="shared" si="11"/>
        <v>1.194464</v>
      </c>
      <c r="M127" s="116">
        <f t="shared" si="11"/>
        <v>2.848757</v>
      </c>
      <c r="N127" s="116">
        <f t="shared" si="11"/>
        <v>2.8740579999999998</v>
      </c>
      <c r="O127" s="134">
        <f t="shared" si="11"/>
        <v>2.8082799999999999</v>
      </c>
    </row>
    <row r="128" spans="1:19">
      <c r="A128" s="212"/>
      <c r="B128" s="122" t="s">
        <v>55</v>
      </c>
      <c r="C128" s="116">
        <f t="shared" ref="C128:O128" si="12">HLOOKUP(C$117,$86:$102,13,FALSE)</f>
        <v>13.8976735</v>
      </c>
      <c r="D128" s="116">
        <f t="shared" si="12"/>
        <v>7.0333759999999996</v>
      </c>
      <c r="E128" s="116">
        <f t="shared" si="12"/>
        <v>13.124928499999999</v>
      </c>
      <c r="F128" s="116">
        <f t="shared" si="12"/>
        <v>9.5605395000000009</v>
      </c>
      <c r="G128" s="116">
        <f t="shared" si="12"/>
        <v>6.8600294999999996</v>
      </c>
      <c r="H128" s="116">
        <f t="shared" si="12"/>
        <v>11.083662500000001</v>
      </c>
      <c r="I128" s="116">
        <f t="shared" si="12"/>
        <v>13.4563305</v>
      </c>
      <c r="J128" s="116">
        <f t="shared" si="12"/>
        <v>13.087209</v>
      </c>
      <c r="K128" s="116">
        <f t="shared" si="12"/>
        <v>13.341946</v>
      </c>
      <c r="L128" s="116">
        <f t="shared" si="12"/>
        <v>14.4424645</v>
      </c>
      <c r="M128" s="116">
        <f t="shared" si="12"/>
        <v>12.562136000000001</v>
      </c>
      <c r="N128" s="116">
        <f t="shared" si="12"/>
        <v>13.691565000000001</v>
      </c>
      <c r="O128" s="134">
        <f t="shared" si="12"/>
        <v>14.954476</v>
      </c>
    </row>
    <row r="129" spans="1:15">
      <c r="A129" s="212"/>
      <c r="B129" s="122" t="s">
        <v>54</v>
      </c>
      <c r="C129" s="116">
        <f>HLOOKUP(C$117,$86:$102,12,FALSE)</f>
        <v>13.8976735</v>
      </c>
      <c r="D129" s="116">
        <f t="shared" ref="D129:O129" si="13">HLOOKUP(D$117,$86:$102,12,FALSE)</f>
        <v>7.0333759999999996</v>
      </c>
      <c r="E129" s="116">
        <f t="shared" si="13"/>
        <v>13.124928499999999</v>
      </c>
      <c r="F129" s="116">
        <f t="shared" si="13"/>
        <v>9.5605395000000009</v>
      </c>
      <c r="G129" s="116">
        <f t="shared" si="13"/>
        <v>6.8600294999999996</v>
      </c>
      <c r="H129" s="116">
        <f t="shared" si="13"/>
        <v>11.083662500000001</v>
      </c>
      <c r="I129" s="116">
        <f t="shared" si="13"/>
        <v>13.4563305</v>
      </c>
      <c r="J129" s="116">
        <f t="shared" si="13"/>
        <v>13.087209</v>
      </c>
      <c r="K129" s="116">
        <f t="shared" si="13"/>
        <v>13.341946</v>
      </c>
      <c r="L129" s="116">
        <f t="shared" si="13"/>
        <v>14.4424645</v>
      </c>
      <c r="M129" s="116">
        <f t="shared" si="13"/>
        <v>12.562136000000001</v>
      </c>
      <c r="N129" s="116">
        <f t="shared" si="13"/>
        <v>13.691565000000001</v>
      </c>
      <c r="O129" s="134">
        <f t="shared" si="13"/>
        <v>14.954476</v>
      </c>
    </row>
    <row r="130" spans="1:15">
      <c r="A130" s="212"/>
      <c r="B130" s="124" t="s">
        <v>2</v>
      </c>
      <c r="C130" s="125">
        <f>HLOOKUP(C$117,$86:$102,14,FALSE)</f>
        <v>384.149564</v>
      </c>
      <c r="D130" s="125">
        <f t="shared" ref="D130:O130" si="14">HLOOKUP(D$117,$86:$102,14,FALSE)</f>
        <v>331.627163</v>
      </c>
      <c r="E130" s="125">
        <f t="shared" si="14"/>
        <v>309.42744199999999</v>
      </c>
      <c r="F130" s="125">
        <f t="shared" si="14"/>
        <v>340.53433200000001</v>
      </c>
      <c r="G130" s="125">
        <f t="shared" si="14"/>
        <v>296.11351500000001</v>
      </c>
      <c r="H130" s="125">
        <f t="shared" si="14"/>
        <v>314.48156299999999</v>
      </c>
      <c r="I130" s="125">
        <f t="shared" si="14"/>
        <v>321.104714</v>
      </c>
      <c r="J130" s="125">
        <f t="shared" si="14"/>
        <v>333.03094199999998</v>
      </c>
      <c r="K130" s="125">
        <f t="shared" si="14"/>
        <v>380.044175</v>
      </c>
      <c r="L130" s="125">
        <f t="shared" si="14"/>
        <v>518.27746500000001</v>
      </c>
      <c r="M130" s="125">
        <f t="shared" si="14"/>
        <v>519.22354199999995</v>
      </c>
      <c r="N130" s="125">
        <f t="shared" si="14"/>
        <v>419.429103</v>
      </c>
      <c r="O130" s="135">
        <f t="shared" si="14"/>
        <v>352.67263600000001</v>
      </c>
    </row>
    <row r="131" spans="1:15">
      <c r="A131" s="212"/>
      <c r="B131" s="122" t="s">
        <v>21</v>
      </c>
      <c r="C131" s="126">
        <f>HLOOKUP(C$117,$86:$102,15,FALSE)</f>
        <v>92.007576999999998</v>
      </c>
      <c r="D131" s="126">
        <f t="shared" ref="D131:O131" si="15">HLOOKUP(D$117,$86:$102,15,FALSE)</f>
        <v>65.068314999999998</v>
      </c>
      <c r="E131" s="126">
        <f t="shared" si="15"/>
        <v>112.575441</v>
      </c>
      <c r="F131" s="126">
        <f t="shared" si="15"/>
        <v>137.254998</v>
      </c>
      <c r="G131" s="126">
        <f t="shared" si="15"/>
        <v>119.223619</v>
      </c>
      <c r="H131" s="126">
        <f t="shared" si="15"/>
        <v>122.32533599999999</v>
      </c>
      <c r="I131" s="126">
        <f t="shared" si="15"/>
        <v>124.430774</v>
      </c>
      <c r="J131" s="126">
        <f t="shared" si="15"/>
        <v>143.16130000000001</v>
      </c>
      <c r="K131" s="126">
        <f t="shared" si="15"/>
        <v>159.634671</v>
      </c>
      <c r="L131" s="126">
        <f t="shared" si="15"/>
        <v>201.16611399999999</v>
      </c>
      <c r="M131" s="126">
        <f t="shared" si="15"/>
        <v>185.76976199999999</v>
      </c>
      <c r="N131" s="126">
        <f t="shared" si="15"/>
        <v>153.19726600000001</v>
      </c>
      <c r="O131" s="126">
        <f t="shared" si="15"/>
        <v>137.66557</v>
      </c>
    </row>
    <row r="132" spans="1:15">
      <c r="A132" s="212"/>
      <c r="B132" s="127" t="s">
        <v>1</v>
      </c>
      <c r="C132" s="128">
        <f>HLOOKUP(C$117,$86:$102,16,FALSE)</f>
        <v>476.15714100000002</v>
      </c>
      <c r="D132" s="128">
        <f t="shared" ref="D132:O132" si="16">HLOOKUP(D$117,$86:$102,16,FALSE)</f>
        <v>396.69547799999998</v>
      </c>
      <c r="E132" s="128">
        <f t="shared" si="16"/>
        <v>422.002883</v>
      </c>
      <c r="F132" s="128">
        <f t="shared" si="16"/>
        <v>477.78933000000001</v>
      </c>
      <c r="G132" s="128">
        <f t="shared" si="16"/>
        <v>415.33713399999999</v>
      </c>
      <c r="H132" s="128">
        <f t="shared" si="16"/>
        <v>436.80689899999999</v>
      </c>
      <c r="I132" s="128">
        <f t="shared" si="16"/>
        <v>445.53548799999999</v>
      </c>
      <c r="J132" s="128">
        <f t="shared" si="16"/>
        <v>476.19224200000002</v>
      </c>
      <c r="K132" s="128">
        <f t="shared" si="16"/>
        <v>539.67884600000002</v>
      </c>
      <c r="L132" s="128">
        <f t="shared" si="16"/>
        <v>719.443579</v>
      </c>
      <c r="M132" s="128">
        <f t="shared" si="16"/>
        <v>704.99330399999997</v>
      </c>
      <c r="N132" s="128">
        <f t="shared" si="16"/>
        <v>572.62636899999995</v>
      </c>
      <c r="O132" s="128">
        <f t="shared" si="16"/>
        <v>490.33820600000001</v>
      </c>
    </row>
    <row r="133" spans="1:15" ht="14.25">
      <c r="A133" s="213"/>
      <c r="B133" s="137" t="s">
        <v>77</v>
      </c>
      <c r="C133" s="138">
        <f>C120+C121+C123</f>
        <v>112.518334</v>
      </c>
      <c r="D133" s="138">
        <f>D120+D121+D123</f>
        <v>89.969028000000009</v>
      </c>
      <c r="E133" s="138">
        <f t="shared" ref="E133:O133" si="17">E120+E121+E123</f>
        <v>52.297241</v>
      </c>
      <c r="F133" s="138">
        <f t="shared" si="17"/>
        <v>57.736736000000008</v>
      </c>
      <c r="G133" s="138">
        <f t="shared" si="17"/>
        <v>49.177787000000002</v>
      </c>
      <c r="H133" s="138">
        <f t="shared" si="17"/>
        <v>51.184275999999997</v>
      </c>
      <c r="I133" s="138">
        <f t="shared" si="17"/>
        <v>60.374122999999997</v>
      </c>
      <c r="J133" s="138">
        <f t="shared" si="17"/>
        <v>65.895672000000005</v>
      </c>
      <c r="K133" s="138">
        <f t="shared" si="17"/>
        <v>89.729967000000002</v>
      </c>
      <c r="L133" s="138">
        <f t="shared" si="17"/>
        <v>140.971656</v>
      </c>
      <c r="M133" s="138">
        <f t="shared" si="17"/>
        <v>139.42335</v>
      </c>
      <c r="N133" s="138">
        <f t="shared" si="17"/>
        <v>100.854845</v>
      </c>
      <c r="O133" s="138">
        <f t="shared" si="17"/>
        <v>70.492642000000004</v>
      </c>
    </row>
    <row r="134" spans="1:15">
      <c r="A134" s="211" t="s">
        <v>79</v>
      </c>
      <c r="B134" s="139" t="s">
        <v>75</v>
      </c>
      <c r="C134" s="120" t="str">
        <f>TEXT(EDATE($A$2,-12),"mmm")&amp;".-"&amp;TEXT(EDATE($A$2,-12),"aa")</f>
        <v>oct.-18</v>
      </c>
      <c r="D134" s="120" t="str">
        <f>TEXT(EDATE($A$2,-11),"mmm")&amp;".-"&amp;TEXT(EDATE($A$2,-11),"aa")</f>
        <v>nov.-18</v>
      </c>
      <c r="E134" s="120" t="str">
        <f>TEXT(EDATE($A$2,-10),"mmm")&amp;".-"&amp;TEXT(EDATE($A$2,-10),"aa")</f>
        <v>dic.-18</v>
      </c>
      <c r="F134" s="120" t="str">
        <f>TEXT(EDATE($A$2,-9),"mmm")&amp;".-"&amp;TEXT(EDATE($A$2,-9),"aa")</f>
        <v>ene.-19</v>
      </c>
      <c r="G134" s="120" t="str">
        <f>TEXT(EDATE($A$2,-8),"mmm")&amp;".-"&amp;TEXT(EDATE($A$2,-8),"aa")</f>
        <v>feb.-19</v>
      </c>
      <c r="H134" s="120" t="str">
        <f>TEXT(EDATE($A$2,-7),"mmm")&amp;".-"&amp;TEXT(EDATE($A$2,-7),"aa")</f>
        <v>mar.-19</v>
      </c>
      <c r="I134" s="120" t="str">
        <f>TEXT(EDATE($A$2,-6),"mmm")&amp;".-"&amp;TEXT(EDATE($A$2,-6),"aa")</f>
        <v>abr.-19</v>
      </c>
      <c r="J134" s="120" t="str">
        <f>TEXT(EDATE($A$2,-5),"mmm")&amp;".-"&amp;TEXT(EDATE($A$2,-5),"aa")</f>
        <v>may.-19</v>
      </c>
      <c r="K134" s="120" t="str">
        <f>TEXT(EDATE($A$2,-4),"mmm")&amp;".-"&amp;TEXT(EDATE($A$2,-4),"aa")</f>
        <v>jun.-19</v>
      </c>
      <c r="L134" s="120" t="str">
        <f>TEXT(EDATE($A$2,-3),"mmm")&amp;".-"&amp;TEXT(EDATE($A$2,-3),"aa")</f>
        <v>jul.-19</v>
      </c>
      <c r="M134" s="120" t="str">
        <f>TEXT(EDATE($A$2,-2),"mmm")&amp;".-"&amp;TEXT(EDATE($A$2,-2),"aa")</f>
        <v>ago.-19</v>
      </c>
      <c r="N134" s="120" t="str">
        <f>TEXT(EDATE($A$2,-1),"mmm")&amp;".-"&amp;TEXT(EDATE($A$2,-1),"aa")</f>
        <v>sep.-19</v>
      </c>
      <c r="O134" s="121" t="str">
        <f>TEXT($A$2,"mmm")&amp;".-"&amp;TEXT($A$2,"aa")</f>
        <v>oct.-19</v>
      </c>
    </row>
    <row r="135" spans="1:15" ht="15" customHeight="1">
      <c r="A135" s="212"/>
      <c r="B135" s="122" t="s">
        <v>12</v>
      </c>
      <c r="C135" s="116">
        <f>HLOOKUP(C$117,$86:$115,17,FALSE)</f>
        <v>0.297373</v>
      </c>
      <c r="D135" s="116">
        <f t="shared" ref="D135:O135" si="18">HLOOKUP(D$117,$86:$115,17,FALSE)</f>
        <v>0.28930699999999998</v>
      </c>
      <c r="E135" s="116">
        <f t="shared" si="18"/>
        <v>0.29630699999999999</v>
      </c>
      <c r="F135" s="116">
        <f t="shared" si="18"/>
        <v>0.29291600000000001</v>
      </c>
      <c r="G135" s="116">
        <f t="shared" si="18"/>
        <v>0.26504899999999998</v>
      </c>
      <c r="H135" s="116">
        <f t="shared" si="18"/>
        <v>0.298315</v>
      </c>
      <c r="I135" s="116">
        <f t="shared" si="18"/>
        <v>0.29424499999999998</v>
      </c>
      <c r="J135" s="116">
        <f t="shared" si="18"/>
        <v>0.299674</v>
      </c>
      <c r="K135" s="116">
        <f t="shared" si="18"/>
        <v>0.27668100000000001</v>
      </c>
      <c r="L135" s="116">
        <f t="shared" si="18"/>
        <v>0.29841899999999999</v>
      </c>
      <c r="M135" s="116">
        <f t="shared" si="18"/>
        <v>0.29929</v>
      </c>
      <c r="N135" s="116">
        <f t="shared" si="18"/>
        <v>0.28253899999999998</v>
      </c>
      <c r="O135" s="161">
        <f t="shared" si="18"/>
        <v>0.297543</v>
      </c>
    </row>
    <row r="136" spans="1:15">
      <c r="A136" s="212"/>
      <c r="B136" s="122" t="s">
        <v>10</v>
      </c>
      <c r="C136" s="116">
        <f>HLOOKUP(C$117,$86:$115,18,FALSE)</f>
        <v>190.675118</v>
      </c>
      <c r="D136" s="116">
        <f t="shared" ref="D136:O136" si="19">HLOOKUP(D$117,$86:$115,18,FALSE)</f>
        <v>163.85602700000001</v>
      </c>
      <c r="E136" s="116">
        <f t="shared" si="19"/>
        <v>176.651453</v>
      </c>
      <c r="F136" s="116">
        <f t="shared" si="19"/>
        <v>174.26427200000001</v>
      </c>
      <c r="G136" s="116">
        <f t="shared" si="19"/>
        <v>152.846857</v>
      </c>
      <c r="H136" s="116">
        <f t="shared" si="19"/>
        <v>161.02722900000001</v>
      </c>
      <c r="I136" s="116">
        <f t="shared" si="19"/>
        <v>157.06491</v>
      </c>
      <c r="J136" s="116">
        <f t="shared" si="19"/>
        <v>150.35795200000001</v>
      </c>
      <c r="K136" s="116">
        <f t="shared" si="19"/>
        <v>167.34978899999999</v>
      </c>
      <c r="L136" s="116">
        <f t="shared" si="19"/>
        <v>155.88908699999999</v>
      </c>
      <c r="M136" s="116">
        <f t="shared" si="19"/>
        <v>173.50264200000001</v>
      </c>
      <c r="N136" s="116">
        <f t="shared" si="19"/>
        <v>167.04003</v>
      </c>
      <c r="O136" s="134">
        <f t="shared" si="19"/>
        <v>168.13456400000001</v>
      </c>
    </row>
    <row r="137" spans="1:15">
      <c r="A137" s="212"/>
      <c r="B137" s="122" t="s">
        <v>9</v>
      </c>
      <c r="C137" s="116">
        <f>HLOOKUP(C$117,$86:$115,19,FALSE)</f>
        <v>25.162983000000001</v>
      </c>
      <c r="D137" s="116">
        <f t="shared" ref="D137:O137" si="20">HLOOKUP(D$117,$86:$115,19,FALSE)</f>
        <v>25.639095999999999</v>
      </c>
      <c r="E137" s="116">
        <f t="shared" si="20"/>
        <v>18.905633999999999</v>
      </c>
      <c r="F137" s="116">
        <f t="shared" si="20"/>
        <v>21.945627999999999</v>
      </c>
      <c r="G137" s="116">
        <f t="shared" si="20"/>
        <v>18.942269</v>
      </c>
      <c r="H137" s="116">
        <f t="shared" si="20"/>
        <v>19.360040999999999</v>
      </c>
      <c r="I137" s="116">
        <f t="shared" si="20"/>
        <v>20.008278000000001</v>
      </c>
      <c r="J137" s="116">
        <f t="shared" si="20"/>
        <v>23.358886999999999</v>
      </c>
      <c r="K137" s="116">
        <f t="shared" si="20"/>
        <v>14.744834000000001</v>
      </c>
      <c r="L137" s="116">
        <f t="shared" si="20"/>
        <v>16.517122000000001</v>
      </c>
      <c r="M137" s="116">
        <f t="shared" si="20"/>
        <v>17.472964999999999</v>
      </c>
      <c r="N137" s="116">
        <f t="shared" si="20"/>
        <v>24.793182999999999</v>
      </c>
      <c r="O137" s="134">
        <f t="shared" si="20"/>
        <v>16.664884000000001</v>
      </c>
    </row>
    <row r="138" spans="1:15">
      <c r="A138" s="212"/>
      <c r="B138" s="122" t="s">
        <v>8</v>
      </c>
      <c r="C138" s="116">
        <f>HLOOKUP(C$117,$86:$115,20,FALSE)</f>
        <v>201.924623</v>
      </c>
      <c r="D138" s="116">
        <f t="shared" ref="D138:O138" si="21">HLOOKUP(D$117,$86:$115,20,FALSE)</f>
        <v>224.02625399999999</v>
      </c>
      <c r="E138" s="116">
        <f t="shared" si="21"/>
        <v>207.24283</v>
      </c>
      <c r="F138" s="116">
        <f t="shared" si="21"/>
        <v>218.650612</v>
      </c>
      <c r="G138" s="116">
        <f t="shared" si="21"/>
        <v>212.98181099999999</v>
      </c>
      <c r="H138" s="116">
        <f t="shared" si="21"/>
        <v>209.06030999999999</v>
      </c>
      <c r="I138" s="116">
        <f t="shared" si="21"/>
        <v>199.95457400000001</v>
      </c>
      <c r="J138" s="116">
        <f t="shared" si="21"/>
        <v>201.71434600000001</v>
      </c>
      <c r="K138" s="116">
        <f t="shared" si="21"/>
        <v>209.91055800000001</v>
      </c>
      <c r="L138" s="116">
        <f t="shared" si="21"/>
        <v>137.955038</v>
      </c>
      <c r="M138" s="116">
        <f t="shared" si="21"/>
        <v>116.694829</v>
      </c>
      <c r="N138" s="116">
        <f t="shared" si="21"/>
        <v>157.50902600000001</v>
      </c>
      <c r="O138" s="134">
        <f t="shared" si="21"/>
        <v>170.575942</v>
      </c>
    </row>
    <row r="139" spans="1:15" ht="14.25">
      <c r="A139" s="212"/>
      <c r="B139" s="122" t="s">
        <v>76</v>
      </c>
      <c r="C139" s="116">
        <f>HLOOKUP(C$117,$86:$115,21,FALSE)</f>
        <v>317.069143</v>
      </c>
      <c r="D139" s="116">
        <f t="shared" ref="D139:O139" si="22">HLOOKUP(D$117,$86:$115,21,FALSE)</f>
        <v>256.69696599999997</v>
      </c>
      <c r="E139" s="116">
        <f t="shared" si="22"/>
        <v>273.98589099999998</v>
      </c>
      <c r="F139" s="116">
        <f t="shared" si="22"/>
        <v>264.507273</v>
      </c>
      <c r="G139" s="116">
        <f t="shared" si="22"/>
        <v>221.964823</v>
      </c>
      <c r="H139" s="116">
        <f t="shared" si="22"/>
        <v>224.52281400000001</v>
      </c>
      <c r="I139" s="116">
        <f t="shared" si="22"/>
        <v>229.693647</v>
      </c>
      <c r="J139" s="116">
        <f t="shared" si="22"/>
        <v>220.83250000000001</v>
      </c>
      <c r="K139" s="116">
        <f t="shared" si="22"/>
        <v>222.51747599999999</v>
      </c>
      <c r="L139" s="116">
        <f t="shared" si="22"/>
        <v>262.048877</v>
      </c>
      <c r="M139" s="116">
        <f t="shared" si="22"/>
        <v>290.23648900000001</v>
      </c>
      <c r="N139" s="116">
        <f t="shared" si="22"/>
        <v>276.37973799999997</v>
      </c>
      <c r="O139" s="134">
        <f t="shared" si="22"/>
        <v>305.83225499999998</v>
      </c>
    </row>
    <row r="140" spans="1:15">
      <c r="A140" s="212"/>
      <c r="B140" s="122" t="s">
        <v>6</v>
      </c>
      <c r="C140" s="116">
        <f>HLOOKUP(C$117,$86:$115,22,FALSE)</f>
        <v>0.87331099999999995</v>
      </c>
      <c r="D140" s="116">
        <f t="shared" ref="D140:O140" si="23">HLOOKUP(D$117,$86:$115,22,FALSE)</f>
        <v>0.90078800000000003</v>
      </c>
      <c r="E140" s="116">
        <f t="shared" si="23"/>
        <v>0.90973300000000001</v>
      </c>
      <c r="F140" s="116">
        <f t="shared" si="23"/>
        <v>1.109656</v>
      </c>
      <c r="G140" s="116">
        <f t="shared" si="23"/>
        <v>0.97254499999999999</v>
      </c>
      <c r="H140" s="116">
        <f t="shared" si="23"/>
        <v>1.955158</v>
      </c>
      <c r="I140" s="116">
        <f t="shared" si="23"/>
        <v>1.5483690000000001</v>
      </c>
      <c r="J140" s="116">
        <f t="shared" si="23"/>
        <v>2.031012</v>
      </c>
      <c r="K140" s="116">
        <f t="shared" si="23"/>
        <v>1.3721410000000001</v>
      </c>
      <c r="L140" s="116">
        <f t="shared" si="23"/>
        <v>3.727338</v>
      </c>
      <c r="M140" s="116">
        <f t="shared" si="23"/>
        <v>3.4751189999999998</v>
      </c>
      <c r="N140" s="116">
        <f t="shared" si="23"/>
        <v>2.2183510000000002</v>
      </c>
      <c r="O140" s="134">
        <f t="shared" si="23"/>
        <v>1.582837</v>
      </c>
    </row>
    <row r="141" spans="1:15">
      <c r="A141" s="212"/>
      <c r="B141" s="122" t="s">
        <v>5</v>
      </c>
      <c r="C141" s="116">
        <f>HLOOKUP(C$117,$86:$115,23,FALSE)</f>
        <v>22.368559999999999</v>
      </c>
      <c r="D141" s="116">
        <f t="shared" ref="D141:O141" si="24">HLOOKUP(D$117,$86:$115,23,FALSE)</f>
        <v>32.447859000000001</v>
      </c>
      <c r="E141" s="116">
        <f t="shared" si="24"/>
        <v>44.326591000000001</v>
      </c>
      <c r="F141" s="116">
        <f t="shared" si="24"/>
        <v>53.23789</v>
      </c>
      <c r="G141" s="116">
        <f t="shared" si="24"/>
        <v>47.231451999999997</v>
      </c>
      <c r="H141" s="116">
        <f t="shared" si="24"/>
        <v>96.846602000000004</v>
      </c>
      <c r="I141" s="116">
        <f t="shared" si="24"/>
        <v>66.984110999999999</v>
      </c>
      <c r="J141" s="116">
        <f t="shared" si="24"/>
        <v>95.371887000000001</v>
      </c>
      <c r="K141" s="116">
        <f t="shared" si="24"/>
        <v>74.330708999999999</v>
      </c>
      <c r="L141" s="116">
        <f t="shared" si="24"/>
        <v>158.183166</v>
      </c>
      <c r="M141" s="116">
        <f t="shared" si="24"/>
        <v>158.502759</v>
      </c>
      <c r="N141" s="116">
        <f t="shared" si="24"/>
        <v>100.47458899999999</v>
      </c>
      <c r="O141" s="134">
        <f t="shared" si="24"/>
        <v>89.262077000000005</v>
      </c>
    </row>
    <row r="142" spans="1:15">
      <c r="A142" s="212"/>
      <c r="B142" s="122" t="s">
        <v>4</v>
      </c>
      <c r="C142" s="116">
        <f>HLOOKUP(C$117,$86:$115,24,FALSE)</f>
        <v>19.523973999999999</v>
      </c>
      <c r="D142" s="116">
        <f t="shared" ref="D142:O142" si="25">HLOOKUP(D$117,$86:$115,24,FALSE)</f>
        <v>16.178767000000001</v>
      </c>
      <c r="E142" s="116">
        <f t="shared" si="25"/>
        <v>18.710820999999999</v>
      </c>
      <c r="F142" s="116">
        <f t="shared" si="25"/>
        <v>17.902628</v>
      </c>
      <c r="G142" s="116">
        <f t="shared" si="25"/>
        <v>21.361954999999998</v>
      </c>
      <c r="H142" s="116">
        <f t="shared" si="25"/>
        <v>24.910511</v>
      </c>
      <c r="I142" s="116">
        <f t="shared" si="25"/>
        <v>24.434999999999999</v>
      </c>
      <c r="J142" s="116">
        <f t="shared" si="25"/>
        <v>29.431000000000001</v>
      </c>
      <c r="K142" s="116">
        <f t="shared" si="25"/>
        <v>23.327897</v>
      </c>
      <c r="L142" s="116">
        <f t="shared" si="25"/>
        <v>29.517797000000002</v>
      </c>
      <c r="M142" s="116">
        <f t="shared" si="25"/>
        <v>27.277090000000001</v>
      </c>
      <c r="N142" s="116">
        <f t="shared" si="25"/>
        <v>23.073407</v>
      </c>
      <c r="O142" s="134">
        <f t="shared" si="25"/>
        <v>20.507878000000002</v>
      </c>
    </row>
    <row r="143" spans="1:15">
      <c r="A143" s="212"/>
      <c r="B143" s="122" t="s">
        <v>22</v>
      </c>
      <c r="C143" s="116">
        <f>HLOOKUP(C$117,$86:$115,25,FALSE)</f>
        <v>0.813334</v>
      </c>
      <c r="D143" s="116">
        <f t="shared" ref="D143:O143" si="26">HLOOKUP(D$117,$86:$115,25,FALSE)</f>
        <v>0.85025300000000004</v>
      </c>
      <c r="E143" s="116">
        <f t="shared" si="26"/>
        <v>0.89945200000000003</v>
      </c>
      <c r="F143" s="116">
        <f t="shared" si="26"/>
        <v>0.96332899999999999</v>
      </c>
      <c r="G143" s="116">
        <f t="shared" si="26"/>
        <v>0.82279800000000003</v>
      </c>
      <c r="H143" s="116">
        <f t="shared" si="26"/>
        <v>0.90107099999999996</v>
      </c>
      <c r="I143" s="116">
        <f t="shared" si="26"/>
        <v>0.89633300000000005</v>
      </c>
      <c r="J143" s="116">
        <f t="shared" si="26"/>
        <v>0.94455500000000003</v>
      </c>
      <c r="K143" s="116">
        <f t="shared" si="26"/>
        <v>0.82330000000000003</v>
      </c>
      <c r="L143" s="116">
        <f t="shared" si="26"/>
        <v>0.917458</v>
      </c>
      <c r="M143" s="116">
        <f t="shared" si="26"/>
        <v>0.71267199999999997</v>
      </c>
      <c r="N143" s="116">
        <f t="shared" si="26"/>
        <v>0.43661899999999998</v>
      </c>
      <c r="O143" s="134">
        <f t="shared" si="26"/>
        <v>0.57729399999999997</v>
      </c>
    </row>
    <row r="144" spans="1:15">
      <c r="A144" s="212"/>
      <c r="B144" s="127" t="s">
        <v>1</v>
      </c>
      <c r="C144" s="128">
        <f>HLOOKUP(C$117,$86:$115,26,FALSE)</f>
        <v>778.70841900000005</v>
      </c>
      <c r="D144" s="128">
        <f t="shared" ref="D144:O144" si="27">HLOOKUP(D$117,$86:$115,26,FALSE)</f>
        <v>720.88531699999999</v>
      </c>
      <c r="E144" s="128">
        <f t="shared" si="27"/>
        <v>741.92871200000002</v>
      </c>
      <c r="F144" s="128">
        <f t="shared" si="27"/>
        <v>752.87420399999996</v>
      </c>
      <c r="G144" s="128">
        <f t="shared" si="27"/>
        <v>677.38955899999996</v>
      </c>
      <c r="H144" s="128">
        <f t="shared" si="27"/>
        <v>738.88205100000005</v>
      </c>
      <c r="I144" s="128">
        <f t="shared" si="27"/>
        <v>700.87946699999998</v>
      </c>
      <c r="J144" s="128">
        <f t="shared" si="27"/>
        <v>724.341813</v>
      </c>
      <c r="K144" s="128">
        <f t="shared" si="27"/>
        <v>714.65338499999996</v>
      </c>
      <c r="L144" s="128">
        <f t="shared" si="27"/>
        <v>765.05430200000001</v>
      </c>
      <c r="M144" s="128">
        <f t="shared" si="27"/>
        <v>788.173855</v>
      </c>
      <c r="N144" s="128">
        <f t="shared" si="27"/>
        <v>752.20748200000003</v>
      </c>
      <c r="O144" s="136">
        <f t="shared" si="27"/>
        <v>773.43527400000005</v>
      </c>
    </row>
    <row r="145" spans="1:15">
      <c r="A145" s="212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15" ht="14.25">
      <c r="A146" s="213"/>
      <c r="B146" s="137" t="s">
        <v>77</v>
      </c>
      <c r="C146" s="141">
        <f>SUM(C136:C138)</f>
        <v>417.76272399999999</v>
      </c>
      <c r="D146" s="141">
        <f t="shared" ref="D146:O146" si="28">SUM(D136:D138)</f>
        <v>413.52137700000003</v>
      </c>
      <c r="E146" s="141">
        <f t="shared" si="28"/>
        <v>402.79991699999999</v>
      </c>
      <c r="F146" s="141">
        <f t="shared" si="28"/>
        <v>414.86051199999997</v>
      </c>
      <c r="G146" s="141">
        <f t="shared" si="28"/>
        <v>384.770937</v>
      </c>
      <c r="H146" s="141">
        <f t="shared" si="28"/>
        <v>389.44758000000002</v>
      </c>
      <c r="I146" s="141">
        <f t="shared" si="28"/>
        <v>377.027762</v>
      </c>
      <c r="J146" s="141">
        <f t="shared" si="28"/>
        <v>375.43118500000003</v>
      </c>
      <c r="K146" s="141">
        <f t="shared" si="28"/>
        <v>392.00518099999999</v>
      </c>
      <c r="L146" s="141">
        <f t="shared" si="28"/>
        <v>310.36124699999999</v>
      </c>
      <c r="M146" s="141">
        <f t="shared" si="28"/>
        <v>307.670436</v>
      </c>
      <c r="N146" s="141">
        <f t="shared" si="28"/>
        <v>349.34223900000001</v>
      </c>
      <c r="O146" s="142">
        <f t="shared" si="28"/>
        <v>355.37539000000004</v>
      </c>
    </row>
    <row r="149" spans="1:15" ht="15">
      <c r="A149" s="174"/>
      <c r="B149" s="174" t="s">
        <v>69</v>
      </c>
      <c r="C149" s="210" t="s">
        <v>58</v>
      </c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</row>
    <row r="150" spans="1:15">
      <c r="A150" s="174"/>
      <c r="B150" s="174" t="s">
        <v>70</v>
      </c>
      <c r="C150" s="181" t="s">
        <v>111</v>
      </c>
      <c r="D150" s="181" t="s">
        <v>112</v>
      </c>
      <c r="E150" s="181" t="s">
        <v>113</v>
      </c>
      <c r="F150" s="181" t="s">
        <v>114</v>
      </c>
      <c r="G150" s="181" t="s">
        <v>115</v>
      </c>
      <c r="H150" s="181" t="s">
        <v>116</v>
      </c>
      <c r="I150" s="181" t="s">
        <v>117</v>
      </c>
      <c r="J150" s="181" t="s">
        <v>118</v>
      </c>
      <c r="K150" s="181" t="s">
        <v>119</v>
      </c>
      <c r="L150" s="181" t="s">
        <v>120</v>
      </c>
      <c r="M150" s="181" t="s">
        <v>121</v>
      </c>
      <c r="N150" s="181" t="s">
        <v>122</v>
      </c>
    </row>
    <row r="151" spans="1:15">
      <c r="A151" s="174" t="s">
        <v>68</v>
      </c>
      <c r="B151" s="174" t="s">
        <v>123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</row>
    <row r="152" spans="1:15">
      <c r="A152" s="176" t="s">
        <v>124</v>
      </c>
      <c r="B152" s="176" t="s">
        <v>125</v>
      </c>
      <c r="C152" s="177">
        <v>2.9780000000000001E-2</v>
      </c>
      <c r="D152" s="177">
        <v>9.7199999999999995E-3</v>
      </c>
      <c r="E152" s="177">
        <v>-5.11E-3</v>
      </c>
      <c r="F152" s="177">
        <v>2.5170000000000001E-2</v>
      </c>
      <c r="G152" s="177">
        <v>7.6400000000000001E-3</v>
      </c>
      <c r="H152" s="177">
        <v>5.2599999999999999E-3</v>
      </c>
      <c r="I152" s="177">
        <v>-8.7299999999999999E-3</v>
      </c>
      <c r="J152" s="177">
        <v>1.111E-2</v>
      </c>
      <c r="K152" s="177">
        <v>-6.4000000000000005E-4</v>
      </c>
      <c r="L152" s="177">
        <v>5.6299999999999996E-3</v>
      </c>
      <c r="M152" s="177">
        <v>-1.09E-2</v>
      </c>
      <c r="N152" s="177">
        <v>4.6299999999999996E-3</v>
      </c>
    </row>
    <row r="155" spans="1:15" ht="15">
      <c r="A155" s="174"/>
      <c r="B155" s="174" t="s">
        <v>69</v>
      </c>
      <c r="C155" s="210" t="s">
        <v>59</v>
      </c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</row>
    <row r="156" spans="1:15">
      <c r="A156" s="174"/>
      <c r="B156" s="174" t="s">
        <v>70</v>
      </c>
      <c r="C156" s="181" t="s">
        <v>111</v>
      </c>
      <c r="D156" s="181" t="s">
        <v>112</v>
      </c>
      <c r="E156" s="181" t="s">
        <v>113</v>
      </c>
      <c r="F156" s="181" t="s">
        <v>114</v>
      </c>
      <c r="G156" s="181" t="s">
        <v>115</v>
      </c>
      <c r="H156" s="181" t="s">
        <v>116</v>
      </c>
      <c r="I156" s="181" t="s">
        <v>117</v>
      </c>
      <c r="J156" s="181" t="s">
        <v>118</v>
      </c>
      <c r="K156" s="181" t="s">
        <v>119</v>
      </c>
      <c r="L156" s="181" t="s">
        <v>120</v>
      </c>
      <c r="M156" s="181" t="s">
        <v>121</v>
      </c>
      <c r="N156" s="181" t="s">
        <v>122</v>
      </c>
    </row>
    <row r="157" spans="1:15">
      <c r="A157" s="174" t="s">
        <v>68</v>
      </c>
      <c r="B157" s="174" t="s">
        <v>123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</row>
    <row r="158" spans="1:15">
      <c r="A158" s="176" t="s">
        <v>124</v>
      </c>
      <c r="B158" s="176" t="s">
        <v>125</v>
      </c>
      <c r="C158" s="177">
        <v>-6.77E-3</v>
      </c>
      <c r="D158" s="177">
        <v>9.7800000000000005E-3</v>
      </c>
      <c r="E158" s="177">
        <v>9.7000000000000005E-4</v>
      </c>
      <c r="F158" s="177">
        <v>-1.7520000000000001E-2</v>
      </c>
      <c r="G158" s="177">
        <v>1.23E-3</v>
      </c>
      <c r="H158" s="177">
        <v>5.3800000000000002E-3</v>
      </c>
      <c r="I158" s="177">
        <v>8.0999999999999996E-4</v>
      </c>
      <c r="J158" s="177">
        <v>-4.96E-3</v>
      </c>
      <c r="K158" s="177">
        <v>-2.3999999999999998E-3</v>
      </c>
      <c r="L158" s="177">
        <v>5.3400000000000001E-3</v>
      </c>
      <c r="M158" s="177">
        <v>5.6999999999999998E-4</v>
      </c>
      <c r="N158" s="177">
        <v>-8.3099999999999997E-3</v>
      </c>
    </row>
  </sheetData>
  <mergeCells count="15"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B4:AG4"/>
    <mergeCell ref="B5:I5"/>
    <mergeCell ref="J5:Q5"/>
    <mergeCell ref="R5:Y5"/>
    <mergeCell ref="Z5:AG5"/>
    <mergeCell ref="B29:C29"/>
    <mergeCell ref="C85:Y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K12" sqref="K12:K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5" t="s">
        <v>47</v>
      </c>
      <c r="E7" s="77"/>
      <c r="F7" s="186" t="str">
        <f>K3</f>
        <v>Octubre 2019</v>
      </c>
      <c r="G7" s="187"/>
      <c r="H7" s="187" t="s">
        <v>37</v>
      </c>
      <c r="I7" s="187"/>
      <c r="J7" s="187" t="s">
        <v>38</v>
      </c>
      <c r="K7" s="187"/>
    </row>
    <row r="8" spans="3:12">
      <c r="C8" s="185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80" t="str">
        <f>G8</f>
        <v>% 19/18</v>
      </c>
      <c r="J8" s="79" t="s">
        <v>13</v>
      </c>
      <c r="K8" s="80" t="str">
        <f>G8</f>
        <v>% 19/18</v>
      </c>
    </row>
    <row r="9" spans="3:12">
      <c r="C9" s="81"/>
      <c r="E9" s="82" t="s">
        <v>39</v>
      </c>
      <c r="F9" s="83">
        <f>Dat_01!R24/1000</f>
        <v>490.33820600000001</v>
      </c>
      <c r="G9" s="164">
        <f>Dat_01!T24*100</f>
        <v>2.9782321399999998</v>
      </c>
      <c r="H9" s="83">
        <f>Dat_01!U24/1000</f>
        <v>5278.7413969999998</v>
      </c>
      <c r="I9" s="164">
        <f>Dat_01!W24*100</f>
        <v>0.76414735</v>
      </c>
      <c r="J9" s="83">
        <f>Dat_01!X24/1000</f>
        <v>6097.4397580000004</v>
      </c>
      <c r="K9" s="164">
        <f>Dat_01!Y24*100</f>
        <v>-6.4196760000000005E-2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0.97199999999999998</v>
      </c>
      <c r="H12" s="103"/>
      <c r="I12" s="103">
        <f>Dat_01!H152*100</f>
        <v>0.52600000000000002</v>
      </c>
      <c r="J12" s="103"/>
      <c r="K12" s="103">
        <f>Dat_01!L152*100</f>
        <v>0.56299999999999994</v>
      </c>
    </row>
    <row r="13" spans="3:12">
      <c r="E13" s="85" t="s">
        <v>42</v>
      </c>
      <c r="F13" s="84"/>
      <c r="G13" s="103">
        <f>Dat_01!E152*100</f>
        <v>-0.51100000000000001</v>
      </c>
      <c r="H13" s="103"/>
      <c r="I13" s="103">
        <f>Dat_01!I152*100</f>
        <v>-0.873</v>
      </c>
      <c r="J13" s="103"/>
      <c r="K13" s="103">
        <f>Dat_01!M152*100</f>
        <v>-1.0900000000000001</v>
      </c>
    </row>
    <row r="14" spans="3:12">
      <c r="E14" s="86" t="s">
        <v>43</v>
      </c>
      <c r="F14" s="87"/>
      <c r="G14" s="104">
        <f>Dat_01!F152*100</f>
        <v>2.5170000000000003</v>
      </c>
      <c r="H14" s="104"/>
      <c r="I14" s="104">
        <f>Dat_01!J152*100</f>
        <v>1.111</v>
      </c>
      <c r="J14" s="104"/>
      <c r="K14" s="104">
        <f>Dat_01!N152*100</f>
        <v>0.46299999999999997</v>
      </c>
    </row>
    <row r="15" spans="3:12">
      <c r="E15" s="188" t="s">
        <v>44</v>
      </c>
      <c r="F15" s="188"/>
      <c r="G15" s="188"/>
      <c r="H15" s="188"/>
      <c r="I15" s="188"/>
      <c r="J15" s="188"/>
      <c r="K15" s="188"/>
    </row>
    <row r="16" spans="3:12" ht="21.75" customHeight="1">
      <c r="E16" s="184" t="s">
        <v>45</v>
      </c>
      <c r="F16" s="184"/>
      <c r="G16" s="184"/>
      <c r="H16" s="184"/>
      <c r="I16" s="184"/>
      <c r="J16" s="184"/>
      <c r="K16" s="184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K12" sqref="K12:K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Octubre 2019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85" t="s">
        <v>48</v>
      </c>
      <c r="E7" s="77"/>
      <c r="F7" s="186" t="str">
        <f>K3</f>
        <v>Octubre 2019</v>
      </c>
      <c r="G7" s="187"/>
      <c r="H7" s="187" t="s">
        <v>37</v>
      </c>
      <c r="I7" s="187"/>
      <c r="J7" s="187" t="s">
        <v>38</v>
      </c>
      <c r="K7" s="187"/>
    </row>
    <row r="8" spans="3:12">
      <c r="C8" s="185"/>
      <c r="E8" s="78"/>
      <c r="F8" s="79" t="s">
        <v>13</v>
      </c>
      <c r="G8" s="106" t="str">
        <f>CONCATENATE("% ",RIGHT(F7,2),"/",RIGHT(F7,2)-1)</f>
        <v>% 19/18</v>
      </c>
      <c r="H8" s="79" t="s">
        <v>13</v>
      </c>
      <c r="I8" s="107" t="str">
        <f>G8</f>
        <v>% 19/18</v>
      </c>
      <c r="J8" s="79" t="s">
        <v>13</v>
      </c>
      <c r="K8" s="107" t="str">
        <f>G8</f>
        <v>% 19/18</v>
      </c>
    </row>
    <row r="9" spans="3:12">
      <c r="C9" s="81"/>
      <c r="E9" s="82" t="s">
        <v>39</v>
      </c>
      <c r="F9" s="83">
        <f>Dat_01!Z24/1000</f>
        <v>773.43527399999994</v>
      </c>
      <c r="G9" s="164">
        <f>Dat_01!AB24*100</f>
        <v>-0.67716553000000002</v>
      </c>
      <c r="H9" s="83">
        <f>Dat_01!AC24/1000</f>
        <v>7387.8913919999995</v>
      </c>
      <c r="I9" s="164">
        <f>Dat_01!AE24*100</f>
        <v>0.12276020999999999</v>
      </c>
      <c r="J9" s="83">
        <f>Dat_01!AF24/1000</f>
        <v>8850.7054210000006</v>
      </c>
      <c r="K9" s="164">
        <f>Dat_01!AG24*100</f>
        <v>-0.24049362999999999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0.97800000000000009</v>
      </c>
      <c r="H12" s="103"/>
      <c r="I12" s="103">
        <f>Dat_01!H158*100</f>
        <v>0.53800000000000003</v>
      </c>
      <c r="J12" s="103"/>
      <c r="K12" s="103">
        <f>Dat_01!L158*100</f>
        <v>0.53400000000000003</v>
      </c>
    </row>
    <row r="13" spans="3:12">
      <c r="E13" s="85" t="s">
        <v>42</v>
      </c>
      <c r="F13" s="84"/>
      <c r="G13" s="103">
        <f>Dat_01!E158*100</f>
        <v>9.7000000000000003E-2</v>
      </c>
      <c r="H13" s="103"/>
      <c r="I13" s="103">
        <f>Dat_01!I158*100</f>
        <v>8.0999999999999989E-2</v>
      </c>
      <c r="J13" s="103"/>
      <c r="K13" s="103">
        <f>Dat_01!M158*100</f>
        <v>5.6999999999999995E-2</v>
      </c>
    </row>
    <row r="14" spans="3:12">
      <c r="E14" s="86" t="s">
        <v>43</v>
      </c>
      <c r="F14" s="87"/>
      <c r="G14" s="104">
        <f>Dat_01!F158*100</f>
        <v>-1.752</v>
      </c>
      <c r="H14" s="104"/>
      <c r="I14" s="104">
        <f>Dat_01!J158*100</f>
        <v>-0.496</v>
      </c>
      <c r="J14" s="104"/>
      <c r="K14" s="104">
        <f>Dat_01!N158*100</f>
        <v>-0.83099999999999996</v>
      </c>
    </row>
    <row r="15" spans="3:12">
      <c r="E15" s="188" t="s">
        <v>44</v>
      </c>
      <c r="F15" s="188"/>
      <c r="G15" s="188"/>
      <c r="H15" s="188"/>
      <c r="I15" s="188"/>
      <c r="J15" s="188"/>
      <c r="K15" s="188"/>
    </row>
    <row r="16" spans="3:12" ht="21.75" customHeight="1">
      <c r="E16" s="184" t="s">
        <v>45</v>
      </c>
      <c r="F16" s="184"/>
      <c r="G16" s="184"/>
      <c r="H16" s="184"/>
      <c r="I16" s="184"/>
      <c r="J16" s="184"/>
      <c r="K16" s="184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131</v>
      </c>
    </row>
    <row r="2" spans="1:2">
      <c r="A2" t="s">
        <v>126</v>
      </c>
    </row>
    <row r="3" spans="1:2">
      <c r="A3" t="s">
        <v>129</v>
      </c>
    </row>
    <row r="4" spans="1:2">
      <c r="A4" t="s">
        <v>132</v>
      </c>
    </row>
    <row r="5" spans="1:2">
      <c r="A5" t="s">
        <v>127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7"/>
  <sheetViews>
    <sheetView showGridLines="0" showRowColHeaders="0" zoomScaleNormal="100" workbookViewId="0">
      <selection activeCell="M18" sqref="M18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Octubre 2019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89" t="s">
        <v>18</v>
      </c>
      <c r="E7" s="31"/>
      <c r="F7" s="190" t="s">
        <v>17</v>
      </c>
      <c r="G7" s="191"/>
      <c r="H7" s="190" t="s">
        <v>16</v>
      </c>
      <c r="I7" s="191"/>
      <c r="J7" s="190" t="s">
        <v>15</v>
      </c>
      <c r="K7" s="191"/>
      <c r="L7" s="190" t="s">
        <v>14</v>
      </c>
      <c r="M7" s="191"/>
    </row>
    <row r="8" spans="3:23" s="28" customFormat="1" ht="12.75" customHeight="1">
      <c r="C8" s="189"/>
      <c r="E8" s="30"/>
      <c r="F8" s="29" t="s">
        <v>13</v>
      </c>
      <c r="G8" s="105" t="str">
        <f>CONCATENATE("% ",RIGHT(M3,2),"/",RIGHT(M3,2)-1)</f>
        <v>% 19/18</v>
      </c>
      <c r="H8" s="29" t="s">
        <v>13</v>
      </c>
      <c r="I8" s="105" t="str">
        <f>G8</f>
        <v>% 19/18</v>
      </c>
      <c r="J8" s="29" t="s">
        <v>13</v>
      </c>
      <c r="K8" s="105" t="str">
        <f>I8</f>
        <v>% 19/18</v>
      </c>
      <c r="L8" s="29" t="s">
        <v>13</v>
      </c>
      <c r="M8" s="105" t="str">
        <f>K8</f>
        <v>% 19/18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0.297543</v>
      </c>
      <c r="I9" s="24">
        <f>Dat_01!AB8*100</f>
        <v>5.7167260000000004E-2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1.582837</v>
      </c>
      <c r="I10" s="17">
        <f>Dat_01!AB15*100</f>
        <v>81.245512769999991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0.402117</v>
      </c>
      <c r="G11" s="17">
        <f>Dat_01!T16*100</f>
        <v>-35.175145450000002</v>
      </c>
      <c r="H11" s="153">
        <f>Dat_01!Z16/1000</f>
        <v>89.262077000000005</v>
      </c>
      <c r="I11" s="17">
        <f>Dat_01!AB16*100</f>
        <v>299.05151247999999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9.0470969999999991</v>
      </c>
      <c r="G12" s="17">
        <f>Dat_01!T17*100</f>
        <v>12.387638409999999</v>
      </c>
      <c r="H12" s="153">
        <f>Dat_01!Z17/1000</f>
        <v>20.507878000000002</v>
      </c>
      <c r="I12" s="17">
        <f>Dat_01!AB17*100</f>
        <v>5.0394658400000001</v>
      </c>
      <c r="J12" s="153" t="s">
        <v>3</v>
      </c>
      <c r="K12" s="17" t="s">
        <v>3</v>
      </c>
      <c r="L12" s="153">
        <f>Dat_01!J17/1000</f>
        <v>6.5820000000000002E-3</v>
      </c>
      <c r="M12" s="17">
        <f>Dat_01!L17*100</f>
        <v>8.9374379299999998</v>
      </c>
      <c r="N12" s="10"/>
      <c r="O12" s="10"/>
      <c r="P12" s="19"/>
    </row>
    <row r="13" spans="3:23" s="2" customFormat="1" ht="12.75" customHeight="1">
      <c r="C13" s="13"/>
      <c r="E13" s="18" t="s">
        <v>101</v>
      </c>
      <c r="F13" s="17">
        <f>Dat_01!R18/1000</f>
        <v>9.9426E-2</v>
      </c>
      <c r="G13" s="17">
        <f>Dat_01!T18*100</f>
        <v>64.571712320000003</v>
      </c>
      <c r="H13" s="153">
        <f>Dat_01!Z18/1000</f>
        <v>0.57729399999999997</v>
      </c>
      <c r="I13" s="17">
        <f>Dat_01!AB18*100</f>
        <v>-29.021287690000001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14.954476000000001</v>
      </c>
      <c r="G14" s="17">
        <f>Dat_01!T21*100</f>
        <v>7.6041684199999997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0.31185250000000003</v>
      </c>
      <c r="M14" s="17">
        <f>Dat_01!L21*100</f>
        <v>-24.709953970000001</v>
      </c>
      <c r="N14" s="10"/>
      <c r="O14" s="10"/>
    </row>
    <row r="15" spans="3:23" s="2" customFormat="1" ht="12.75" customHeight="1">
      <c r="C15" s="13"/>
      <c r="E15" s="169" t="s">
        <v>98</v>
      </c>
      <c r="F15" s="172">
        <f>SUM(F9:F14)</f>
        <v>24.503115999999999</v>
      </c>
      <c r="G15" s="173">
        <f>((SUM(Dat_01!R8,Dat_01!R15:R18,Dat_01!R20)/SUM(Dat_01!S8,Dat_01!S15:S18,Dat_01!S20))-1)*100</f>
        <v>8.2852447789340644</v>
      </c>
      <c r="H15" s="172">
        <f>SUM(H9:H14)</f>
        <v>112.22762900000001</v>
      </c>
      <c r="I15" s="173">
        <f>((SUM(Dat_01!Z8,Dat_01!Z15:Z18,Dat_01!Z20)/SUM(Dat_01!AA8,Dat_01!AA15:AA18,Dat_01!AA20))-1)*100</f>
        <v>155.78042002935871</v>
      </c>
      <c r="J15" s="172" t="s">
        <v>3</v>
      </c>
      <c r="K15" s="173" t="s">
        <v>3</v>
      </c>
      <c r="L15" s="173">
        <f>SUM(L9:L14)</f>
        <v>0.31843450000000001</v>
      </c>
      <c r="M15" s="173">
        <f>((SUM(Dat_01!J8,Dat_01!J15:J18,Dat_01!J21)/SUM(Dat_01!K8,Dat_01!K15:K18,Dat_01!K20))-1)*100</f>
        <v>-24.226192671629654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190.859296</v>
      </c>
      <c r="G16" s="17">
        <f>Dat_01!T9*100</f>
        <v>2.08313149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42.556728999999997</v>
      </c>
      <c r="G17" s="24">
        <f>((SUM(Dat_01!R10,Dat_01!R14)/SUM(Dat_01!S10,Dat_01!S14))-1)*100</f>
        <v>-26.701549949060034</v>
      </c>
      <c r="H17" s="154">
        <f>Dat_01!Z10/1000</f>
        <v>168.13456400000001</v>
      </c>
      <c r="I17" s="24">
        <f>Dat_01!AB10*100</f>
        <v>-11.82144489</v>
      </c>
      <c r="J17" s="154">
        <f>Dat_01!B10/1000</f>
        <v>17.592765</v>
      </c>
      <c r="K17" s="24">
        <f>Dat_01!D10*100</f>
        <v>-0.93366747000000005</v>
      </c>
      <c r="L17" s="154">
        <f>Dat_01!J10/1000</f>
        <v>16.875246000000001</v>
      </c>
      <c r="M17" s="24">
        <f>Dat_01!L10*100</f>
        <v>0.25809473999999999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27.935912999999999</v>
      </c>
      <c r="G18" s="24">
        <f>Dat_01!T11*100</f>
        <v>-48.702677379999997</v>
      </c>
      <c r="H18" s="154">
        <f>Dat_01!Z11/1000</f>
        <v>16.664883999999997</v>
      </c>
      <c r="I18" s="24">
        <f>Dat_01!AB11*100</f>
        <v>-33.772224059999999</v>
      </c>
      <c r="J18" s="24">
        <f>Dat_01!B11/1000</f>
        <v>7.6386999999999997E-2</v>
      </c>
      <c r="K18" s="24">
        <f>Dat_01!D11*100</f>
        <v>-20.063834239999998</v>
      </c>
      <c r="L18" s="154">
        <f>Dat_01!J11/1000</f>
        <v>1.583E-3</v>
      </c>
      <c r="M18" s="24">
        <f>Dat_01!L11*100</f>
        <v>0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170.575942</v>
      </c>
      <c r="I19" s="24">
        <f>Dat_01!AB12*100</f>
        <v>-15.5249422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70.492641999999989</v>
      </c>
      <c r="G20" s="17">
        <f>((SUM(Dat_01!R10:R12,Dat_01!R14)/SUM(Dat_01!S10:S12,Dat_01!S14))-1)*100</f>
        <v>-37.350083765015576</v>
      </c>
      <c r="H20" s="153">
        <f>SUM(H17:H19)</f>
        <v>355.37539000000004</v>
      </c>
      <c r="I20" s="17">
        <f>(H20/(H17/(I17/100+1)+H18/(I18/100+1)+H19/(I19/100+1))-1)*100</f>
        <v>-14.93367656243133</v>
      </c>
      <c r="J20" s="153">
        <f>SUM(J17:J19)</f>
        <v>17.669152</v>
      </c>
      <c r="K20" s="17">
        <f>(J20/(J17/(K17/100+1)+J18/(K18/100+1))-1)*100</f>
        <v>-1.0360571486954573</v>
      </c>
      <c r="L20" s="153">
        <f>SUM(L17:L19)</f>
        <v>16.876829000000001</v>
      </c>
      <c r="M20" s="17">
        <f>(L20/(L17/(M17/100+1)+L18/(M18/100+1))-1)*100</f>
        <v>0.25807046895025554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102</v>
      </c>
      <c r="F21" s="153">
        <f>Dat_01!R13/1000</f>
        <v>49.054825999999998</v>
      </c>
      <c r="G21" s="17">
        <f>Dat_01!T13*100</f>
        <v>7.6491682000000001</v>
      </c>
      <c r="H21" s="153">
        <f>Dat_01!Z13/1000</f>
        <v>305.83225500000003</v>
      </c>
      <c r="I21" s="17">
        <f>Dat_01!AB13*100</f>
        <v>-3.5439866200000001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2.8082800000000003</v>
      </c>
      <c r="G22" s="17">
        <f>Dat_01!T19*100</f>
        <v>9.2074731199999995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14.954476000000001</v>
      </c>
      <c r="G23" s="17">
        <f>Dat_01!T20*100</f>
        <v>7.6041684199999997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0.31185250000000003</v>
      </c>
      <c r="M23" s="17">
        <f>Dat_01!L20*100</f>
        <v>-24.709953970000001</v>
      </c>
      <c r="N23" s="10"/>
      <c r="O23" s="10"/>
    </row>
    <row r="24" spans="3:23" s="2" customFormat="1" ht="12.75" customHeight="1">
      <c r="C24" s="13"/>
      <c r="E24" s="169" t="s">
        <v>99</v>
      </c>
      <c r="F24" s="155">
        <f>SUM(F16,F20:F23)</f>
        <v>328.16952000000003</v>
      </c>
      <c r="G24" s="173">
        <f>((SUM(Dat_01!R9:R14,Dat_01!R19,Dat_01!R21)/SUM(Dat_01!S9:S14,Dat_01!S19,Dat_01!S21))-1)*100</f>
        <v>-9.2253879172640492</v>
      </c>
      <c r="H24" s="155">
        <f>SUM(H16,H20:H23)</f>
        <v>661.20764500000007</v>
      </c>
      <c r="I24" s="173">
        <f>((SUM(Dat_01!Z9:Z14,Dat_01!Z19,Dat_01!Z21)/SUM(Dat_01!AA9:AA14,Dat_01!AA19,Dat_01!AA21))-1)*100</f>
        <v>-10.019192866604399</v>
      </c>
      <c r="J24" s="155">
        <f>SUM(J16,J20:J23)</f>
        <v>17.669152</v>
      </c>
      <c r="K24" s="173">
        <f>((SUM(Dat_01!B9:B14,Dat_01!B19,Dat_01!B21)/SUM(Dat_01!C9:C14,Dat_01!C19,Dat_01!C21))-1)*100</f>
        <v>-1.0360571455424128</v>
      </c>
      <c r="L24" s="155">
        <f>SUM(L16,L20:L23)</f>
        <v>17.188681500000001</v>
      </c>
      <c r="M24" s="173">
        <f>((SUM(Dat_01!J9:J14,Dat_01!J19,Dat_01!J21)/SUM(Dat_01!K9:K14,Dat_01!K19,Dat_01!K21))-1)*100</f>
        <v>-0.33239001344398389</v>
      </c>
      <c r="N24" s="10"/>
      <c r="O24" s="10"/>
    </row>
    <row r="25" spans="3:23" s="2" customFormat="1" ht="12.75" customHeight="1">
      <c r="C25" s="16"/>
      <c r="E25" s="15" t="s">
        <v>105</v>
      </c>
      <c r="F25" s="156">
        <f>Dat_01!R23/1000</f>
        <v>137.66557</v>
      </c>
      <c r="G25" s="14">
        <f>Dat_01!T23*100</f>
        <v>49.624166279999997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490.33820600000001</v>
      </c>
      <c r="G26" s="11">
        <f>Dat_01!T24*100</f>
        <v>2.9782321399999998</v>
      </c>
      <c r="H26" s="157">
        <f>Dat_01!Z24/1000</f>
        <v>773.43527399999994</v>
      </c>
      <c r="I26" s="11">
        <f>Dat_01!AB24*100</f>
        <v>-0.67716553000000002</v>
      </c>
      <c r="J26" s="157">
        <f>Dat_01!B24/1000</f>
        <v>17.669151999999997</v>
      </c>
      <c r="K26" s="11">
        <f>Dat_01!D24*100</f>
        <v>-1.03605715</v>
      </c>
      <c r="L26" s="157">
        <f>Dat_01!J24/1000</f>
        <v>17.507116000000003</v>
      </c>
      <c r="M26" s="11">
        <f>Dat_01!L24*100</f>
        <v>-0.90077413000000006</v>
      </c>
      <c r="N26" s="10"/>
      <c r="O26" s="10"/>
    </row>
    <row r="27" spans="3:23" s="2" customFormat="1" ht="16.149999999999999" customHeight="1">
      <c r="C27" s="13"/>
      <c r="E27" s="194" t="s">
        <v>56</v>
      </c>
      <c r="F27" s="194"/>
      <c r="G27" s="194"/>
      <c r="H27" s="194"/>
      <c r="I27" s="194"/>
      <c r="J27" s="194"/>
      <c r="K27" s="194"/>
      <c r="L27" s="170"/>
      <c r="M27" s="171"/>
      <c r="N27" s="10"/>
      <c r="O27" s="10"/>
    </row>
    <row r="28" spans="3:23" s="2" customFormat="1" ht="12.75" customHeight="1">
      <c r="C28" s="8"/>
      <c r="D28" s="8"/>
      <c r="E28" s="193" t="s">
        <v>0</v>
      </c>
      <c r="F28" s="193"/>
      <c r="G28" s="193"/>
      <c r="H28" s="193"/>
      <c r="I28" s="193"/>
      <c r="J28" s="193"/>
      <c r="K28" s="193"/>
      <c r="L28" s="193"/>
      <c r="M28" s="193"/>
      <c r="O28" s="9"/>
    </row>
    <row r="29" spans="3:23" s="7" customFormat="1" ht="12.75" customHeight="1">
      <c r="E29" s="192" t="s">
        <v>100</v>
      </c>
      <c r="F29" s="192"/>
      <c r="G29" s="192"/>
      <c r="H29" s="192"/>
      <c r="I29" s="192"/>
      <c r="J29" s="192"/>
      <c r="K29" s="192"/>
      <c r="L29" s="192"/>
      <c r="M29" s="192"/>
    </row>
    <row r="30" spans="3:23" s="2" customFormat="1" ht="12.75" customHeight="1">
      <c r="C30" s="8"/>
      <c r="D30" s="8"/>
      <c r="E30" s="192" t="s">
        <v>103</v>
      </c>
      <c r="F30" s="192"/>
      <c r="G30" s="192"/>
      <c r="H30" s="192"/>
      <c r="I30" s="192"/>
      <c r="J30" s="192"/>
      <c r="K30" s="192"/>
      <c r="L30" s="192"/>
      <c r="M30" s="192"/>
    </row>
    <row r="31" spans="3:23" ht="12.75" customHeight="1">
      <c r="C31" s="1"/>
      <c r="D31" s="1"/>
      <c r="E31" s="192" t="s">
        <v>104</v>
      </c>
      <c r="F31" s="192"/>
      <c r="G31" s="192"/>
      <c r="H31" s="192"/>
      <c r="I31" s="192"/>
      <c r="J31" s="192"/>
      <c r="K31" s="192"/>
      <c r="L31" s="192"/>
      <c r="M31" s="192"/>
    </row>
    <row r="32" spans="3:23" ht="12.75" customHeight="1">
      <c r="C32" s="1"/>
      <c r="D32" s="1"/>
      <c r="E32" s="192"/>
      <c r="F32" s="192"/>
      <c r="G32" s="192"/>
      <c r="H32" s="192"/>
      <c r="I32" s="192"/>
      <c r="J32" s="192"/>
      <c r="K32" s="192"/>
      <c r="L32" s="192"/>
      <c r="M32" s="192"/>
    </row>
    <row r="33" spans="3:13" ht="12.75" customHeight="1">
      <c r="C33" s="1"/>
      <c r="D33" s="1"/>
      <c r="E33" s="6"/>
      <c r="F33" s="6"/>
      <c r="G33" s="6"/>
      <c r="H33" s="6"/>
      <c r="I33" s="6"/>
      <c r="J33" s="6"/>
      <c r="K33" s="6"/>
      <c r="L33" s="6"/>
      <c r="M33" s="6"/>
    </row>
    <row r="34" spans="3:13" ht="12.75" customHeight="1">
      <c r="C34" s="1"/>
      <c r="D34" s="1"/>
      <c r="E34" s="5"/>
      <c r="G34" s="4"/>
      <c r="I34" s="4"/>
      <c r="K34" s="4"/>
      <c r="L34" s="4"/>
      <c r="M34" s="4"/>
    </row>
    <row r="35" spans="3:13">
      <c r="E35" s="3"/>
      <c r="F35" s="3"/>
      <c r="G35" s="3"/>
      <c r="H35" s="3"/>
      <c r="I35" s="3"/>
      <c r="J35" s="3"/>
      <c r="K35" s="3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C42" s="3"/>
      <c r="D42" s="3"/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</row>
  </sheetData>
  <mergeCells count="11">
    <mergeCell ref="C7:C8"/>
    <mergeCell ref="F7:G7"/>
    <mergeCell ref="H7:I7"/>
    <mergeCell ref="J7:K7"/>
    <mergeCell ref="E32:M32"/>
    <mergeCell ref="L7:M7"/>
    <mergeCell ref="E28:M28"/>
    <mergeCell ref="E29:M29"/>
    <mergeCell ref="E30:M30"/>
    <mergeCell ref="E31:M31"/>
    <mergeCell ref="E27:K2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J21" sqref="J21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5" t="s">
        <v>31</v>
      </c>
      <c r="D7" s="44"/>
      <c r="E7" s="48"/>
    </row>
    <row r="8" spans="2:12" s="38" customFormat="1" ht="12.75" customHeight="1">
      <c r="B8" s="46"/>
      <c r="C8" s="195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195" t="s">
        <v>28</v>
      </c>
      <c r="E24" s="42"/>
      <c r="J24" s="38"/>
      <c r="K24" s="38"/>
    </row>
    <row r="25" spans="2:12">
      <c r="C25" s="195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H9" sqref="H9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6" t="s">
        <v>32</v>
      </c>
      <c r="D7" s="64"/>
      <c r="E7" s="68"/>
    </row>
    <row r="8" spans="1:20" s="56" customFormat="1" ht="12.75" customHeight="1">
      <c r="A8" s="67"/>
      <c r="B8" s="66"/>
      <c r="C8" s="196"/>
      <c r="D8" s="64"/>
      <c r="E8" s="68"/>
      <c r="F8" s="63"/>
    </row>
    <row r="9" spans="1:20" s="56" customFormat="1" ht="12.75" customHeight="1">
      <c r="A9" s="67"/>
      <c r="B9" s="66"/>
      <c r="C9" s="19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107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7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M25" sqref="M25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Octubre 2019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195" t="s">
        <v>35</v>
      </c>
      <c r="D7" s="44"/>
      <c r="E7" s="48"/>
    </row>
    <row r="8" spans="2:12" s="38" customFormat="1" ht="12.75" customHeight="1">
      <c r="B8" s="46"/>
      <c r="C8" s="195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195" t="s">
        <v>49</v>
      </c>
      <c r="E24" s="42"/>
      <c r="J24" s="38"/>
      <c r="K24" s="38"/>
    </row>
    <row r="25" spans="2:12">
      <c r="C25" s="195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E42" sqref="E4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Octubre 2019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196" t="s">
        <v>36</v>
      </c>
      <c r="D7" s="64"/>
      <c r="E7" s="68"/>
    </row>
    <row r="8" spans="1:20" s="56" customFormat="1" ht="12.75" customHeight="1">
      <c r="A8" s="67"/>
      <c r="B8" s="66"/>
      <c r="C8" s="196"/>
      <c r="D8" s="64"/>
      <c r="E8" s="68"/>
      <c r="F8" s="63"/>
    </row>
    <row r="9" spans="1:20" s="56" customFormat="1" ht="12.75" customHeight="1">
      <c r="A9" s="67"/>
      <c r="B9" s="66"/>
      <c r="C9" s="19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108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5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2019-11-15T09:49:05Z</dcterms:modified>
</cp:coreProperties>
</file>