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OCT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8" l="1"/>
  <c r="C46" i="18" l="1"/>
  <c r="B46" i="18"/>
  <c r="M19" i="1" l="1"/>
  <c r="M12" i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G52" i="18"/>
  <c r="C54" i="20" s="1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6" i="1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K12" i="1"/>
  <c r="K11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L14" i="1"/>
  <c r="M14" i="1" s="1"/>
  <c r="H14" i="1"/>
  <c r="I14" i="1" s="1"/>
  <c r="F14" i="1"/>
  <c r="G14" i="1" s="1"/>
  <c r="K14" i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E3" i="7"/>
  <c r="E3" i="2"/>
  <c r="K3" i="8"/>
  <c r="F7" i="8" s="1"/>
  <c r="G8" i="8" s="1"/>
  <c r="G8" i="1"/>
  <c r="I8" i="1" s="1"/>
  <c r="K8" i="1" s="1"/>
  <c r="M8" i="1" s="1"/>
  <c r="G62" i="18"/>
  <c r="H59" i="18" s="1"/>
  <c r="G78" i="18"/>
  <c r="B63" i="18"/>
  <c r="C56" i="18" s="1"/>
  <c r="K97" i="20" l="1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52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<sst xmlns="http://schemas.openxmlformats.org/spreadsheetml/2006/main" count="475" uniqueCount="120">
  <si>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</si>
  <si>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</si>
  <si>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</si>
  <si>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</si>
  <si>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</si>
  <si>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</si>
  <si>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</si>
  <si>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</si>
  <si>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</si>
  <si>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</si>
  <si>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</si>
  <si>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</si>
  <si>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</si>
  <si>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</si>
  <si>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</si>
  <si>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</si>
  <si>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</si>
  <si>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</si>
  <si>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</si>
  <si>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</si>
  <si>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</si>
  <si>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</si>
  <si>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</si>
  <si>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</si>
  <si>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</si>
  <si>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</si>
  <si>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</si>
  <si>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</si>
  <si>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</si>
  <si>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</si>
  <si>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</si>
  <si>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</si>
  <si>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</si>
  <si>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</si>
  <si>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</si>
  <si>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</si>
  <si>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</si>
  <si>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</si>
  <si>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</si>
  <si>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</si>
  <si>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</si>
  <si>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</si>
  <si>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</si>
  <si>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</si>
  <si>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</si>
  <si>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</si>
  <si>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</si>
  <si>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</si>
  <si>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</si>
  <si>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</si>
  <si>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</si>
  <si>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</si>
  <si>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</si>
  <si>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</si>
  <si>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</si>
  <si>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</si>
  <si>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</si>
  <si>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</si>
  <si>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</si>
  <si>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</si>
  <si>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</si>
  <si>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</si>
  <si>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</si>
  <si>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</si>
  <si>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</si>
  <si>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</si>
  <si>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</si>
  <si>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</si>
  <si>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</si>
  <si>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</si>
  <si>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</si>
  <si>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</si>
  <si>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</si>
  <si>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</si>
  <si>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</si>
  <si>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</si>
  <si>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</si>
  <si>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</si>
  <si>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</si>
  <si>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</si>
  <si>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</si>
  <si>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</si>
  <si>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</si>
  <si>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</si>
  <si>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</si>
  <si>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</si>
  <si>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</si>
  <si>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</si>
  <si>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</si>
  <si>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</si>
  <si>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</si>
  <si>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</si>
  <si>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</si>
  <si>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</si>
  <si>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</si>
  <si>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</si>
  <si>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</si>
  <si>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</si>
  <si>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</si>
  <si>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</si>
  <si>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</si>
  <si>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</si>
  <si>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</si>
  <si>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</si>
  <si>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</si>
  <si>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</si>
  <si>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</si>
  <si>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</si>
  <si>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</si>
  <si>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</si>
  <si>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</si>
  <si>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</si>
  <si>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</si>
  <si>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31/10/2018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</si>
  <si>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09:18:42"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msgID="F1D70E4C11E8E65B0D760080EFD533D1"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</si>
  <si>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09:18:44"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msgID="F1D3251711E8E65B0D760080EF35F1CE"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nrr="204" nrc="26"&gt;&lt;pg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</si>
  <si>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Noviembre 2018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</si>
  <si>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09:19:20"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msgID="F1E4B81C11E8E65B0D760080EF0592D0"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cols="25" /&gt;&lt;esdo ews="" ece="" ptn="" /&gt;&lt;/excel&gt;&lt;pgs&gt;&lt;pg rows="25" cols="23" nrr="327" nrc="265"&gt;&lt;pg /&gt;&lt;bls&gt;&lt;bl sr="1" sc="1" rfetch="25" cfetch="23" posid="1" darows="0" dacols="1"&gt;&lt;excel&gt;&lt;epo ews="Dat_01" ece="A85" enr="MSTR.Serie_Balance_B.C._Mensual_Baleares_y_Canarias" ptn="" qtn="" rows="28" cols="25" /&gt;&lt;esdo ews="" ece="" ptn="" /&gt;&lt;/excel&gt;&lt;gridRng&gt;&lt;sect id="TITLE_AREA" rngprop="1:1:3:2" /&gt;&lt;sect id="ROWHEADERS_AREA" rngprop="4:1:25:2" /&gt;&lt;sect id="COLUMNHEADERS_AREA" rngprop="1:3:3:23" /&gt;&lt;sect id="DATA_AREA" rngprop="4:3:25:23" /&gt;&lt;/gridRng&gt;&lt;shapes /&gt;&lt;/bl&gt;&lt;/bls&gt;&lt;/pg&gt;&lt;/pgs&gt;&lt;/rptloc&gt;&lt;/mi&gt;</t>
  </si>
  <si>
    <t>f96cf0b7477947a59a1b1029bfb1a9d8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</si>
  <si>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09:20:01"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msgID="F1E1891211E8E65B0D760080EFB5F1CF"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nrr="238" nrc="448"&gt;&lt;pg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</si>
</sst>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4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0" fontId="35" fillId="0" borderId="10" xfId="18" quotePrefix="1" applyFill="1" applyAlignment="1">
      <alignment horizontal="left" vertical="center"/>
    </xf>
    <xf numFmtId="165" fontId="34" fillId="0" borderId="10" xfId="16" applyFill="1" applyAlignment="1">
      <alignment horizontal="right" vertical="center"/>
    </xf>
    <xf numFmtId="0" fontId="37" fillId="0" borderId="10" xfId="21" quotePrefix="1" applyFill="1" applyAlignment="1">
      <alignment horizontal="left" vertical="center"/>
    </xf>
    <xf numFmtId="165" fontId="32" fillId="0" borderId="10" xfId="13" applyFill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837398373983739"/>
                  <c:y val="0.17581692913385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489558927085335"/>
                  <c:y val="0.1906862745098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764227642276422"/>
                  <c:y val="0.14705882352941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626029063440241"/>
                  <c:y val="2.50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016260162601626"/>
                  <c:y val="-0.20098039215686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6178874591895523"/>
                  <c:y val="-2.502740466265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0731707317073171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008130081300754E-2"/>
                  <c:y val="-0.19916010498687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39.200000000000003</c:v>
                </c:pt>
                <c:pt idx="1">
                  <c:v>12.2</c:v>
                </c:pt>
                <c:pt idx="2">
                  <c:v>11.5</c:v>
                </c:pt>
                <c:pt idx="3">
                  <c:v>9.6</c:v>
                </c:pt>
                <c:pt idx="4">
                  <c:v>0.1</c:v>
                </c:pt>
                <c:pt idx="5">
                  <c:v>0.5</c:v>
                </c:pt>
                <c:pt idx="6">
                  <c:v>2.9</c:v>
                </c:pt>
                <c:pt idx="7">
                  <c:v>2.9</c:v>
                </c:pt>
                <c:pt idx="8">
                  <c:v>0.1</c:v>
                </c:pt>
                <c:pt idx="9">
                  <c:v>1.6</c:v>
                </c:pt>
                <c:pt idx="10">
                  <c:v>0</c:v>
                </c:pt>
                <c:pt idx="11">
                  <c:v>19.399999999999999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138211382113822"/>
                  <c:y val="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6341463414634148"/>
                  <c:y val="9.3137254901960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196.316934</c:v>
                </c:pt>
                <c:pt idx="1">
                  <c:v>152.281554</c:v>
                </c:pt>
                <c:pt idx="2">
                  <c:v>204.11071200000001</c:v>
                </c:pt>
                <c:pt idx="3">
                  <c:v>198.55502899999999</c:v>
                </c:pt>
                <c:pt idx="4">
                  <c:v>192.79493400000001</c:v>
                </c:pt>
                <c:pt idx="5">
                  <c:v>199.82157000000001</c:v>
                </c:pt>
                <c:pt idx="6">
                  <c:v>183.05622099999999</c:v>
                </c:pt>
                <c:pt idx="7">
                  <c:v>185.327823</c:v>
                </c:pt>
                <c:pt idx="8">
                  <c:v>204.87973099999999</c:v>
                </c:pt>
                <c:pt idx="9">
                  <c:v>242.068479</c:v>
                </c:pt>
                <c:pt idx="10">
                  <c:v>257.31310999999999</c:v>
                </c:pt>
                <c:pt idx="11">
                  <c:v>250.63039499999999</c:v>
                </c:pt>
                <c:pt idx="12">
                  <c:v>186.34634299999999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103.725115</c:v>
                </c:pt>
                <c:pt idx="1">
                  <c:v>87.351703999999998</c:v>
                </c:pt>
                <c:pt idx="2">
                  <c:v>97.886178999999998</c:v>
                </c:pt>
                <c:pt idx="3">
                  <c:v>94.932437999999991</c:v>
                </c:pt>
                <c:pt idx="4">
                  <c:v>98.852191000000005</c:v>
                </c:pt>
                <c:pt idx="5">
                  <c:v>96.980013</c:v>
                </c:pt>
                <c:pt idx="6">
                  <c:v>94.399130999999997</c:v>
                </c:pt>
                <c:pt idx="7">
                  <c:v>117.63489</c:v>
                </c:pt>
                <c:pt idx="8">
                  <c:v>137.88146899999998</c:v>
                </c:pt>
                <c:pt idx="9">
                  <c:v>181.892819</c:v>
                </c:pt>
                <c:pt idx="10">
                  <c:v>185.88845900000001</c:v>
                </c:pt>
                <c:pt idx="11">
                  <c:v>149.44745</c:v>
                </c:pt>
                <c:pt idx="12">
                  <c:v>112.50755500000001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40.379855999999997</c:v>
                </c:pt>
                <c:pt idx="1">
                  <c:v>60.508705999999997</c:v>
                </c:pt>
                <c:pt idx="2">
                  <c:v>35.553646000000001</c:v>
                </c:pt>
                <c:pt idx="3">
                  <c:v>31.201087999999999</c:v>
                </c:pt>
                <c:pt idx="4">
                  <c:v>48.135339999999999</c:v>
                </c:pt>
                <c:pt idx="5">
                  <c:v>39.439261999999999</c:v>
                </c:pt>
                <c:pt idx="6">
                  <c:v>48.047037000000003</c:v>
                </c:pt>
                <c:pt idx="7">
                  <c:v>45.724513999999999</c:v>
                </c:pt>
                <c:pt idx="8">
                  <c:v>36.755218999999997</c:v>
                </c:pt>
                <c:pt idx="9">
                  <c:v>53.754595000000002</c:v>
                </c:pt>
                <c:pt idx="10">
                  <c:v>62.465704000000002</c:v>
                </c:pt>
                <c:pt idx="11">
                  <c:v>31.104752999999999</c:v>
                </c:pt>
                <c:pt idx="12">
                  <c:v>45.569164000000001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0.19457099999999999</c:v>
                </c:pt>
                <c:pt idx="1">
                  <c:v>0.342941</c:v>
                </c:pt>
                <c:pt idx="2">
                  <c:v>0.382324</c:v>
                </c:pt>
                <c:pt idx="3">
                  <c:v>0.25263999999999998</c:v>
                </c:pt>
                <c:pt idx="4">
                  <c:v>0.32401200000000002</c:v>
                </c:pt>
                <c:pt idx="5">
                  <c:v>0.40592400000000001</c:v>
                </c:pt>
                <c:pt idx="6">
                  <c:v>0.28265000000000001</c:v>
                </c:pt>
                <c:pt idx="7">
                  <c:v>0.22889300000000001</c:v>
                </c:pt>
                <c:pt idx="8">
                  <c:v>0.138682</c:v>
                </c:pt>
                <c:pt idx="9">
                  <c:v>0.13932900000000001</c:v>
                </c:pt>
                <c:pt idx="10">
                  <c:v>0.19220799999999999</c:v>
                </c:pt>
                <c:pt idx="11">
                  <c:v>0.19817599999999999</c:v>
                </c:pt>
                <c:pt idx="12">
                  <c:v>0.620313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9.7189460000000008</c:v>
                </c:pt>
                <c:pt idx="1">
                  <c:v>7.2582560000000003</c:v>
                </c:pt>
                <c:pt idx="2">
                  <c:v>5.556832</c:v>
                </c:pt>
                <c:pt idx="3">
                  <c:v>7.038017</c:v>
                </c:pt>
                <c:pt idx="4">
                  <c:v>5.3295399999999997</c:v>
                </c:pt>
                <c:pt idx="5">
                  <c:v>10.194158</c:v>
                </c:pt>
                <c:pt idx="6">
                  <c:v>11.476927999999999</c:v>
                </c:pt>
                <c:pt idx="7">
                  <c:v>11.838782</c:v>
                </c:pt>
                <c:pt idx="8">
                  <c:v>12.382847999999999</c:v>
                </c:pt>
                <c:pt idx="9">
                  <c:v>13.341704</c:v>
                </c:pt>
                <c:pt idx="10">
                  <c:v>11.261585</c:v>
                </c:pt>
                <c:pt idx="11">
                  <c:v>9.0458339999999993</c:v>
                </c:pt>
                <c:pt idx="12">
                  <c:v>7.8414849999999996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0.106123</c:v>
                </c:pt>
                <c:pt idx="1">
                  <c:v>0.12698499999999999</c:v>
                </c:pt>
                <c:pt idx="2">
                  <c:v>0.136794</c:v>
                </c:pt>
                <c:pt idx="3">
                  <c:v>0.219363</c:v>
                </c:pt>
                <c:pt idx="4">
                  <c:v>0.16624</c:v>
                </c:pt>
                <c:pt idx="5">
                  <c:v>0.184165</c:v>
                </c:pt>
                <c:pt idx="6">
                  <c:v>0.130801</c:v>
                </c:pt>
                <c:pt idx="7">
                  <c:v>0.12767999999999999</c:v>
                </c:pt>
                <c:pt idx="8">
                  <c:v>0.110028</c:v>
                </c:pt>
                <c:pt idx="9">
                  <c:v>5.7736999999999997E-2</c:v>
                </c:pt>
                <c:pt idx="10">
                  <c:v>5.6852E-2</c:v>
                </c:pt>
                <c:pt idx="11">
                  <c:v>1.917E-2</c:v>
                </c:pt>
                <c:pt idx="12">
                  <c:v>6.0415000000000003E-2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3.3496130000000002</c:v>
                </c:pt>
                <c:pt idx="1">
                  <c:v>3.098652</c:v>
                </c:pt>
                <c:pt idx="2">
                  <c:v>3.6001650000000001</c:v>
                </c:pt>
                <c:pt idx="3">
                  <c:v>3.1829869999999998</c:v>
                </c:pt>
                <c:pt idx="4">
                  <c:v>3.0836540000000001</c:v>
                </c:pt>
                <c:pt idx="5">
                  <c:v>2.2946849999999999</c:v>
                </c:pt>
                <c:pt idx="6">
                  <c:v>1.9821660000000001</c:v>
                </c:pt>
                <c:pt idx="7">
                  <c:v>2.5785749999999998</c:v>
                </c:pt>
                <c:pt idx="8">
                  <c:v>3.3572419999999998</c:v>
                </c:pt>
                <c:pt idx="9">
                  <c:v>3.5655640000000002</c:v>
                </c:pt>
                <c:pt idx="10">
                  <c:v>3.5154580000000002</c:v>
                </c:pt>
                <c:pt idx="11">
                  <c:v>2.43655</c:v>
                </c:pt>
                <c:pt idx="12">
                  <c:v>2.5715089999999998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13.9829895</c:v>
                </c:pt>
                <c:pt idx="1">
                  <c:v>11.279227499999999</c:v>
                </c:pt>
                <c:pt idx="2">
                  <c:v>9.9819964999999993</c:v>
                </c:pt>
                <c:pt idx="3">
                  <c:v>7.4814245000000001</c:v>
                </c:pt>
                <c:pt idx="4">
                  <c:v>4.4559544999999998</c:v>
                </c:pt>
                <c:pt idx="5">
                  <c:v>11.199851499999999</c:v>
                </c:pt>
                <c:pt idx="6">
                  <c:v>10.4867385</c:v>
                </c:pt>
                <c:pt idx="7">
                  <c:v>10.524592</c:v>
                </c:pt>
                <c:pt idx="8">
                  <c:v>14.7091545</c:v>
                </c:pt>
                <c:pt idx="9">
                  <c:v>14.429119</c:v>
                </c:pt>
                <c:pt idx="10">
                  <c:v>14.9613625</c:v>
                </c:pt>
                <c:pt idx="11">
                  <c:v>13.4535695</c:v>
                </c:pt>
                <c:pt idx="12">
                  <c:v>13.8976735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13.9829895</c:v>
                </c:pt>
                <c:pt idx="1">
                  <c:v>11.279227499999999</c:v>
                </c:pt>
                <c:pt idx="2">
                  <c:v>9.9819964999999993</c:v>
                </c:pt>
                <c:pt idx="3">
                  <c:v>7.4814245000000001</c:v>
                </c:pt>
                <c:pt idx="4">
                  <c:v>4.4559544999999998</c:v>
                </c:pt>
                <c:pt idx="5">
                  <c:v>11.199851499999999</c:v>
                </c:pt>
                <c:pt idx="6">
                  <c:v>10.4867385</c:v>
                </c:pt>
                <c:pt idx="7">
                  <c:v>10.524592</c:v>
                </c:pt>
                <c:pt idx="8">
                  <c:v>14.7091545</c:v>
                </c:pt>
                <c:pt idx="9">
                  <c:v>14.429119</c:v>
                </c:pt>
                <c:pt idx="10">
                  <c:v>14.9613625</c:v>
                </c:pt>
                <c:pt idx="11">
                  <c:v>13.4535695</c:v>
                </c:pt>
                <c:pt idx="12">
                  <c:v>13.8976735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93.286300999999995</c:v>
                </c:pt>
                <c:pt idx="1">
                  <c:v>70.161934000000002</c:v>
                </c:pt>
                <c:pt idx="2">
                  <c:v>91.766864999999996</c:v>
                </c:pt>
                <c:pt idx="3">
                  <c:v>86.203828999999999</c:v>
                </c:pt>
                <c:pt idx="4">
                  <c:v>99.993398999999997</c:v>
                </c:pt>
                <c:pt idx="5">
                  <c:v>89.996875000000003</c:v>
                </c:pt>
                <c:pt idx="6">
                  <c:v>66.467519999999993</c:v>
                </c:pt>
                <c:pt idx="7">
                  <c:v>89.565090999999995</c:v>
                </c:pt>
                <c:pt idx="8">
                  <c:v>108.62363499999999</c:v>
                </c:pt>
                <c:pt idx="9">
                  <c:v>161.79160300000001</c:v>
                </c:pt>
                <c:pt idx="10">
                  <c:v>153.133589</c:v>
                </c:pt>
                <c:pt idx="11">
                  <c:v>107.931268</c:v>
                </c:pt>
                <c:pt idx="12">
                  <c:v>92.007576999999998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26708760"/>
        <c:axId val="326831560"/>
      </c:barChart>
      <c:catAx>
        <c:axId val="326708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831560"/>
        <c:crosses val="autoZero"/>
        <c:auto val="1"/>
        <c:lblAlgn val="ctr"/>
        <c:lblOffset val="100"/>
        <c:noMultiLvlLbl val="1"/>
      </c:catAx>
      <c:valAx>
        <c:axId val="326831560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708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17.399999999999999</c:v>
                </c:pt>
                <c:pt idx="1">
                  <c:v>19.5</c:v>
                </c:pt>
                <c:pt idx="2">
                  <c:v>16.899999999999999</c:v>
                </c:pt>
                <c:pt idx="3">
                  <c:v>30.300000000000011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9.4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934959349593497"/>
                  <c:y val="0.132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24.5</c:v>
                </c:pt>
                <c:pt idx="1">
                  <c:v>3.2</c:v>
                </c:pt>
                <c:pt idx="2">
                  <c:v>25.9</c:v>
                </c:pt>
                <c:pt idx="3">
                  <c:v>40.800000000000004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2.9</c:v>
                </c:pt>
                <c:pt idx="8">
                  <c:v>2.5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0.29359800000000003</c:v>
                </c:pt>
                <c:pt idx="1">
                  <c:v>0.27379399999999998</c:v>
                </c:pt>
                <c:pt idx="2">
                  <c:v>0.31142900000000001</c:v>
                </c:pt>
                <c:pt idx="3">
                  <c:v>0.27943200000000001</c:v>
                </c:pt>
                <c:pt idx="4">
                  <c:v>3.4173000000000002E-2</c:v>
                </c:pt>
                <c:pt idx="5">
                  <c:v>0.309946</c:v>
                </c:pt>
                <c:pt idx="6">
                  <c:v>0.27612300000000001</c:v>
                </c:pt>
                <c:pt idx="7">
                  <c:v>0.308334</c:v>
                </c:pt>
                <c:pt idx="8">
                  <c:v>0.29448200000000002</c:v>
                </c:pt>
                <c:pt idx="9">
                  <c:v>0.29559600000000003</c:v>
                </c:pt>
                <c:pt idx="10">
                  <c:v>0.30764000000000002</c:v>
                </c:pt>
                <c:pt idx="11">
                  <c:v>0.28839900000000002</c:v>
                </c:pt>
                <c:pt idx="12">
                  <c:v>0.29697000000000001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457.68957799999998</c:v>
                </c:pt>
                <c:pt idx="1">
                  <c:v>420.43623600000001</c:v>
                </c:pt>
                <c:pt idx="2">
                  <c:v>436.048067</c:v>
                </c:pt>
                <c:pt idx="3">
                  <c:v>442.10487999999998</c:v>
                </c:pt>
                <c:pt idx="4">
                  <c:v>400.67938400000003</c:v>
                </c:pt>
                <c:pt idx="5">
                  <c:v>390.68041399999998</c:v>
                </c:pt>
                <c:pt idx="6">
                  <c:v>383.04386799999997</c:v>
                </c:pt>
                <c:pt idx="7">
                  <c:v>385.79396700000001</c:v>
                </c:pt>
                <c:pt idx="8">
                  <c:v>386.90275799999995</c:v>
                </c:pt>
                <c:pt idx="9">
                  <c:v>399.57809199999997</c:v>
                </c:pt>
                <c:pt idx="10">
                  <c:v>433.84668299999998</c:v>
                </c:pt>
                <c:pt idx="11">
                  <c:v>404.23612300000002</c:v>
                </c:pt>
                <c:pt idx="12">
                  <c:v>417.76272399999999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288.99075399999998</c:v>
                </c:pt>
                <c:pt idx="1">
                  <c:v>280.93736200000001</c:v>
                </c:pt>
                <c:pt idx="2">
                  <c:v>253.67039800000001</c:v>
                </c:pt>
                <c:pt idx="3">
                  <c:v>233.901625</c:v>
                </c:pt>
                <c:pt idx="4">
                  <c:v>215.21677199999999</c:v>
                </c:pt>
                <c:pt idx="5">
                  <c:v>260.839181</c:v>
                </c:pt>
                <c:pt idx="6">
                  <c:v>246.337683</c:v>
                </c:pt>
                <c:pt idx="7">
                  <c:v>248.61678900000001</c:v>
                </c:pt>
                <c:pt idx="8">
                  <c:v>234.94823600000001</c:v>
                </c:pt>
                <c:pt idx="9">
                  <c:v>230.14559600000001</c:v>
                </c:pt>
                <c:pt idx="10">
                  <c:v>251.789052</c:v>
                </c:pt>
                <c:pt idx="11">
                  <c:v>281.47467399999999</c:v>
                </c:pt>
                <c:pt idx="12">
                  <c:v>317.069143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0.97127600000000003</c:v>
                </c:pt>
                <c:pt idx="1">
                  <c:v>0.790825</c:v>
                </c:pt>
                <c:pt idx="2">
                  <c:v>1.2860210000000001</c:v>
                </c:pt>
                <c:pt idx="3">
                  <c:v>2.2577669999999999</c:v>
                </c:pt>
                <c:pt idx="4">
                  <c:v>1.754305</c:v>
                </c:pt>
                <c:pt idx="5">
                  <c:v>1.5995220000000001</c:v>
                </c:pt>
                <c:pt idx="6">
                  <c:v>2.2626460000000002</c:v>
                </c:pt>
                <c:pt idx="7">
                  <c:v>2.0342030000000002</c:v>
                </c:pt>
                <c:pt idx="8">
                  <c:v>2.3218040000000002</c:v>
                </c:pt>
                <c:pt idx="9">
                  <c:v>3.7162829999999998</c:v>
                </c:pt>
                <c:pt idx="10">
                  <c:v>2.859321</c:v>
                </c:pt>
                <c:pt idx="11">
                  <c:v>2.165861</c:v>
                </c:pt>
                <c:pt idx="12">
                  <c:v>0.87331099999999995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21.330209</c:v>
                </c:pt>
                <c:pt idx="1">
                  <c:v>24.032088999999999</c:v>
                </c:pt>
                <c:pt idx="2">
                  <c:v>39.810132000000003</c:v>
                </c:pt>
                <c:pt idx="3">
                  <c:v>56.908338999999998</c:v>
                </c:pt>
                <c:pt idx="4">
                  <c:v>46.207472000000003</c:v>
                </c:pt>
                <c:pt idx="5">
                  <c:v>50.516177999999996</c:v>
                </c:pt>
                <c:pt idx="6">
                  <c:v>45.548924999999997</c:v>
                </c:pt>
                <c:pt idx="7">
                  <c:v>55.351942000000001</c:v>
                </c:pt>
                <c:pt idx="8">
                  <c:v>56.421117000000002</c:v>
                </c:pt>
                <c:pt idx="9">
                  <c:v>95.158366999999998</c:v>
                </c:pt>
                <c:pt idx="10">
                  <c:v>65.077771999999996</c:v>
                </c:pt>
                <c:pt idx="11">
                  <c:v>51.688220999999999</c:v>
                </c:pt>
                <c:pt idx="12">
                  <c:v>22.335968000000001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19.754670999999998</c:v>
                </c:pt>
                <c:pt idx="1">
                  <c:v>16.487777000000001</c:v>
                </c:pt>
                <c:pt idx="2">
                  <c:v>17.53989</c:v>
                </c:pt>
                <c:pt idx="3">
                  <c:v>19.063385</c:v>
                </c:pt>
                <c:pt idx="4">
                  <c:v>17.866654</c:v>
                </c:pt>
                <c:pt idx="5">
                  <c:v>25.105015000000002</c:v>
                </c:pt>
                <c:pt idx="6">
                  <c:v>25.190729999999999</c:v>
                </c:pt>
                <c:pt idx="7">
                  <c:v>23.051193999999999</c:v>
                </c:pt>
                <c:pt idx="8">
                  <c:v>25.992826000000001</c:v>
                </c:pt>
                <c:pt idx="9">
                  <c:v>29.45045</c:v>
                </c:pt>
                <c:pt idx="10">
                  <c:v>27.841747000000002</c:v>
                </c:pt>
                <c:pt idx="11">
                  <c:v>24.190496</c:v>
                </c:pt>
                <c:pt idx="12">
                  <c:v>19.456084000000001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oct.-17</c:v>
                </c:pt>
                <c:pt idx="1">
                  <c:v>nov.-17</c:v>
                </c:pt>
                <c:pt idx="2">
                  <c:v>dic.-17</c:v>
                </c:pt>
                <c:pt idx="3">
                  <c:v>ene.-18</c:v>
                </c:pt>
                <c:pt idx="4">
                  <c:v>feb.-18</c:v>
                </c:pt>
                <c:pt idx="5">
                  <c:v>mar.-18</c:v>
                </c:pt>
                <c:pt idx="6">
                  <c:v>abr.-18</c:v>
                </c:pt>
                <c:pt idx="7">
                  <c:v>may.-18</c:v>
                </c:pt>
                <c:pt idx="8">
                  <c:v>jun.-18</c:v>
                </c:pt>
                <c:pt idx="9">
                  <c:v>jul.-18</c:v>
                </c:pt>
                <c:pt idx="10">
                  <c:v>ago.-18</c:v>
                </c:pt>
                <c:pt idx="11">
                  <c:v>sep.-18</c:v>
                </c:pt>
                <c:pt idx="12">
                  <c:v>oct.-18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0.83137799999999995</c:v>
                </c:pt>
                <c:pt idx="1">
                  <c:v>0.80323999999999995</c:v>
                </c:pt>
                <c:pt idx="2">
                  <c:v>0.78173599999999999</c:v>
                </c:pt>
                <c:pt idx="3">
                  <c:v>0.76242299999999996</c:v>
                </c:pt>
                <c:pt idx="4">
                  <c:v>0.64657299999999995</c:v>
                </c:pt>
                <c:pt idx="5">
                  <c:v>0.83729399999999998</c:v>
                </c:pt>
                <c:pt idx="6">
                  <c:v>0.53889699999999996</c:v>
                </c:pt>
                <c:pt idx="7">
                  <c:v>0.75060099999999996</c:v>
                </c:pt>
                <c:pt idx="8">
                  <c:v>0.53101500000000001</c:v>
                </c:pt>
                <c:pt idx="9">
                  <c:v>0.70239399999999996</c:v>
                </c:pt>
                <c:pt idx="10">
                  <c:v>0.81645199999999996</c:v>
                </c:pt>
                <c:pt idx="11">
                  <c:v>0.78290899999999997</c:v>
                </c:pt>
                <c:pt idx="12">
                  <c:v>0.813334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29477488"/>
        <c:axId val="329584896"/>
      </c:barChart>
      <c:catAx>
        <c:axId val="32947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9584896"/>
        <c:crosses val="autoZero"/>
        <c:auto val="1"/>
        <c:lblAlgn val="ctr"/>
        <c:lblOffset val="100"/>
        <c:noMultiLvlLbl val="1"/>
      </c:catAx>
      <c:valAx>
        <c:axId val="3295848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947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Octubre 2018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K14" sqref="K14"/>
    </sheetView>
  </sheetViews>
  <sheetFormatPr baseColWidth="10" defaultColWidth="11.42578125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Octubre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4" t="s">
        <v>52</v>
      </c>
      <c r="E7" s="81"/>
      <c r="F7" s="195" t="str">
        <f>K3</f>
        <v>Octubre 2018</v>
      </c>
      <c r="G7" s="196"/>
      <c r="H7" s="196" t="s">
        <v>42</v>
      </c>
      <c r="I7" s="196"/>
      <c r="J7" s="196" t="s">
        <v>43</v>
      </c>
      <c r="K7" s="196"/>
    </row>
    <row r="8" spans="3:12">
      <c r="C8" s="194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84" t="str">
        <f>G8</f>
        <v>% 18/17</v>
      </c>
      <c r="J8" s="83" t="s">
        <v>18</v>
      </c>
      <c r="K8" s="84" t="str">
        <f>G8</f>
        <v>% 18/17</v>
      </c>
    </row>
    <row r="9" spans="3:12">
      <c r="C9" s="85"/>
      <c r="E9" s="86" t="s">
        <v>44</v>
      </c>
      <c r="F9" s="87">
        <f>Dat_01!R24/1000</f>
        <v>475.31970799999999</v>
      </c>
      <c r="G9" s="168">
        <f>Dat_01!T24*100</f>
        <v>5.8156790000000007E-2</v>
      </c>
      <c r="H9" s="87">
        <f>Dat_01!U24/1000</f>
        <v>5232.5545410000004</v>
      </c>
      <c r="I9" s="168">
        <f>Dat_01!W24*100</f>
        <v>1.5286912800000001</v>
      </c>
      <c r="J9" s="87">
        <f>Dat_01!X24/1000</f>
        <v>6095.2012379999996</v>
      </c>
      <c r="K9" s="168">
        <f>Dat_01!Y24*100</f>
        <v>2.31662196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0.69569626330225898</v>
      </c>
      <c r="H12" s="107"/>
      <c r="I12" s="107">
        <v>5.2616708296349124E-2</v>
      </c>
      <c r="J12" s="107"/>
      <c r="K12" s="107">
        <v>0.36619113351044064</v>
      </c>
    </row>
    <row r="13" spans="3:12">
      <c r="E13" s="89" t="s">
        <v>47</v>
      </c>
      <c r="F13" s="88"/>
      <c r="G13" s="107">
        <v>0.7815388087418218</v>
      </c>
      <c r="H13" s="107"/>
      <c r="I13" s="107">
        <v>0.66688387556492756</v>
      </c>
      <c r="J13" s="107"/>
      <c r="K13" s="107">
        <v>0.81992644264048398</v>
      </c>
    </row>
    <row r="14" spans="3:12">
      <c r="E14" s="90" t="s">
        <v>48</v>
      </c>
      <c r="F14" s="91"/>
      <c r="G14" s="108">
        <v>-1.4190782851272288</v>
      </c>
      <c r="H14" s="108"/>
      <c r="I14" s="108">
        <v>0.80919069282321399</v>
      </c>
      <c r="J14" s="108"/>
      <c r="K14" s="108">
        <v>1.1305043832875228</v>
      </c>
    </row>
    <row r="15" spans="3:12">
      <c r="E15" s="197" t="s">
        <v>49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50</v>
      </c>
      <c r="F16" s="193"/>
      <c r="G16" s="193"/>
      <c r="H16" s="193"/>
      <c r="I16" s="193"/>
      <c r="J16" s="193"/>
      <c r="K16" s="19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E36" sqref="E36"/>
    </sheetView>
  </sheetViews>
  <sheetFormatPr baseColWidth="10" defaultColWidth="11.42578125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Octubre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4" t="s">
        <v>53</v>
      </c>
      <c r="E7" s="81"/>
      <c r="F7" s="195" t="str">
        <f>K3</f>
        <v>Octubre 2018</v>
      </c>
      <c r="G7" s="196"/>
      <c r="H7" s="196" t="s">
        <v>42</v>
      </c>
      <c r="I7" s="196"/>
      <c r="J7" s="196" t="s">
        <v>43</v>
      </c>
      <c r="K7" s="196"/>
    </row>
    <row r="8" spans="3:12">
      <c r="C8" s="194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111" t="str">
        <f>G8</f>
        <v>% 18/17</v>
      </c>
      <c r="J8" s="83" t="s">
        <v>18</v>
      </c>
      <c r="K8" s="111" t="str">
        <f>G8</f>
        <v>% 18/17</v>
      </c>
    </row>
    <row r="9" spans="3:12">
      <c r="C9" s="85"/>
      <c r="E9" s="86" t="s">
        <v>44</v>
      </c>
      <c r="F9" s="87">
        <f>Dat_01!Z24/1000</f>
        <v>778.60753399999999</v>
      </c>
      <c r="G9" s="168">
        <f>Dat_01!AB24*100</f>
        <v>-1.42479796</v>
      </c>
      <c r="H9" s="87">
        <f>Dat_01!AC24/1000</f>
        <v>7379.1085360000006</v>
      </c>
      <c r="I9" s="168">
        <f>Dat_01!AE24*100</f>
        <v>-0.78981776999999997</v>
      </c>
      <c r="J9" s="87">
        <f>Dat_01!AF24/1000</f>
        <v>8872.3175319999991</v>
      </c>
      <c r="K9" s="168">
        <f>Dat_01!AG24*100</f>
        <v>-0.34537132999999998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0.63905868675939725</v>
      </c>
      <c r="H12" s="107"/>
      <c r="I12" s="107">
        <v>4.0942306576152721E-2</v>
      </c>
      <c r="J12" s="107"/>
      <c r="K12" s="107">
        <v>0.23842045844122417</v>
      </c>
    </row>
    <row r="13" spans="3:12">
      <c r="E13" s="89" t="s">
        <v>47</v>
      </c>
      <c r="F13" s="88"/>
      <c r="G13" s="107">
        <v>-0.19248356809615785</v>
      </c>
      <c r="H13" s="107"/>
      <c r="I13" s="107">
        <v>-2.5811440704281985E-2</v>
      </c>
      <c r="J13" s="107"/>
      <c r="K13" s="107">
        <v>-2.0974331991108208E-2</v>
      </c>
    </row>
    <row r="14" spans="3:12">
      <c r="E14" s="90" t="s">
        <v>48</v>
      </c>
      <c r="F14" s="91"/>
      <c r="G14" s="108">
        <v>-1.8713730753844415</v>
      </c>
      <c r="H14" s="108"/>
      <c r="I14" s="108">
        <v>-0.80494863818835194</v>
      </c>
      <c r="J14" s="108"/>
      <c r="K14" s="108">
        <v>-0.56281745597722699</v>
      </c>
    </row>
    <row r="15" spans="3:12">
      <c r="E15" s="197" t="s">
        <v>49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50</v>
      </c>
      <c r="F16" s="193"/>
      <c r="G16" s="193"/>
      <c r="H16" s="193"/>
      <c r="I16" s="193"/>
      <c r="J16" s="193"/>
      <c r="K16" s="19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M27" sqref="M27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Octubre 2018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8" t="s">
        <v>23</v>
      </c>
      <c r="E7" s="35"/>
      <c r="F7" s="199" t="s">
        <v>22</v>
      </c>
      <c r="G7" s="200"/>
      <c r="H7" s="199" t="s">
        <v>21</v>
      </c>
      <c r="I7" s="200"/>
      <c r="J7" s="199" t="s">
        <v>20</v>
      </c>
      <c r="K7" s="200"/>
      <c r="L7" s="199" t="s">
        <v>19</v>
      </c>
      <c r="M7" s="200"/>
    </row>
    <row r="8" spans="3:23" s="32" customFormat="1" ht="12.75" customHeight="1">
      <c r="C8" s="198"/>
      <c r="E8" s="34"/>
      <c r="F8" s="33" t="s">
        <v>18</v>
      </c>
      <c r="G8" s="109" t="str">
        <f>CONCATENATE("% ",RIGHT(M3,2),"/",RIGHT(M3,2)-1)</f>
        <v>% 18/17</v>
      </c>
      <c r="H8" s="33" t="s">
        <v>18</v>
      </c>
      <c r="I8" s="109" t="str">
        <f>G8</f>
        <v>% 18/17</v>
      </c>
      <c r="J8" s="33" t="s">
        <v>18</v>
      </c>
      <c r="K8" s="109" t="str">
        <f>I8</f>
        <v>% 18/17</v>
      </c>
      <c r="L8" s="33" t="s">
        <v>18</v>
      </c>
      <c r="M8" s="109" t="str">
        <f>K8</f>
        <v>% 18/17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0.29697000000000001</v>
      </c>
      <c r="I9" s="28">
        <f>Dat_01!AB8*100</f>
        <v>1.14850919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186.34634299999999</v>
      </c>
      <c r="G10" s="20">
        <f>Dat_01!T9*100</f>
        <v>-5.07882371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57.770247000000005</v>
      </c>
      <c r="G11" s="28">
        <f>Dat_01!T10*100</f>
        <v>114.98944911</v>
      </c>
      <c r="H11" s="158">
        <f>Dat_01!Z10/1000</f>
        <v>190.675118</v>
      </c>
      <c r="I11" s="28">
        <f>Dat_01!AB10*100</f>
        <v>-7.2440370200000004</v>
      </c>
      <c r="J11" s="158">
        <f>Dat_01!B10/1000</f>
        <v>17.758571</v>
      </c>
      <c r="K11" s="28">
        <f>Dat_01!D10*100</f>
        <v>11.29174426</v>
      </c>
      <c r="L11" s="158">
        <f>Dat_01!J10/1000</f>
        <v>16.831804000000002</v>
      </c>
      <c r="M11" s="28">
        <f>Dat_01!L10*100</f>
        <v>2.1749706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54.458812999999999</v>
      </c>
      <c r="G12" s="28">
        <f>Dat_01!T11*100</f>
        <v>-27.592791009999999</v>
      </c>
      <c r="H12" s="158">
        <f>Dat_01!Z11/1000</f>
        <v>25.162983000000001</v>
      </c>
      <c r="I12" s="28">
        <f>Dat_01!AB11*100</f>
        <v>-16.571064110000002</v>
      </c>
      <c r="J12" s="28">
        <f>Dat_01!B11/1000</f>
        <v>9.5560000000000006E-2</v>
      </c>
      <c r="K12" s="28">
        <f>Dat_01!D11*100</f>
        <v>1122.1511702300002</v>
      </c>
      <c r="L12" s="158">
        <f>Dat_01!J11/1000</f>
        <v>0</v>
      </c>
      <c r="M12" s="28">
        <f>Dat_01!L11*100</f>
        <v>0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201.924623</v>
      </c>
      <c r="I13" s="28">
        <f>Dat_01!AB12*100</f>
        <v>-9.0274620399999996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112.22906</v>
      </c>
      <c r="G14" s="20">
        <f>(F14/(F11/(G11/100+1)+F12/(G12/100+1))-1)*100</f>
        <v>9.9389578483245486</v>
      </c>
      <c r="H14" s="157">
        <f>SUM(H11:H13)</f>
        <v>417.76272399999999</v>
      </c>
      <c r="I14" s="20">
        <f>(H14/(H11/(I11/100+1)+H12/(I12/100+1)+H13/(I13/100+1))-1)*100</f>
        <v>-8.7235663473593021</v>
      </c>
      <c r="J14" s="157">
        <f>SUM(J11:J13)</f>
        <v>17.854130999999999</v>
      </c>
      <c r="K14" s="20">
        <f>(J14/(J11/(K11/100+1)+J12/(K12/100+1))-1)*100</f>
        <v>11.83581139627854</v>
      </c>
      <c r="L14" s="157">
        <f>SUM(L11:L13)</f>
        <v>16.831804000000002</v>
      </c>
      <c r="M14" s="20">
        <f>(L14/(L11/(M11/100+1)+L12/(M12/100+1))-1)*100</f>
        <v>2.1749706000000035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45.569163999999994</v>
      </c>
      <c r="G15" s="20">
        <f>Dat_01!T13*100</f>
        <v>12.851229580000002</v>
      </c>
      <c r="H15" s="157">
        <f>Dat_01!Z13/1000</f>
        <v>317.069143</v>
      </c>
      <c r="I15" s="20">
        <f>Dat_01!AB13*100</f>
        <v>9.716016380000001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20">
        <f>Dat_01!R14/1000</f>
        <v>0.27849499999999999</v>
      </c>
      <c r="G16" s="20">
        <f>Dat_01!T14*100</f>
        <v>-83.03977716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0.87331100000000006</v>
      </c>
      <c r="I17" s="20">
        <f>Dat_01!AB15*100</f>
        <v>-10.086216480000001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157">
        <f>Dat_01!R16/1000</f>
        <v>0.620313</v>
      </c>
      <c r="G18" s="20">
        <f>Dat_01!T16*100</f>
        <v>218.81061412</v>
      </c>
      <c r="H18" s="157">
        <f>Dat_01!Z16/1000</f>
        <v>22.335968000000001</v>
      </c>
      <c r="I18" s="20">
        <f>Dat_01!AB16*100</f>
        <v>4.71518587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7.8414849999999996</v>
      </c>
      <c r="G19" s="20">
        <f>Dat_01!T17*100</f>
        <v>-19.31753711</v>
      </c>
      <c r="H19" s="157">
        <f>Dat_01!Z17/1000</f>
        <v>19.456084000000001</v>
      </c>
      <c r="I19" s="20">
        <f>Dat_01!AB17*100</f>
        <v>-1.5114754399999999</v>
      </c>
      <c r="J19" s="157" t="s">
        <v>6</v>
      </c>
      <c r="K19" s="20" t="s">
        <v>6</v>
      </c>
      <c r="L19" s="157">
        <f>Dat_01!J17/1000</f>
        <v>6.0419999999999996E-3</v>
      </c>
      <c r="M19" s="20">
        <f>Dat_01!L17*100</f>
        <v>-7.7134565399999993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6.0414999999999996E-2</v>
      </c>
      <c r="G20" s="20">
        <f>Dat_01!T18*100</f>
        <v>-43.070776360000004</v>
      </c>
      <c r="H20" s="157">
        <f>Dat_01!Z18/1000</f>
        <v>0.813334</v>
      </c>
      <c r="I20" s="20">
        <f>Dat_01!AB18*100</f>
        <v>-2.1703725600000001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2.5715089999999998</v>
      </c>
      <c r="G21" s="20">
        <f>Dat_01!T19*100</f>
        <v>-23.229668619999998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13.897673500000002</v>
      </c>
      <c r="G22" s="20">
        <f>Dat_01!T20*100</f>
        <v>-0.61014133999999998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0.4142015</v>
      </c>
      <c r="M22" s="20">
        <f>Dat_01!L20*100</f>
        <v>-16.703317479999999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13.897673500000002</v>
      </c>
      <c r="G23" s="20">
        <f>Dat_01!T21*100</f>
        <v>-0.61014133999999998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0.4142015</v>
      </c>
      <c r="M23" s="20">
        <f>Dat_01!L21*100</f>
        <v>-16.703317479999999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383.31213100000002</v>
      </c>
      <c r="G24" s="17">
        <f>Dat_01!T22*100</f>
        <v>0.40732546000000003</v>
      </c>
      <c r="H24" s="159">
        <f>Dat_01!Z22/1000</f>
        <v>778.60753399999999</v>
      </c>
      <c r="I24" s="17">
        <f>Dat_01!AB22*100</f>
        <v>-1.42479796</v>
      </c>
      <c r="J24" s="159">
        <f>Dat_01!B22/1000</f>
        <v>17.854131000000002</v>
      </c>
      <c r="K24" s="17">
        <f>Dat_01!D22*100</f>
        <v>11.835811400000001</v>
      </c>
      <c r="L24" s="159">
        <f>Dat_01!J22/1000</f>
        <v>17.666249000000001</v>
      </c>
      <c r="M24" s="17">
        <f>Dat_01!L22*100</f>
        <v>1.0968562399999999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92.007576999999998</v>
      </c>
      <c r="G25" s="14">
        <f>Dat_01!T23*100</f>
        <v>-1.37075218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475.31970799999999</v>
      </c>
      <c r="G26" s="11">
        <f>Dat_01!T24*100</f>
        <v>5.8156790000000007E-2</v>
      </c>
      <c r="H26" s="161">
        <f>Dat_01!Z24/1000</f>
        <v>778.60753399999999</v>
      </c>
      <c r="I26" s="11">
        <f>Dat_01!AB24*100</f>
        <v>-1.42479796</v>
      </c>
      <c r="J26" s="161">
        <f>Dat_01!B24/1000</f>
        <v>17.854131000000002</v>
      </c>
      <c r="K26" s="11">
        <f>Dat_01!D24*100</f>
        <v>11.835811400000001</v>
      </c>
      <c r="L26" s="161">
        <f>Dat_01!J24/1000</f>
        <v>17.666249000000001</v>
      </c>
      <c r="M26" s="11">
        <f>Dat_01!L24*100</f>
        <v>1.0968562399999999</v>
      </c>
      <c r="N26" s="10"/>
      <c r="O26" s="10"/>
    </row>
    <row r="27" spans="3:16" s="2" customFormat="1" ht="16.149999999999999" customHeight="1">
      <c r="C27" s="13"/>
      <c r="E27" s="201" t="s">
        <v>63</v>
      </c>
      <c r="F27" s="201"/>
      <c r="G27" s="201"/>
      <c r="H27" s="201"/>
      <c r="I27" s="201"/>
      <c r="J27" s="201"/>
      <c r="K27" s="201"/>
      <c r="L27" s="18"/>
      <c r="M27" s="17"/>
      <c r="N27" s="10"/>
      <c r="O27" s="10"/>
    </row>
    <row r="28" spans="3:16" s="2" customFormat="1" ht="12.75" customHeight="1">
      <c r="C28" s="8"/>
      <c r="D28" s="8"/>
      <c r="E28" s="203" t="s">
        <v>3</v>
      </c>
      <c r="F28" s="203"/>
      <c r="G28" s="203"/>
      <c r="H28" s="203"/>
      <c r="I28" s="203"/>
      <c r="J28" s="203"/>
      <c r="K28" s="203"/>
      <c r="L28" s="203"/>
      <c r="M28" s="203"/>
      <c r="O28" s="9"/>
    </row>
    <row r="29" spans="3:16" s="2" customFormat="1" ht="12.75" customHeight="1">
      <c r="C29" s="8"/>
      <c r="D29" s="8"/>
      <c r="E29" s="202" t="s">
        <v>2</v>
      </c>
      <c r="F29" s="202"/>
      <c r="G29" s="202"/>
      <c r="H29" s="202"/>
      <c r="I29" s="202"/>
      <c r="J29" s="202"/>
      <c r="K29" s="202"/>
      <c r="L29" s="202"/>
      <c r="M29" s="202"/>
    </row>
    <row r="30" spans="3:16" s="2" customFormat="1" ht="12.75" customHeight="1">
      <c r="E30" s="202" t="s">
        <v>1</v>
      </c>
      <c r="F30" s="202"/>
      <c r="G30" s="202"/>
      <c r="H30" s="202"/>
      <c r="I30" s="202"/>
      <c r="J30" s="202"/>
      <c r="K30" s="202"/>
      <c r="L30" s="202"/>
      <c r="M30" s="202"/>
    </row>
    <row r="31" spans="3:16" s="7" customFormat="1" ht="12.75" customHeight="1">
      <c r="E31" s="202" t="s">
        <v>0</v>
      </c>
      <c r="F31" s="202"/>
      <c r="G31" s="202"/>
      <c r="H31" s="202"/>
      <c r="I31" s="202"/>
      <c r="J31" s="202"/>
      <c r="K31" s="202"/>
      <c r="L31" s="202"/>
      <c r="M31" s="202"/>
    </row>
    <row r="32" spans="3:16" ht="12.75" customHeight="1">
      <c r="C32" s="1"/>
      <c r="D32" s="1"/>
      <c r="E32" s="202" t="s">
        <v>64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118</v>
      </c>
    </row>
    <row r="2" spans="1:2">
      <c r="A2" t="s">
        <v>114</v>
      </c>
    </row>
    <row r="3" spans="1:2">
      <c r="A3" t="s">
        <v>115</v>
      </c>
    </row>
    <row r="4" spans="1:2">
      <c r="A4" t="s">
        <v>119</v>
      </c>
    </row>
    <row r="5" spans="1:2">
      <c r="A5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I23" sqref="I23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Octubre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4" t="s">
        <v>36</v>
      </c>
      <c r="D7" s="48"/>
      <c r="E7" s="52"/>
    </row>
    <row r="8" spans="2:12" s="42" customFormat="1" ht="12.75" customHeight="1">
      <c r="B8" s="50"/>
      <c r="C8" s="204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4" t="s">
        <v>33</v>
      </c>
      <c r="E24" s="46"/>
      <c r="J24" s="42"/>
      <c r="K24" s="42"/>
    </row>
    <row r="25" spans="2:12">
      <c r="C25" s="204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J27" sqref="J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Octubre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5" t="s">
        <v>37</v>
      </c>
      <c r="D7" s="68"/>
      <c r="E7" s="72"/>
    </row>
    <row r="8" spans="1:20" s="60" customFormat="1" ht="12.75" customHeight="1">
      <c r="A8" s="71"/>
      <c r="B8" s="70"/>
      <c r="C8" s="205"/>
      <c r="D8" s="68"/>
      <c r="E8" s="72"/>
      <c r="F8" s="67"/>
    </row>
    <row r="9" spans="1:20" s="60" customFormat="1" ht="12.75" customHeight="1">
      <c r="A9" s="71"/>
      <c r="B9" s="70"/>
      <c r="C9" s="205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H15" sqref="H15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Octubre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4" t="s">
        <v>40</v>
      </c>
      <c r="D7" s="48"/>
      <c r="E7" s="52"/>
    </row>
    <row r="8" spans="2:12" s="42" customFormat="1" ht="12.75" customHeight="1">
      <c r="B8" s="50"/>
      <c r="C8" s="204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4" t="s">
        <v>54</v>
      </c>
      <c r="E24" s="46"/>
      <c r="J24" s="42"/>
      <c r="K24" s="42"/>
    </row>
    <row r="25" spans="2:12">
      <c r="C25" s="204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K27" sqref="K26:K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Octubre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5" t="s">
        <v>41</v>
      </c>
      <c r="D7" s="68"/>
      <c r="E7" s="72"/>
    </row>
    <row r="8" spans="1:20" s="60" customFormat="1" ht="12.75" customHeight="1">
      <c r="A8" s="71"/>
      <c r="B8" s="70"/>
      <c r="C8" s="205"/>
      <c r="D8" s="68"/>
      <c r="E8" s="72"/>
      <c r="F8" s="67"/>
    </row>
    <row r="9" spans="1:20" s="60" customFormat="1" ht="12.75" customHeight="1">
      <c r="A9" s="71"/>
      <c r="B9" s="70"/>
      <c r="C9" s="205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B63" sqref="B63"/>
    </sheetView>
  </sheetViews>
  <sheetFormatPr baseColWidth="10" defaultColWidth="11.42578125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112</v>
      </c>
      <c r="B2" s="148" t="s">
        <v>113</v>
      </c>
    </row>
    <row r="4" spans="1:33" ht="15">
      <c r="A4" s="149" t="s">
        <v>77</v>
      </c>
      <c r="B4" s="210" t="s">
        <v>112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</row>
    <row r="5" spans="1:33" ht="15">
      <c r="A5" s="149" t="s">
        <v>78</v>
      </c>
      <c r="B5" s="212" t="s">
        <v>20</v>
      </c>
      <c r="C5" s="213"/>
      <c r="D5" s="213"/>
      <c r="E5" s="213"/>
      <c r="F5" s="213"/>
      <c r="G5" s="213"/>
      <c r="H5" s="213"/>
      <c r="I5" s="214"/>
      <c r="J5" s="212" t="s">
        <v>19</v>
      </c>
      <c r="K5" s="213"/>
      <c r="L5" s="213"/>
      <c r="M5" s="213"/>
      <c r="N5" s="213"/>
      <c r="O5" s="213"/>
      <c r="P5" s="213"/>
      <c r="Q5" s="214"/>
      <c r="R5" s="212" t="s">
        <v>67</v>
      </c>
      <c r="S5" s="213"/>
      <c r="T5" s="213"/>
      <c r="U5" s="213"/>
      <c r="V5" s="213"/>
      <c r="W5" s="213"/>
      <c r="X5" s="213"/>
      <c r="Y5" s="214"/>
      <c r="Z5" s="212" t="s">
        <v>68</v>
      </c>
      <c r="AA5" s="213"/>
      <c r="AB5" s="213"/>
      <c r="AC5" s="213"/>
      <c r="AD5" s="213"/>
      <c r="AE5" s="213"/>
      <c r="AF5" s="213"/>
      <c r="AG5" s="213"/>
    </row>
    <row r="6" spans="1:33">
      <c r="A6" s="149" t="s">
        <v>79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187" t="s">
        <v>75</v>
      </c>
      <c r="I6" s="187" t="s">
        <v>76</v>
      </c>
      <c r="J6" s="187" t="s">
        <v>69</v>
      </c>
      <c r="K6" s="187" t="s">
        <v>70</v>
      </c>
      <c r="L6" s="187" t="s">
        <v>71</v>
      </c>
      <c r="M6" s="187" t="s">
        <v>72</v>
      </c>
      <c r="N6" s="187" t="s">
        <v>73</v>
      </c>
      <c r="O6" s="187" t="s">
        <v>74</v>
      </c>
      <c r="P6" s="187" t="s">
        <v>75</v>
      </c>
      <c r="Q6" s="187" t="s">
        <v>76</v>
      </c>
      <c r="R6" s="187" t="s">
        <v>69</v>
      </c>
      <c r="S6" s="187" t="s">
        <v>70</v>
      </c>
      <c r="T6" s="187" t="s">
        <v>71</v>
      </c>
      <c r="U6" s="187" t="s">
        <v>72</v>
      </c>
      <c r="V6" s="187" t="s">
        <v>73</v>
      </c>
      <c r="W6" s="187" t="s">
        <v>74</v>
      </c>
      <c r="X6" s="187" t="s">
        <v>75</v>
      </c>
      <c r="Y6" s="187" t="s">
        <v>76</v>
      </c>
      <c r="Z6" s="187" t="s">
        <v>69</v>
      </c>
      <c r="AA6" s="187" t="s">
        <v>70</v>
      </c>
      <c r="AB6" s="187" t="s">
        <v>71</v>
      </c>
      <c r="AC6" s="187" t="s">
        <v>72</v>
      </c>
      <c r="AD6" s="187" t="s">
        <v>73</v>
      </c>
      <c r="AE6" s="187" t="s">
        <v>74</v>
      </c>
      <c r="AF6" s="187" t="s">
        <v>75</v>
      </c>
      <c r="AG6" s="187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296.97000000000003</v>
      </c>
      <c r="AA8" s="162">
        <v>293.59800000000001</v>
      </c>
      <c r="AB8" s="155">
        <v>1.1485091899999999E-2</v>
      </c>
      <c r="AC8" s="162">
        <v>2691.0949999999998</v>
      </c>
      <c r="AD8" s="162">
        <v>2686.7559999999999</v>
      </c>
      <c r="AE8" s="155">
        <v>1.6149586999999999E-3</v>
      </c>
      <c r="AF8" s="162">
        <v>3276.3180000000002</v>
      </c>
      <c r="AG8" s="155">
        <v>1.93790792E-2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186346.34299999999</v>
      </c>
      <c r="S9" s="162">
        <v>196316.93400000001</v>
      </c>
      <c r="T9" s="155">
        <v>-5.0788237100000001E-2</v>
      </c>
      <c r="U9" s="162">
        <v>2100793.6349999998</v>
      </c>
      <c r="V9" s="162">
        <v>2241139.571</v>
      </c>
      <c r="W9" s="155">
        <v>-6.2622577299999996E-2</v>
      </c>
      <c r="X9" s="162">
        <v>2457185.9010000001</v>
      </c>
      <c r="Y9" s="155">
        <v>-6.1436227900000001E-2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105</v>
      </c>
      <c r="B10" s="162">
        <v>17758.571</v>
      </c>
      <c r="C10" s="162">
        <v>15956.772999999999</v>
      </c>
      <c r="D10" s="155">
        <v>0.1129174426</v>
      </c>
      <c r="E10" s="162">
        <v>172557.36799999999</v>
      </c>
      <c r="F10" s="162">
        <v>168457.698</v>
      </c>
      <c r="G10" s="155">
        <v>2.4336495400000002E-2</v>
      </c>
      <c r="H10" s="162">
        <v>206748.005</v>
      </c>
      <c r="I10" s="155">
        <v>1.2681411300000001E-2</v>
      </c>
      <c r="J10" s="162">
        <v>16831.804</v>
      </c>
      <c r="K10" s="162">
        <v>16473.509999999998</v>
      </c>
      <c r="L10" s="155">
        <v>2.1749706000000001E-2</v>
      </c>
      <c r="M10" s="162">
        <v>169472.079</v>
      </c>
      <c r="N10" s="162">
        <v>167230.76500000001</v>
      </c>
      <c r="O10" s="155">
        <v>1.3402522E-2</v>
      </c>
      <c r="P10" s="162">
        <v>202558.27799999999</v>
      </c>
      <c r="Q10" s="155">
        <v>1.4771915300000001E-2</v>
      </c>
      <c r="R10" s="162">
        <v>57770.247000000003</v>
      </c>
      <c r="S10" s="162">
        <v>26871.201000000001</v>
      </c>
      <c r="T10" s="155">
        <v>1.1498944911</v>
      </c>
      <c r="U10" s="162">
        <v>559900.97600000002</v>
      </c>
      <c r="V10" s="162">
        <v>738211.93200000003</v>
      </c>
      <c r="W10" s="155">
        <v>-0.24154439699999999</v>
      </c>
      <c r="X10" s="162">
        <v>617676.60400000005</v>
      </c>
      <c r="Y10" s="155">
        <v>-0.29062388249999999</v>
      </c>
      <c r="Z10" s="162">
        <v>190675.11799999999</v>
      </c>
      <c r="AA10" s="162">
        <v>205566.42600000001</v>
      </c>
      <c r="AB10" s="155">
        <v>-7.2440370200000007E-2</v>
      </c>
      <c r="AC10" s="162">
        <v>1780656.5519999999</v>
      </c>
      <c r="AD10" s="162">
        <v>1871332.227</v>
      </c>
      <c r="AE10" s="155">
        <v>-4.8455145300000002E-2</v>
      </c>
      <c r="AF10" s="162">
        <v>2151648.5529999998</v>
      </c>
      <c r="AG10" s="155">
        <v>-4.0899354800000003E-2</v>
      </c>
    </row>
    <row r="11" spans="1:33">
      <c r="A11" s="148" t="s">
        <v>14</v>
      </c>
      <c r="B11" s="162">
        <v>95.56</v>
      </c>
      <c r="C11" s="162">
        <v>7.819</v>
      </c>
      <c r="D11" s="155">
        <v>11.221511702300001</v>
      </c>
      <c r="E11" s="162">
        <v>118.952</v>
      </c>
      <c r="F11" s="162">
        <v>168.13200000000001</v>
      </c>
      <c r="G11" s="155">
        <v>-0.29250826730000001</v>
      </c>
      <c r="H11" s="162">
        <v>163.315</v>
      </c>
      <c r="I11" s="155">
        <v>-0.1191920826</v>
      </c>
      <c r="J11" s="162">
        <v>0</v>
      </c>
      <c r="K11" s="162">
        <v>0</v>
      </c>
      <c r="L11" s="155">
        <v>0</v>
      </c>
      <c r="M11" s="162">
        <v>66.391000000000005</v>
      </c>
      <c r="N11" s="162">
        <v>4.6760000000000002</v>
      </c>
      <c r="O11" s="155">
        <v>13.198246364399999</v>
      </c>
      <c r="P11" s="162">
        <v>138.988</v>
      </c>
      <c r="Q11" s="155">
        <v>17.123353761899999</v>
      </c>
      <c r="R11" s="162">
        <v>54458.813000000002</v>
      </c>
      <c r="S11" s="162">
        <v>75211.865999999995</v>
      </c>
      <c r="T11" s="155">
        <v>-0.27592791010000001</v>
      </c>
      <c r="U11" s="162">
        <v>697701.71499999997</v>
      </c>
      <c r="V11" s="162">
        <v>429062.31900000002</v>
      </c>
      <c r="W11" s="155">
        <v>0.62610810620000001</v>
      </c>
      <c r="X11" s="162">
        <v>825163.97</v>
      </c>
      <c r="Y11" s="155">
        <v>0.78286698089999995</v>
      </c>
      <c r="Z11" s="162">
        <v>25162.983</v>
      </c>
      <c r="AA11" s="162">
        <v>30160.977999999999</v>
      </c>
      <c r="AB11" s="155">
        <v>-0.1657106411</v>
      </c>
      <c r="AC11" s="162">
        <v>239809.054</v>
      </c>
      <c r="AD11" s="162">
        <v>262956.09399999998</v>
      </c>
      <c r="AE11" s="155">
        <v>-8.8026254299999995E-2</v>
      </c>
      <c r="AF11" s="162">
        <v>291198.66600000003</v>
      </c>
      <c r="AG11" s="155">
        <v>-8.4975922699999998E-2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201924.62299999999</v>
      </c>
      <c r="AA12" s="162">
        <v>221962.174</v>
      </c>
      <c r="AB12" s="155">
        <v>-9.0274620400000005E-2</v>
      </c>
      <c r="AC12" s="162">
        <v>2024163.287</v>
      </c>
      <c r="AD12" s="162">
        <v>2240291.16</v>
      </c>
      <c r="AE12" s="155">
        <v>-9.6473117799999994E-2</v>
      </c>
      <c r="AF12" s="162">
        <v>2458265.977</v>
      </c>
      <c r="AG12" s="155">
        <v>-7.5287930000000003E-2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45569.163999999997</v>
      </c>
      <c r="S13" s="162">
        <v>40379.856</v>
      </c>
      <c r="T13" s="155">
        <v>0.12851229580000001</v>
      </c>
      <c r="U13" s="162">
        <v>442196.67599999998</v>
      </c>
      <c r="V13" s="162">
        <v>324367.00400000002</v>
      </c>
      <c r="W13" s="155">
        <v>0.36326035179999999</v>
      </c>
      <c r="X13" s="162">
        <v>538259.02800000005</v>
      </c>
      <c r="Y13" s="155">
        <v>0.39510637189999998</v>
      </c>
      <c r="Z13" s="162">
        <v>317069.14299999998</v>
      </c>
      <c r="AA13" s="162">
        <v>288990.75400000002</v>
      </c>
      <c r="AB13" s="155">
        <v>9.7160163800000005E-2</v>
      </c>
      <c r="AC13" s="162">
        <v>2520338.7510000002</v>
      </c>
      <c r="AD13" s="162">
        <v>2462769.1880000001</v>
      </c>
      <c r="AE13" s="155">
        <v>2.3375947399999999E-2</v>
      </c>
      <c r="AF13" s="162">
        <v>3054946.5109999999</v>
      </c>
      <c r="AG13" s="155">
        <v>1.41641606E-2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278.495</v>
      </c>
      <c r="S14" s="162">
        <v>1642.048</v>
      </c>
      <c r="T14" s="155">
        <v>-0.83039777159999995</v>
      </c>
      <c r="U14" s="162">
        <v>12813.724</v>
      </c>
      <c r="V14" s="162">
        <v>14746.465</v>
      </c>
      <c r="W14" s="155">
        <v>-0.1310646992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873.31100000000004</v>
      </c>
      <c r="AA15" s="162">
        <v>971.27599999999995</v>
      </c>
      <c r="AB15" s="155">
        <v>-0.1008621648</v>
      </c>
      <c r="AC15" s="162">
        <v>21845.023000000001</v>
      </c>
      <c r="AD15" s="162">
        <v>18156.210999999999</v>
      </c>
      <c r="AE15" s="155">
        <v>0.20317080470000001</v>
      </c>
      <c r="AF15" s="162">
        <v>23921.868999999999</v>
      </c>
      <c r="AG15" s="155">
        <v>0.1864409226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620.31299999999999</v>
      </c>
      <c r="S16" s="162">
        <v>194.571</v>
      </c>
      <c r="T16" s="155">
        <v>2.1881061412</v>
      </c>
      <c r="U16" s="162">
        <v>2782.8270000000002</v>
      </c>
      <c r="V16" s="162">
        <v>2199.011</v>
      </c>
      <c r="W16" s="155">
        <v>0.26549025900000001</v>
      </c>
      <c r="X16" s="162">
        <v>3508.0920000000001</v>
      </c>
      <c r="Y16" s="155">
        <v>0.22602216219999999</v>
      </c>
      <c r="Z16" s="162">
        <v>22335.968000000001</v>
      </c>
      <c r="AA16" s="162">
        <v>21330.208999999999</v>
      </c>
      <c r="AB16" s="155">
        <v>4.71518587E-2</v>
      </c>
      <c r="AC16" s="162">
        <v>545214.30099999998</v>
      </c>
      <c r="AD16" s="162">
        <v>332083.11200000002</v>
      </c>
      <c r="AE16" s="155">
        <v>0.64180074600000003</v>
      </c>
      <c r="AF16" s="162">
        <v>609056.522</v>
      </c>
      <c r="AG16" s="155">
        <v>0.66637361090000002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6.0419999999999998</v>
      </c>
      <c r="K17" s="162">
        <v>6.5469999999999997</v>
      </c>
      <c r="L17" s="155">
        <v>-7.7134565399999994E-2</v>
      </c>
      <c r="M17" s="162">
        <v>65.796000000000006</v>
      </c>
      <c r="N17" s="162">
        <v>67.965999999999994</v>
      </c>
      <c r="O17" s="155">
        <v>-3.1927728599999997E-2</v>
      </c>
      <c r="P17" s="162">
        <v>74.698999999999998</v>
      </c>
      <c r="Q17" s="155">
        <v>-1.93378144E-2</v>
      </c>
      <c r="R17" s="162">
        <v>7841.4849999999997</v>
      </c>
      <c r="S17" s="162">
        <v>9718.9459999999999</v>
      </c>
      <c r="T17" s="155">
        <v>-0.19317537109999999</v>
      </c>
      <c r="U17" s="162">
        <v>99750.880999999994</v>
      </c>
      <c r="V17" s="162">
        <v>110521.90700000001</v>
      </c>
      <c r="W17" s="155">
        <v>-9.7456027400000006E-2</v>
      </c>
      <c r="X17" s="162">
        <v>112565.969</v>
      </c>
      <c r="Y17" s="155">
        <v>-8.3496604000000002E-2</v>
      </c>
      <c r="Z17" s="162">
        <v>19456.083999999999</v>
      </c>
      <c r="AA17" s="162">
        <v>19754.670999999998</v>
      </c>
      <c r="AB17" s="155">
        <v>-1.5114754399999999E-2</v>
      </c>
      <c r="AC17" s="162">
        <v>237208.58100000001</v>
      </c>
      <c r="AD17" s="162">
        <v>239598.99799999999</v>
      </c>
      <c r="AE17" s="155">
        <v>-9.9767403999999997E-3</v>
      </c>
      <c r="AF17" s="162">
        <v>271236.24800000002</v>
      </c>
      <c r="AG17" s="155">
        <v>-3.9830177E-3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60.414999999999999</v>
      </c>
      <c r="S18" s="162">
        <v>106.123</v>
      </c>
      <c r="T18" s="155">
        <v>-0.43070776360000002</v>
      </c>
      <c r="U18" s="162">
        <v>1132.451</v>
      </c>
      <c r="V18" s="162">
        <v>1362.962</v>
      </c>
      <c r="W18" s="155">
        <v>-0.16912503800000001</v>
      </c>
      <c r="X18" s="162">
        <v>1396.23</v>
      </c>
      <c r="Y18" s="155">
        <v>-0.14858780939999999</v>
      </c>
      <c r="Z18" s="162">
        <v>813.33399999999995</v>
      </c>
      <c r="AA18" s="162">
        <v>831.37800000000004</v>
      </c>
      <c r="AB18" s="155">
        <v>-2.1703725600000001E-2</v>
      </c>
      <c r="AC18" s="162">
        <v>7181.8919999999998</v>
      </c>
      <c r="AD18" s="162">
        <v>7980.2830000000004</v>
      </c>
      <c r="AE18" s="155">
        <v>-0.10004544949999999</v>
      </c>
      <c r="AF18" s="162">
        <v>8766.8680000000004</v>
      </c>
      <c r="AG18" s="155">
        <v>-8.0473663400000006E-2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2571.509</v>
      </c>
      <c r="S19" s="162">
        <v>3349.6129999999998</v>
      </c>
      <c r="T19" s="155">
        <v>-0.23229668619999999</v>
      </c>
      <c r="U19" s="162">
        <v>28568.39</v>
      </c>
      <c r="V19" s="162">
        <v>29545.417000000001</v>
      </c>
      <c r="W19" s="155">
        <v>-3.3068648200000002E-2</v>
      </c>
      <c r="X19" s="162">
        <v>35267.207000000002</v>
      </c>
      <c r="Y19" s="155">
        <v>1.9133485299999999E-2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414.20150000000001</v>
      </c>
      <c r="K20" s="162">
        <v>497.26049999999998</v>
      </c>
      <c r="L20" s="155">
        <v>-0.16703317479999999</v>
      </c>
      <c r="M20" s="162">
        <v>4660.3204999999998</v>
      </c>
      <c r="N20" s="162">
        <v>4334.6405000000004</v>
      </c>
      <c r="O20" s="155">
        <v>7.5134258499999995E-2</v>
      </c>
      <c r="P20" s="162">
        <v>5302.6660000000002</v>
      </c>
      <c r="Q20" s="155">
        <v>7.0778191599999998E-2</v>
      </c>
      <c r="R20" s="162">
        <v>13897.673500000001</v>
      </c>
      <c r="S20" s="162">
        <v>13982.9895</v>
      </c>
      <c r="T20" s="155">
        <v>-6.1014134000000001E-3</v>
      </c>
      <c r="U20" s="162">
        <v>115599.44</v>
      </c>
      <c r="V20" s="162">
        <v>122617.444</v>
      </c>
      <c r="W20" s="155">
        <v>-5.7234955900000002E-2</v>
      </c>
      <c r="X20" s="162">
        <v>136860.66399999999</v>
      </c>
      <c r="Y20" s="155">
        <v>-2.80727461E-2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414.20150000000001</v>
      </c>
      <c r="K21" s="162">
        <v>497.26049999999998</v>
      </c>
      <c r="L21" s="155">
        <v>-0.16703317479999999</v>
      </c>
      <c r="M21" s="162">
        <v>4660.3204999999998</v>
      </c>
      <c r="N21" s="162">
        <v>4334.6405000000004</v>
      </c>
      <c r="O21" s="155">
        <v>7.5134258499999995E-2</v>
      </c>
      <c r="P21" s="162">
        <v>5302.6660000000002</v>
      </c>
      <c r="Q21" s="155">
        <v>7.0778191599999998E-2</v>
      </c>
      <c r="R21" s="162">
        <v>13897.673500000001</v>
      </c>
      <c r="S21" s="162">
        <v>13982.9895</v>
      </c>
      <c r="T21" s="155">
        <v>-6.1014134000000001E-3</v>
      </c>
      <c r="U21" s="162">
        <v>115599.44</v>
      </c>
      <c r="V21" s="162">
        <v>122617.444</v>
      </c>
      <c r="W21" s="155">
        <v>-5.7234955900000002E-2</v>
      </c>
      <c r="X21" s="162">
        <v>136860.66399999999</v>
      </c>
      <c r="Y21" s="155">
        <v>-2.80727461E-2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17854.131000000001</v>
      </c>
      <c r="C22" s="163">
        <v>15964.592000000001</v>
      </c>
      <c r="D22" s="156">
        <v>0.118358114</v>
      </c>
      <c r="E22" s="163">
        <v>172676.32</v>
      </c>
      <c r="F22" s="163">
        <v>168625.83</v>
      </c>
      <c r="G22" s="156">
        <v>2.4020578599999998E-2</v>
      </c>
      <c r="H22" s="163">
        <v>206911.32</v>
      </c>
      <c r="I22" s="156">
        <v>1.25617538E-2</v>
      </c>
      <c r="J22" s="163">
        <v>17666.249</v>
      </c>
      <c r="K22" s="163">
        <v>17474.578000000001</v>
      </c>
      <c r="L22" s="156">
        <v>1.09685624E-2</v>
      </c>
      <c r="M22" s="163">
        <v>178924.90700000001</v>
      </c>
      <c r="N22" s="163">
        <v>175972.68799999999</v>
      </c>
      <c r="O22" s="156">
        <v>1.6776574999999998E-2</v>
      </c>
      <c r="P22" s="163">
        <v>213377.29699999999</v>
      </c>
      <c r="Q22" s="156">
        <v>1.8032024000000001E-2</v>
      </c>
      <c r="R22" s="163">
        <v>383312.13099999999</v>
      </c>
      <c r="S22" s="163">
        <v>381757.13699999999</v>
      </c>
      <c r="T22" s="156">
        <v>4.0732546000000003E-3</v>
      </c>
      <c r="U22" s="163">
        <v>4176840.1549999998</v>
      </c>
      <c r="V22" s="163">
        <v>4136391.4759999998</v>
      </c>
      <c r="W22" s="156">
        <v>9.7787356999999991E-3</v>
      </c>
      <c r="X22" s="163">
        <v>4877558.0530000003</v>
      </c>
      <c r="Y22" s="156">
        <v>1.70668738E-2</v>
      </c>
      <c r="Z22" s="163">
        <v>778607.53399999999</v>
      </c>
      <c r="AA22" s="163">
        <v>789861.46400000004</v>
      </c>
      <c r="AB22" s="156">
        <v>-1.42479796E-2</v>
      </c>
      <c r="AC22" s="163">
        <v>7379108.5360000003</v>
      </c>
      <c r="AD22" s="163">
        <v>7437854.0290000001</v>
      </c>
      <c r="AE22" s="156">
        <v>-7.8981777E-3</v>
      </c>
      <c r="AF22" s="163">
        <v>8872317.5319999997</v>
      </c>
      <c r="AG22" s="156">
        <v>-3.4537132999999999E-3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92007.577000000005</v>
      </c>
      <c r="S23" s="162">
        <v>93286.301000000007</v>
      </c>
      <c r="T23" s="155">
        <v>-1.3707521800000001E-2</v>
      </c>
      <c r="U23" s="162">
        <v>1055714.3859999999</v>
      </c>
      <c r="V23" s="162">
        <v>1017377.843</v>
      </c>
      <c r="W23" s="155">
        <v>3.7681716099999998E-2</v>
      </c>
      <c r="X23" s="162">
        <v>1217643.1850000001</v>
      </c>
      <c r="Y23" s="155">
        <v>4.8350090700000001E-2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106</v>
      </c>
      <c r="B24" s="163">
        <v>17854.131000000001</v>
      </c>
      <c r="C24" s="163">
        <v>15964.592000000001</v>
      </c>
      <c r="D24" s="156">
        <v>0.118358114</v>
      </c>
      <c r="E24" s="163">
        <v>172676.32</v>
      </c>
      <c r="F24" s="163">
        <v>168625.83</v>
      </c>
      <c r="G24" s="156">
        <v>2.4020578599999998E-2</v>
      </c>
      <c r="H24" s="163">
        <v>206911.32</v>
      </c>
      <c r="I24" s="156">
        <v>1.25617538E-2</v>
      </c>
      <c r="J24" s="163">
        <v>17666.249</v>
      </c>
      <c r="K24" s="163">
        <v>17474.578000000001</v>
      </c>
      <c r="L24" s="156">
        <v>1.09685624E-2</v>
      </c>
      <c r="M24" s="163">
        <v>178924.90700000001</v>
      </c>
      <c r="N24" s="163">
        <v>175972.68799999999</v>
      </c>
      <c r="O24" s="156">
        <v>1.6776574999999998E-2</v>
      </c>
      <c r="P24" s="163">
        <v>213377.29699999999</v>
      </c>
      <c r="Q24" s="156">
        <v>1.8032024000000001E-2</v>
      </c>
      <c r="R24" s="163">
        <v>475319.70799999998</v>
      </c>
      <c r="S24" s="163">
        <v>475043.43800000002</v>
      </c>
      <c r="T24" s="156">
        <v>5.8156790000000005E-4</v>
      </c>
      <c r="U24" s="163">
        <v>5232554.5410000002</v>
      </c>
      <c r="V24" s="163">
        <v>5153769.3190000001</v>
      </c>
      <c r="W24" s="156">
        <v>1.52869128E-2</v>
      </c>
      <c r="X24" s="163">
        <v>6095201.2379999999</v>
      </c>
      <c r="Y24" s="156">
        <v>2.3166219599999999E-2</v>
      </c>
      <c r="Z24" s="163">
        <v>778607.53399999999</v>
      </c>
      <c r="AA24" s="163">
        <v>789861.46400000004</v>
      </c>
      <c r="AB24" s="156">
        <v>-1.42479796E-2</v>
      </c>
      <c r="AC24" s="163">
        <v>7379108.5360000003</v>
      </c>
      <c r="AD24" s="163">
        <v>7437854.0290000001</v>
      </c>
      <c r="AE24" s="156">
        <v>-7.8981777E-3</v>
      </c>
      <c r="AF24" s="163">
        <v>8872317.5319999997</v>
      </c>
      <c r="AG24" s="156">
        <v>-3.4537132999999999E-3</v>
      </c>
    </row>
    <row r="29" spans="1:33" ht="15">
      <c r="A29" s="149" t="s">
        <v>77</v>
      </c>
      <c r="B29" s="210" t="s">
        <v>112</v>
      </c>
      <c r="C29" s="211"/>
    </row>
    <row r="30" spans="1:33" ht="15">
      <c r="A30" s="149" t="s">
        <v>79</v>
      </c>
      <c r="B30" s="208" t="s">
        <v>82</v>
      </c>
      <c r="C30" s="209"/>
    </row>
    <row r="31" spans="1:33">
      <c r="A31" s="147" t="s">
        <v>78</v>
      </c>
      <c r="B31" s="187" t="s">
        <v>67</v>
      </c>
      <c r="C31" s="187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105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3.6474999999999906</v>
      </c>
      <c r="C40" s="151">
        <v>269.24999999999994</v>
      </c>
    </row>
    <row r="41" spans="1:3">
      <c r="A41" s="148" t="s">
        <v>7</v>
      </c>
      <c r="B41" s="151">
        <v>80.118044999999839</v>
      </c>
      <c r="C41" s="151">
        <v>167.32556999999963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/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2284.9325450000001</v>
      </c>
      <c r="C46" s="154">
        <f>SUM(C33:C45)</f>
        <v>2853.5815699999994</v>
      </c>
    </row>
    <row r="47" spans="1:3">
      <c r="A47" s="189"/>
      <c r="B47" s="190"/>
      <c r="C47" s="190"/>
    </row>
    <row r="48" spans="1:3">
      <c r="A48" s="191"/>
      <c r="B48" s="192"/>
      <c r="C48" s="192"/>
    </row>
    <row r="49" spans="1:8" ht="15">
      <c r="A49"/>
      <c r="B49"/>
      <c r="C49"/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17.399999999999999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19.5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16.899999999999999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30.300000000000011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269.24999999999994</v>
      </c>
      <c r="H59" s="120">
        <f t="shared" si="1"/>
        <v>9.4</v>
      </c>
    </row>
    <row r="60" spans="1:8">
      <c r="A60" s="118" t="s">
        <v>8</v>
      </c>
      <c r="B60" s="119">
        <f>B40</f>
        <v>3.6474999999999906</v>
      </c>
      <c r="C60" s="120">
        <f t="shared" si="0"/>
        <v>0.2</v>
      </c>
      <c r="F60" s="118" t="s">
        <v>7</v>
      </c>
      <c r="G60" s="119">
        <f>C41</f>
        <v>167.32556999999963</v>
      </c>
      <c r="H60" s="120">
        <f t="shared" si="1"/>
        <v>5.9</v>
      </c>
    </row>
    <row r="61" spans="1:8">
      <c r="A61" s="118" t="s">
        <v>7</v>
      </c>
      <c r="B61" s="119">
        <f>B41</f>
        <v>80.118044999999839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2853.5815699999998</v>
      </c>
      <c r="H62" s="123">
        <f>SUM(H52:H61)</f>
        <v>100.00000000000001</v>
      </c>
    </row>
    <row r="63" spans="1:8">
      <c r="A63" s="121" t="s">
        <v>25</v>
      </c>
      <c r="B63" s="122">
        <f>SUM(B52:B62)</f>
        <v>2284.9325450000001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39.200000000000003</v>
      </c>
      <c r="F68" s="118" t="s">
        <v>15</v>
      </c>
      <c r="G68" s="120">
        <f>ROUND((Z10/Z$24)*100,1)</f>
        <v>24.5</v>
      </c>
    </row>
    <row r="69" spans="1:7">
      <c r="A69" s="118" t="s">
        <v>15</v>
      </c>
      <c r="B69" s="120">
        <f>ROUND((R10/R$24)*100,1)</f>
        <v>12.2</v>
      </c>
      <c r="F69" s="118" t="s">
        <v>14</v>
      </c>
      <c r="G69" s="120">
        <f>ROUND((Z11/Z$24)*100,1)</f>
        <v>3.2</v>
      </c>
    </row>
    <row r="70" spans="1:7">
      <c r="A70" s="118" t="s">
        <v>14</v>
      </c>
      <c r="B70" s="120">
        <f t="shared" ref="B70" si="2">ROUND((R11/R$24)*100,1)</f>
        <v>11.5</v>
      </c>
      <c r="F70" s="118" t="s">
        <v>13</v>
      </c>
      <c r="G70" s="120">
        <f>ROUND((Z12/Z$24)*100,1)</f>
        <v>25.9</v>
      </c>
    </row>
    <row r="71" spans="1:7">
      <c r="A71" s="118" t="s">
        <v>30</v>
      </c>
      <c r="B71" s="120">
        <f>ROUND((R13/R$24)*100,1)</f>
        <v>9.6</v>
      </c>
      <c r="F71" s="118" t="s">
        <v>30</v>
      </c>
      <c r="G71" s="120">
        <f>100-SUM(G68:G70,G72:G77)</f>
        <v>40.800000000000004</v>
      </c>
    </row>
    <row r="72" spans="1:7">
      <c r="A72" s="118" t="s">
        <v>29</v>
      </c>
      <c r="B72" s="120">
        <f>ROUND((R14/R$24)*100,1)</f>
        <v>0.1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0.5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2.9</v>
      </c>
      <c r="F74" s="118" t="s">
        <v>9</v>
      </c>
      <c r="G74" s="120">
        <f>ROUND((Z15/Z$24)*100,1)</f>
        <v>0.1</v>
      </c>
    </row>
    <row r="75" spans="1:7">
      <c r="A75" s="118" t="s">
        <v>61</v>
      </c>
      <c r="B75" s="120">
        <f>ROUND((R20/R$24)*100,1)</f>
        <v>2.9</v>
      </c>
      <c r="F75" s="118" t="s">
        <v>8</v>
      </c>
      <c r="G75" s="120">
        <f>ROUND((Z16/Z$24)*100,1)</f>
        <v>2.9</v>
      </c>
    </row>
    <row r="76" spans="1:7">
      <c r="A76" s="118" t="s">
        <v>8</v>
      </c>
      <c r="B76" s="120">
        <f>ROUND((R16/R$24)*100,1)</f>
        <v>0.1</v>
      </c>
      <c r="F76" s="118" t="s">
        <v>7</v>
      </c>
      <c r="G76" s="120">
        <f>ROUND((Z17/Z$24)*100,1)</f>
        <v>2.5</v>
      </c>
    </row>
    <row r="77" spans="1:7">
      <c r="A77" s="118" t="s">
        <v>7</v>
      </c>
      <c r="B77" s="120">
        <f>ROUND((R17/R$24)*100,1)</f>
        <v>1.6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</v>
      </c>
    </row>
    <row r="79" spans="1:7">
      <c r="A79" s="118" t="s">
        <v>26</v>
      </c>
      <c r="B79" s="120">
        <f>ROUND((R23/R$24)*100,1)</f>
        <v>19.399999999999999</v>
      </c>
    </row>
    <row r="80" spans="1:7">
      <c r="A80" s="121" t="s">
        <v>25</v>
      </c>
      <c r="B80" s="123">
        <f>SUM(B68:B79)</f>
        <v>100</v>
      </c>
    </row>
    <row r="85" spans="1:25" ht="15">
      <c r="A85" s="149"/>
      <c r="B85" s="149" t="s">
        <v>79</v>
      </c>
      <c r="C85" s="206" t="s">
        <v>18</v>
      </c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</row>
    <row r="86" spans="1:25">
      <c r="A86" s="149"/>
      <c r="B86" s="147" t="s">
        <v>77</v>
      </c>
      <c r="C86" s="188" t="s">
        <v>83</v>
      </c>
      <c r="D86" s="188" t="s">
        <v>84</v>
      </c>
      <c r="E86" s="188" t="s">
        <v>85</v>
      </c>
      <c r="F86" s="188" t="s">
        <v>86</v>
      </c>
      <c r="G86" s="188" t="s">
        <v>87</v>
      </c>
      <c r="H86" s="188" t="s">
        <v>88</v>
      </c>
      <c r="I86" s="188" t="s">
        <v>89</v>
      </c>
      <c r="J86" s="188" t="s">
        <v>90</v>
      </c>
      <c r="K86" s="188" t="s">
        <v>91</v>
      </c>
      <c r="L86" s="188" t="s">
        <v>92</v>
      </c>
      <c r="M86" s="188" t="s">
        <v>93</v>
      </c>
      <c r="N86" s="188" t="s">
        <v>94</v>
      </c>
      <c r="O86" s="188" t="s">
        <v>95</v>
      </c>
      <c r="P86" s="188" t="s">
        <v>66</v>
      </c>
      <c r="Q86" s="188" t="s">
        <v>102</v>
      </c>
      <c r="R86" s="188" t="s">
        <v>101</v>
      </c>
      <c r="S86" s="188" t="s">
        <v>103</v>
      </c>
      <c r="T86" s="188" t="s">
        <v>107</v>
      </c>
      <c r="U86" s="188" t="s">
        <v>108</v>
      </c>
      <c r="V86" s="188" t="s">
        <v>104</v>
      </c>
      <c r="W86" s="188" t="s">
        <v>111</v>
      </c>
      <c r="X86" s="188" t="s">
        <v>112</v>
      </c>
      <c r="Y86" s="188" t="s">
        <v>116</v>
      </c>
    </row>
    <row r="87" spans="1:25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</row>
    <row r="88" spans="1:25">
      <c r="A88" s="223" t="s">
        <v>67</v>
      </c>
      <c r="B88" s="148" t="s">
        <v>16</v>
      </c>
      <c r="C88" s="151">
        <v>221.05817300000001</v>
      </c>
      <c r="D88" s="151">
        <v>189.456399</v>
      </c>
      <c r="E88" s="151">
        <v>177.467581</v>
      </c>
      <c r="F88" s="151">
        <v>189.50845000000001</v>
      </c>
      <c r="G88" s="151">
        <v>224.056827</v>
      </c>
      <c r="H88" s="151">
        <v>268.94819999999999</v>
      </c>
      <c r="I88" s="151">
        <v>273.07790799999998</v>
      </c>
      <c r="J88" s="151">
        <v>263.83197200000001</v>
      </c>
      <c r="K88" s="151">
        <v>237.41712699999999</v>
      </c>
      <c r="L88" s="151">
        <v>196.316934</v>
      </c>
      <c r="M88" s="151">
        <v>152.281554</v>
      </c>
      <c r="N88" s="151">
        <v>204.11071200000001</v>
      </c>
      <c r="O88" s="151">
        <v>198.55502899999999</v>
      </c>
      <c r="P88" s="151">
        <v>192.79493400000001</v>
      </c>
      <c r="Q88" s="151">
        <v>199.82157000000001</v>
      </c>
      <c r="R88" s="151">
        <v>183.05622099999999</v>
      </c>
      <c r="S88" s="151">
        <v>185.327823</v>
      </c>
      <c r="T88" s="151">
        <v>204.87973099999999</v>
      </c>
      <c r="U88" s="151">
        <v>242.068479</v>
      </c>
      <c r="V88" s="151">
        <v>257.31310999999999</v>
      </c>
      <c r="W88" s="151">
        <v>250.63039499999999</v>
      </c>
      <c r="X88" s="151">
        <v>186.34634299999999</v>
      </c>
      <c r="Y88" s="151">
        <v>35.285291999999998</v>
      </c>
    </row>
    <row r="89" spans="1:25">
      <c r="A89" s="221"/>
      <c r="B89" s="148" t="s">
        <v>105</v>
      </c>
      <c r="C89" s="151">
        <v>84.274308000000005</v>
      </c>
      <c r="D89" s="151">
        <v>70.860631999999995</v>
      </c>
      <c r="E89" s="151">
        <v>62.289886000000003</v>
      </c>
      <c r="F89" s="151">
        <v>72.688243999999997</v>
      </c>
      <c r="G89" s="151">
        <v>87.842727999999994</v>
      </c>
      <c r="H89" s="151">
        <v>96.605957000000004</v>
      </c>
      <c r="I89" s="151">
        <v>106.657878</v>
      </c>
      <c r="J89" s="151">
        <v>88.000293999999997</v>
      </c>
      <c r="K89" s="151">
        <v>42.120804</v>
      </c>
      <c r="L89" s="151">
        <v>26.871200999999999</v>
      </c>
      <c r="M89" s="151">
        <v>24.992986999999999</v>
      </c>
      <c r="N89" s="151">
        <v>32.782640999999998</v>
      </c>
      <c r="O89" s="151">
        <v>35.080182000000001</v>
      </c>
      <c r="P89" s="151">
        <v>38.969616000000002</v>
      </c>
      <c r="Q89" s="151">
        <v>35.928452</v>
      </c>
      <c r="R89" s="151">
        <v>37.207234999999997</v>
      </c>
      <c r="S89" s="151">
        <v>51.279922999999997</v>
      </c>
      <c r="T89" s="151">
        <v>59.423205000000003</v>
      </c>
      <c r="U89" s="151">
        <v>82.636359999999996</v>
      </c>
      <c r="V89" s="151">
        <v>89.525766000000004</v>
      </c>
      <c r="W89" s="151">
        <v>72.079989999999995</v>
      </c>
      <c r="X89" s="151">
        <v>57.770246999999998</v>
      </c>
      <c r="Y89" s="151">
        <v>16.484787000000001</v>
      </c>
    </row>
    <row r="90" spans="1:25">
      <c r="A90" s="221"/>
      <c r="B90" s="148" t="s">
        <v>14</v>
      </c>
      <c r="C90" s="151">
        <v>13.229322</v>
      </c>
      <c r="D90" s="151">
        <v>10.726194</v>
      </c>
      <c r="E90" s="151">
        <v>22.296851</v>
      </c>
      <c r="F90" s="151">
        <v>14.186650999999999</v>
      </c>
      <c r="G90" s="151">
        <v>29.491835999999999</v>
      </c>
      <c r="H90" s="151">
        <v>39.728293999999998</v>
      </c>
      <c r="I90" s="151">
        <v>59.674911000000002</v>
      </c>
      <c r="J90" s="151">
        <v>82.505827999999994</v>
      </c>
      <c r="K90" s="151">
        <v>82.010565999999997</v>
      </c>
      <c r="L90" s="151">
        <v>75.211866000000001</v>
      </c>
      <c r="M90" s="151">
        <v>62.358716999999999</v>
      </c>
      <c r="N90" s="151">
        <v>65.103538</v>
      </c>
      <c r="O90" s="151">
        <v>59.852255999999997</v>
      </c>
      <c r="P90" s="151">
        <v>59.882575000000003</v>
      </c>
      <c r="Q90" s="151">
        <v>61.051561</v>
      </c>
      <c r="R90" s="151">
        <v>57.191896</v>
      </c>
      <c r="S90" s="151">
        <v>66.096778</v>
      </c>
      <c r="T90" s="151">
        <v>77.051412999999997</v>
      </c>
      <c r="U90" s="151">
        <v>95.847725999999994</v>
      </c>
      <c r="V90" s="151">
        <v>91.166568999999996</v>
      </c>
      <c r="W90" s="151">
        <v>75.102127999999993</v>
      </c>
      <c r="X90" s="151">
        <v>54.458812999999999</v>
      </c>
      <c r="Y90" s="151">
        <v>20.348475000000001</v>
      </c>
    </row>
    <row r="91" spans="1:25">
      <c r="A91" s="221"/>
      <c r="B91" s="148" t="s">
        <v>30</v>
      </c>
      <c r="C91" s="151">
        <v>37.633499</v>
      </c>
      <c r="D91" s="151">
        <v>34.837552000000002</v>
      </c>
      <c r="E91" s="151">
        <v>31.438682</v>
      </c>
      <c r="F91" s="151">
        <v>37.314464000000001</v>
      </c>
      <c r="G91" s="151">
        <v>26.062643999999999</v>
      </c>
      <c r="H91" s="151">
        <v>12.581072000000001</v>
      </c>
      <c r="I91" s="151">
        <v>35.234932000000001</v>
      </c>
      <c r="J91" s="151">
        <v>56.051789999999997</v>
      </c>
      <c r="K91" s="151">
        <v>12.832513000000001</v>
      </c>
      <c r="L91" s="151">
        <v>40.379855999999997</v>
      </c>
      <c r="M91" s="151">
        <v>60.508705999999997</v>
      </c>
      <c r="N91" s="151">
        <v>35.553646000000001</v>
      </c>
      <c r="O91" s="151">
        <v>31.201087999999999</v>
      </c>
      <c r="P91" s="151">
        <v>48.135339999999999</v>
      </c>
      <c r="Q91" s="151">
        <v>39.439261999999999</v>
      </c>
      <c r="R91" s="151">
        <v>48.047037000000003</v>
      </c>
      <c r="S91" s="151">
        <v>45.724513999999999</v>
      </c>
      <c r="T91" s="151">
        <v>36.755218999999997</v>
      </c>
      <c r="U91" s="151">
        <v>53.754595000000002</v>
      </c>
      <c r="V91" s="151">
        <v>62.465704000000002</v>
      </c>
      <c r="W91" s="151">
        <v>31.104752999999999</v>
      </c>
      <c r="X91" s="151">
        <v>45.569164000000001</v>
      </c>
      <c r="Y91" s="151">
        <v>56.146825999999997</v>
      </c>
    </row>
    <row r="92" spans="1:25">
      <c r="A92" s="221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1.3380000000000001</v>
      </c>
      <c r="H92" s="151">
        <v>1.7058770000000001</v>
      </c>
      <c r="I92" s="151">
        <v>3.1284709999999998</v>
      </c>
      <c r="J92" s="151">
        <v>4.5547199999999997</v>
      </c>
      <c r="K92" s="151">
        <v>2.3773490000000002</v>
      </c>
      <c r="L92" s="151">
        <v>1.642048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0.258189</v>
      </c>
      <c r="T92" s="151">
        <v>1.4068510000000001</v>
      </c>
      <c r="U92" s="151">
        <v>3.4087329999999998</v>
      </c>
      <c r="V92" s="151">
        <v>5.1961240000000002</v>
      </c>
      <c r="W92" s="151">
        <v>2.2653319999999999</v>
      </c>
      <c r="X92" s="151">
        <v>0.27849499999999999</v>
      </c>
      <c r="Y92" s="151">
        <v>0</v>
      </c>
    </row>
    <row r="93" spans="1:25">
      <c r="A93" s="221"/>
      <c r="B93" s="148" t="s">
        <v>8</v>
      </c>
      <c r="C93" s="151">
        <v>0.46856199999999998</v>
      </c>
      <c r="D93" s="151">
        <v>0.28271800000000002</v>
      </c>
      <c r="E93" s="151">
        <v>0.227135</v>
      </c>
      <c r="F93" s="151">
        <v>0.238206</v>
      </c>
      <c r="G93" s="151">
        <v>0.127304</v>
      </c>
      <c r="H93" s="151">
        <v>0.13010099999999999</v>
      </c>
      <c r="I93" s="151">
        <v>0.17573800000000001</v>
      </c>
      <c r="J93" s="151">
        <v>0.17168700000000001</v>
      </c>
      <c r="K93" s="151">
        <v>0.18298900000000001</v>
      </c>
      <c r="L93" s="151">
        <v>0.19457099999999999</v>
      </c>
      <c r="M93" s="151">
        <v>0.342941</v>
      </c>
      <c r="N93" s="151">
        <v>0.382324</v>
      </c>
      <c r="O93" s="151">
        <v>0.25263999999999998</v>
      </c>
      <c r="P93" s="151">
        <v>0.32401200000000002</v>
      </c>
      <c r="Q93" s="151">
        <v>0.40592400000000001</v>
      </c>
      <c r="R93" s="151">
        <v>0.28265000000000001</v>
      </c>
      <c r="S93" s="151">
        <v>0.22889300000000001</v>
      </c>
      <c r="T93" s="151">
        <v>0.138682</v>
      </c>
      <c r="U93" s="151">
        <v>0.13932900000000001</v>
      </c>
      <c r="V93" s="151">
        <v>0.19220799999999999</v>
      </c>
      <c r="W93" s="151">
        <v>0.19817599999999999</v>
      </c>
      <c r="X93" s="151">
        <v>0.620313</v>
      </c>
      <c r="Y93" s="151">
        <v>0.29787000000000002</v>
      </c>
    </row>
    <row r="94" spans="1:25">
      <c r="A94" s="221"/>
      <c r="B94" s="148" t="s">
        <v>7</v>
      </c>
      <c r="C94" s="151">
        <v>5.7991339999999996</v>
      </c>
      <c r="D94" s="151">
        <v>7.159338</v>
      </c>
      <c r="E94" s="151">
        <v>12.164482</v>
      </c>
      <c r="F94" s="151">
        <v>12.625004000000001</v>
      </c>
      <c r="G94" s="151">
        <v>13.622494</v>
      </c>
      <c r="H94" s="151">
        <v>13.314391000000001</v>
      </c>
      <c r="I94" s="151">
        <v>13.296241</v>
      </c>
      <c r="J94" s="151">
        <v>12.456519999999999</v>
      </c>
      <c r="K94" s="151">
        <v>10.365356999999999</v>
      </c>
      <c r="L94" s="151">
        <v>9.7189460000000008</v>
      </c>
      <c r="M94" s="151">
        <v>7.2582560000000003</v>
      </c>
      <c r="N94" s="151">
        <v>5.556832</v>
      </c>
      <c r="O94" s="151">
        <v>7.038017</v>
      </c>
      <c r="P94" s="151">
        <v>5.3295399999999997</v>
      </c>
      <c r="Q94" s="151">
        <v>10.194158</v>
      </c>
      <c r="R94" s="151">
        <v>11.476927999999999</v>
      </c>
      <c r="S94" s="151">
        <v>11.838782</v>
      </c>
      <c r="T94" s="151">
        <v>12.382847999999999</v>
      </c>
      <c r="U94" s="151">
        <v>13.341704</v>
      </c>
      <c r="V94" s="151">
        <v>11.261585</v>
      </c>
      <c r="W94" s="151">
        <v>9.0458339999999993</v>
      </c>
      <c r="X94" s="151">
        <v>7.8414849999999996</v>
      </c>
      <c r="Y94" s="151">
        <v>2.411</v>
      </c>
    </row>
    <row r="95" spans="1:25">
      <c r="A95" s="221"/>
      <c r="B95" s="148" t="s">
        <v>27</v>
      </c>
      <c r="C95" s="151">
        <v>0.15945699999999999</v>
      </c>
      <c r="D95" s="151">
        <v>0.170074</v>
      </c>
      <c r="E95" s="151">
        <v>0.10448300000000001</v>
      </c>
      <c r="F95" s="151">
        <v>0.19849</v>
      </c>
      <c r="G95" s="151">
        <v>0.22384999999999999</v>
      </c>
      <c r="H95" s="151">
        <v>0.16433200000000001</v>
      </c>
      <c r="I95" s="151">
        <v>7.5532000000000002E-2</v>
      </c>
      <c r="J95" s="151">
        <v>7.3259000000000005E-2</v>
      </c>
      <c r="K95" s="151">
        <v>8.7361999999999995E-2</v>
      </c>
      <c r="L95" s="151">
        <v>0.106123</v>
      </c>
      <c r="M95" s="151">
        <v>0.12698499999999999</v>
      </c>
      <c r="N95" s="151">
        <v>0.136794</v>
      </c>
      <c r="O95" s="151">
        <v>0.219363</v>
      </c>
      <c r="P95" s="151">
        <v>0.16624</v>
      </c>
      <c r="Q95" s="151">
        <v>0.184165</v>
      </c>
      <c r="R95" s="151">
        <v>0.130801</v>
      </c>
      <c r="S95" s="151">
        <v>0.12767999999999999</v>
      </c>
      <c r="T95" s="151">
        <v>0.110028</v>
      </c>
      <c r="U95" s="151">
        <v>5.7736999999999997E-2</v>
      </c>
      <c r="V95" s="151">
        <v>5.6852E-2</v>
      </c>
      <c r="W95" s="151">
        <v>1.917E-2</v>
      </c>
      <c r="X95" s="151">
        <v>6.0415000000000003E-2</v>
      </c>
      <c r="Y95" s="151">
        <v>7.1999999999999998E-3</v>
      </c>
    </row>
    <row r="96" spans="1:25">
      <c r="A96" s="221"/>
      <c r="B96" s="148" t="s">
        <v>28</v>
      </c>
      <c r="C96" s="151">
        <v>3.0182150000000001</v>
      </c>
      <c r="D96" s="151">
        <v>3.1060989999999999</v>
      </c>
      <c r="E96" s="151">
        <v>3.5151590000000001</v>
      </c>
      <c r="F96" s="151">
        <v>1.9989570000000001</v>
      </c>
      <c r="G96" s="151">
        <v>2.0171679999999999</v>
      </c>
      <c r="H96" s="151">
        <v>2.7769249999999999</v>
      </c>
      <c r="I96" s="151">
        <v>3.0592039999999998</v>
      </c>
      <c r="J96" s="151">
        <v>3.4880909999999998</v>
      </c>
      <c r="K96" s="151">
        <v>3.215986</v>
      </c>
      <c r="L96" s="151">
        <v>3.3496130000000002</v>
      </c>
      <c r="M96" s="151">
        <v>3.098652</v>
      </c>
      <c r="N96" s="151">
        <v>3.6001650000000001</v>
      </c>
      <c r="O96" s="151">
        <v>3.1829869999999998</v>
      </c>
      <c r="P96" s="151">
        <v>3.0836540000000001</v>
      </c>
      <c r="Q96" s="151">
        <v>2.2946849999999999</v>
      </c>
      <c r="R96" s="151">
        <v>1.9821660000000001</v>
      </c>
      <c r="S96" s="151">
        <v>2.5785749999999998</v>
      </c>
      <c r="T96" s="151">
        <v>3.3572419999999998</v>
      </c>
      <c r="U96" s="151">
        <v>3.5655640000000002</v>
      </c>
      <c r="V96" s="151">
        <v>3.5154580000000002</v>
      </c>
      <c r="W96" s="151">
        <v>2.43655</v>
      </c>
      <c r="X96" s="151">
        <v>2.5715089999999998</v>
      </c>
      <c r="Y96" s="151">
        <v>1.17516</v>
      </c>
    </row>
    <row r="97" spans="1:25">
      <c r="A97" s="221"/>
      <c r="B97" s="148" t="s">
        <v>61</v>
      </c>
      <c r="C97" s="151">
        <v>7.5441634999999998</v>
      </c>
      <c r="D97" s="151">
        <v>7.2221915000000001</v>
      </c>
      <c r="E97" s="151">
        <v>10.5177625</v>
      </c>
      <c r="F97" s="151">
        <v>14.685772500000001</v>
      </c>
      <c r="G97" s="151">
        <v>11.2097905</v>
      </c>
      <c r="H97" s="151">
        <v>14.046685500000001</v>
      </c>
      <c r="I97" s="151">
        <v>14.055790500000001</v>
      </c>
      <c r="J97" s="151">
        <v>14.325673</v>
      </c>
      <c r="K97" s="151">
        <v>15.026624999999999</v>
      </c>
      <c r="L97" s="151">
        <v>13.9829895</v>
      </c>
      <c r="M97" s="151">
        <v>11.279227499999999</v>
      </c>
      <c r="N97" s="151">
        <v>9.9819964999999993</v>
      </c>
      <c r="O97" s="151">
        <v>7.4814245000000001</v>
      </c>
      <c r="P97" s="151">
        <v>4.4559544999999998</v>
      </c>
      <c r="Q97" s="151">
        <v>11.199851499999999</v>
      </c>
      <c r="R97" s="151">
        <v>10.4867385</v>
      </c>
      <c r="S97" s="151">
        <v>10.524592</v>
      </c>
      <c r="T97" s="151">
        <v>14.7091545</v>
      </c>
      <c r="U97" s="151">
        <v>14.429119</v>
      </c>
      <c r="V97" s="151">
        <v>14.9613625</v>
      </c>
      <c r="W97" s="151">
        <v>13.4535695</v>
      </c>
      <c r="X97" s="151">
        <v>13.8976735</v>
      </c>
      <c r="Y97" s="151">
        <v>2.6927500000000002</v>
      </c>
    </row>
    <row r="98" spans="1:25">
      <c r="A98" s="221"/>
      <c r="B98" s="148" t="s">
        <v>62</v>
      </c>
      <c r="C98" s="151">
        <v>7.5441634999999998</v>
      </c>
      <c r="D98" s="151">
        <v>7.2221915000000001</v>
      </c>
      <c r="E98" s="151">
        <v>10.5177625</v>
      </c>
      <c r="F98" s="151">
        <v>14.685772500000001</v>
      </c>
      <c r="G98" s="151">
        <v>11.2097905</v>
      </c>
      <c r="H98" s="151">
        <v>14.046685500000001</v>
      </c>
      <c r="I98" s="151">
        <v>14.055790500000001</v>
      </c>
      <c r="J98" s="151">
        <v>14.325673</v>
      </c>
      <c r="K98" s="151">
        <v>15.026624999999999</v>
      </c>
      <c r="L98" s="151">
        <v>13.9829895</v>
      </c>
      <c r="M98" s="151">
        <v>11.279227499999999</v>
      </c>
      <c r="N98" s="151">
        <v>9.9819964999999993</v>
      </c>
      <c r="O98" s="151">
        <v>7.4814245000000001</v>
      </c>
      <c r="P98" s="151">
        <v>4.4559544999999998</v>
      </c>
      <c r="Q98" s="151">
        <v>11.199851499999999</v>
      </c>
      <c r="R98" s="151">
        <v>10.4867385</v>
      </c>
      <c r="S98" s="151">
        <v>10.524592</v>
      </c>
      <c r="T98" s="151">
        <v>14.7091545</v>
      </c>
      <c r="U98" s="151">
        <v>14.429119</v>
      </c>
      <c r="V98" s="151">
        <v>14.9613625</v>
      </c>
      <c r="W98" s="151">
        <v>13.4535695</v>
      </c>
      <c r="X98" s="151">
        <v>13.8976735</v>
      </c>
      <c r="Y98" s="151">
        <v>2.6927500000000002</v>
      </c>
    </row>
    <row r="99" spans="1:25">
      <c r="A99" s="221"/>
      <c r="B99" s="153" t="s">
        <v>5</v>
      </c>
      <c r="C99" s="154">
        <v>380.72899699999999</v>
      </c>
      <c r="D99" s="154">
        <v>331.04338899999999</v>
      </c>
      <c r="E99" s="154">
        <v>330.539784</v>
      </c>
      <c r="F99" s="154">
        <v>358.13001100000002</v>
      </c>
      <c r="G99" s="154">
        <v>407.20243199999999</v>
      </c>
      <c r="H99" s="154">
        <v>464.04852</v>
      </c>
      <c r="I99" s="154">
        <v>522.49239599999999</v>
      </c>
      <c r="J99" s="154">
        <v>539.78550700000005</v>
      </c>
      <c r="K99" s="154">
        <v>420.66330299999998</v>
      </c>
      <c r="L99" s="154">
        <v>381.757137</v>
      </c>
      <c r="M99" s="154">
        <v>333.52725299999997</v>
      </c>
      <c r="N99" s="154">
        <v>367.19064500000002</v>
      </c>
      <c r="O99" s="154">
        <v>350.34441099999998</v>
      </c>
      <c r="P99" s="154">
        <v>357.59782000000001</v>
      </c>
      <c r="Q99" s="154">
        <v>371.71947999999998</v>
      </c>
      <c r="R99" s="154">
        <v>360.348411</v>
      </c>
      <c r="S99" s="154">
        <v>384.51034099999998</v>
      </c>
      <c r="T99" s="154">
        <v>424.92352799999998</v>
      </c>
      <c r="U99" s="154">
        <v>523.67846499999996</v>
      </c>
      <c r="V99" s="154">
        <v>550.61610099999996</v>
      </c>
      <c r="W99" s="154">
        <v>469.789467</v>
      </c>
      <c r="X99" s="154">
        <v>383.31213100000002</v>
      </c>
      <c r="Y99" s="154">
        <v>137.54211000000001</v>
      </c>
    </row>
    <row r="100" spans="1:25">
      <c r="A100" s="221"/>
      <c r="B100" s="148" t="s">
        <v>26</v>
      </c>
      <c r="C100" s="151">
        <v>96.651403000000002</v>
      </c>
      <c r="D100" s="151">
        <v>64.562011999999996</v>
      </c>
      <c r="E100" s="151">
        <v>78.352012000000002</v>
      </c>
      <c r="F100" s="151">
        <v>57.072946000000002</v>
      </c>
      <c r="G100" s="151">
        <v>75.027427000000003</v>
      </c>
      <c r="H100" s="151">
        <v>114.23341499999999</v>
      </c>
      <c r="I100" s="151">
        <v>155.21145899999999</v>
      </c>
      <c r="J100" s="151">
        <v>166.87624500000001</v>
      </c>
      <c r="K100" s="151">
        <v>116.104623</v>
      </c>
      <c r="L100" s="151">
        <v>93.286300999999995</v>
      </c>
      <c r="M100" s="151">
        <v>70.161934000000002</v>
      </c>
      <c r="N100" s="151">
        <v>91.766864999999996</v>
      </c>
      <c r="O100" s="151">
        <v>86.203828999999999</v>
      </c>
      <c r="P100" s="151">
        <v>99.993398999999997</v>
      </c>
      <c r="Q100" s="151">
        <v>89.996875000000003</v>
      </c>
      <c r="R100" s="151">
        <v>66.467519999999993</v>
      </c>
      <c r="S100" s="151">
        <v>89.565090999999995</v>
      </c>
      <c r="T100" s="151">
        <v>108.62363499999999</v>
      </c>
      <c r="U100" s="151">
        <v>161.79160300000001</v>
      </c>
      <c r="V100" s="151">
        <v>153.133589</v>
      </c>
      <c r="W100" s="151">
        <v>107.931268</v>
      </c>
      <c r="X100" s="151">
        <v>92.007576999999998</v>
      </c>
      <c r="Y100" s="151">
        <v>25.4206</v>
      </c>
    </row>
    <row r="101" spans="1:25">
      <c r="A101" s="222"/>
      <c r="B101" s="153" t="s">
        <v>106</v>
      </c>
      <c r="C101" s="154">
        <v>477.38040000000001</v>
      </c>
      <c r="D101" s="154">
        <v>395.60540099999997</v>
      </c>
      <c r="E101" s="154">
        <v>408.891796</v>
      </c>
      <c r="F101" s="154">
        <v>415.20295700000003</v>
      </c>
      <c r="G101" s="154">
        <v>482.22985899999998</v>
      </c>
      <c r="H101" s="154">
        <v>578.28193499999998</v>
      </c>
      <c r="I101" s="154">
        <v>677.70385499999998</v>
      </c>
      <c r="J101" s="154">
        <v>706.66175199999998</v>
      </c>
      <c r="K101" s="154">
        <v>536.76792599999999</v>
      </c>
      <c r="L101" s="154">
        <v>475.04343799999998</v>
      </c>
      <c r="M101" s="154">
        <v>403.689187</v>
      </c>
      <c r="N101" s="154">
        <v>458.95751000000001</v>
      </c>
      <c r="O101" s="154">
        <v>436.54824000000002</v>
      </c>
      <c r="P101" s="154">
        <v>457.59121900000002</v>
      </c>
      <c r="Q101" s="154">
        <v>461.71635500000002</v>
      </c>
      <c r="R101" s="154">
        <v>426.81593099999998</v>
      </c>
      <c r="S101" s="154">
        <v>474.07543199999998</v>
      </c>
      <c r="T101" s="154">
        <v>533.54716299999995</v>
      </c>
      <c r="U101" s="154">
        <v>685.47006799999997</v>
      </c>
      <c r="V101" s="154">
        <v>703.74968999999999</v>
      </c>
      <c r="W101" s="154">
        <v>577.72073499999999</v>
      </c>
      <c r="X101" s="154">
        <v>475.31970799999999</v>
      </c>
      <c r="Y101" s="154">
        <v>162.96270999999999</v>
      </c>
    </row>
    <row r="102" spans="1:25">
      <c r="A102" s="220" t="s">
        <v>68</v>
      </c>
      <c r="B102" s="148" t="s">
        <v>17</v>
      </c>
      <c r="C102" s="151">
        <v>0.26254499999999997</v>
      </c>
      <c r="D102" s="151">
        <v>0.23710999999999999</v>
      </c>
      <c r="E102" s="151">
        <v>0.26347900000000002</v>
      </c>
      <c r="F102" s="151">
        <v>0.26003300000000001</v>
      </c>
      <c r="G102" s="151">
        <v>0.269847</v>
      </c>
      <c r="H102" s="151">
        <v>0.270343</v>
      </c>
      <c r="I102" s="151">
        <v>0.27507100000000001</v>
      </c>
      <c r="J102" s="151">
        <v>0.28712300000000002</v>
      </c>
      <c r="K102" s="151">
        <v>0.26760699999999998</v>
      </c>
      <c r="L102" s="151">
        <v>0.29359800000000003</v>
      </c>
      <c r="M102" s="151">
        <v>0.27379399999999998</v>
      </c>
      <c r="N102" s="151">
        <v>0.31142900000000001</v>
      </c>
      <c r="O102" s="151">
        <v>0.27943200000000001</v>
      </c>
      <c r="P102" s="151">
        <v>3.4173000000000002E-2</v>
      </c>
      <c r="Q102" s="151">
        <v>0.309946</v>
      </c>
      <c r="R102" s="151">
        <v>0.27612300000000001</v>
      </c>
      <c r="S102" s="151">
        <v>0.308334</v>
      </c>
      <c r="T102" s="151">
        <v>0.29448200000000002</v>
      </c>
      <c r="U102" s="151">
        <v>0.29559600000000003</v>
      </c>
      <c r="V102" s="151">
        <v>0.30764000000000002</v>
      </c>
      <c r="W102" s="151">
        <v>0.28839900000000002</v>
      </c>
      <c r="X102" s="151">
        <v>0.29697000000000001</v>
      </c>
      <c r="Y102" s="151">
        <v>1.293976</v>
      </c>
    </row>
    <row r="103" spans="1:25">
      <c r="A103" s="221"/>
      <c r="B103" s="148" t="s">
        <v>105</v>
      </c>
      <c r="C103" s="151">
        <v>187.922753</v>
      </c>
      <c r="D103" s="151">
        <v>166.13077100000001</v>
      </c>
      <c r="E103" s="151">
        <v>180.37427199999999</v>
      </c>
      <c r="F103" s="151">
        <v>182.19618500000001</v>
      </c>
      <c r="G103" s="151">
        <v>187.54767899999999</v>
      </c>
      <c r="H103" s="151">
        <v>177.47377599999999</v>
      </c>
      <c r="I103" s="151">
        <v>188.916955</v>
      </c>
      <c r="J103" s="151">
        <v>204.829048</v>
      </c>
      <c r="K103" s="151">
        <v>190.37436199999999</v>
      </c>
      <c r="L103" s="151">
        <v>205.56642600000001</v>
      </c>
      <c r="M103" s="151">
        <v>185.76450299999999</v>
      </c>
      <c r="N103" s="151">
        <v>185.227498</v>
      </c>
      <c r="O103" s="151">
        <v>184.470955</v>
      </c>
      <c r="P103" s="151">
        <v>165.51885899999999</v>
      </c>
      <c r="Q103" s="151">
        <v>176.17658599999999</v>
      </c>
      <c r="R103" s="151">
        <v>171.46459999999999</v>
      </c>
      <c r="S103" s="151">
        <v>172.14836700000001</v>
      </c>
      <c r="T103" s="151">
        <v>162.83670599999999</v>
      </c>
      <c r="U103" s="151">
        <v>173.812749</v>
      </c>
      <c r="V103" s="151">
        <v>196.43005099999999</v>
      </c>
      <c r="W103" s="151">
        <v>187.12256099999999</v>
      </c>
      <c r="X103" s="151">
        <v>190.675118</v>
      </c>
      <c r="Y103" s="151">
        <v>65.584248000000002</v>
      </c>
    </row>
    <row r="104" spans="1:25">
      <c r="A104" s="221"/>
      <c r="B104" s="148" t="s">
        <v>14</v>
      </c>
      <c r="C104" s="151">
        <v>31.081890000000001</v>
      </c>
      <c r="D104" s="151">
        <v>23.292124999999999</v>
      </c>
      <c r="E104" s="151">
        <v>24.710709000000001</v>
      </c>
      <c r="F104" s="151">
        <v>18.531559000000001</v>
      </c>
      <c r="G104" s="151">
        <v>23.627002000000001</v>
      </c>
      <c r="H104" s="151">
        <v>23.084350000000001</v>
      </c>
      <c r="I104" s="151">
        <v>28.038435</v>
      </c>
      <c r="J104" s="151">
        <v>28.412151999999999</v>
      </c>
      <c r="K104" s="151">
        <v>32.016894000000001</v>
      </c>
      <c r="L104" s="151">
        <v>30.160978</v>
      </c>
      <c r="M104" s="151">
        <v>25.835671000000001</v>
      </c>
      <c r="N104" s="151">
        <v>25.553940999999998</v>
      </c>
      <c r="O104" s="151">
        <v>27.249141000000002</v>
      </c>
      <c r="P104" s="151">
        <v>24.751363999999999</v>
      </c>
      <c r="Q104" s="151">
        <v>19.300775999999999</v>
      </c>
      <c r="R104" s="151">
        <v>22.020657</v>
      </c>
      <c r="S104" s="151">
        <v>27.236414</v>
      </c>
      <c r="T104" s="151">
        <v>24.035202999999999</v>
      </c>
      <c r="U104" s="151">
        <v>19.071615000000001</v>
      </c>
      <c r="V104" s="151">
        <v>22.472683</v>
      </c>
      <c r="W104" s="151">
        <v>28.508217999999999</v>
      </c>
      <c r="X104" s="151">
        <v>25.162983000000001</v>
      </c>
      <c r="Y104" s="151">
        <v>7.8682530000000002</v>
      </c>
    </row>
    <row r="105" spans="1:25">
      <c r="A105" s="221"/>
      <c r="B105" s="148" t="s">
        <v>13</v>
      </c>
      <c r="C105" s="151">
        <v>210.591342</v>
      </c>
      <c r="D105" s="151">
        <v>197.52839900000001</v>
      </c>
      <c r="E105" s="151">
        <v>217.664061</v>
      </c>
      <c r="F105" s="151">
        <v>240.11647099999999</v>
      </c>
      <c r="G105" s="151">
        <v>210.57984200000001</v>
      </c>
      <c r="H105" s="151">
        <v>245.173496</v>
      </c>
      <c r="I105" s="151">
        <v>239.51329699999999</v>
      </c>
      <c r="J105" s="151">
        <v>236.212208</v>
      </c>
      <c r="K105" s="151">
        <v>220.94987</v>
      </c>
      <c r="L105" s="151">
        <v>221.962174</v>
      </c>
      <c r="M105" s="151">
        <v>208.836062</v>
      </c>
      <c r="N105" s="151">
        <v>225.266628</v>
      </c>
      <c r="O105" s="151">
        <v>230.384784</v>
      </c>
      <c r="P105" s="151">
        <v>210.40916100000001</v>
      </c>
      <c r="Q105" s="151">
        <v>195.20305200000001</v>
      </c>
      <c r="R105" s="151">
        <v>189.55861100000001</v>
      </c>
      <c r="S105" s="151">
        <v>186.40918600000001</v>
      </c>
      <c r="T105" s="151">
        <v>200.03084899999999</v>
      </c>
      <c r="U105" s="151">
        <v>206.69372799999999</v>
      </c>
      <c r="V105" s="151">
        <v>214.943949</v>
      </c>
      <c r="W105" s="151">
        <v>188.605344</v>
      </c>
      <c r="X105" s="151">
        <v>201.924623</v>
      </c>
      <c r="Y105" s="151">
        <v>82.692338000000007</v>
      </c>
    </row>
    <row r="106" spans="1:25">
      <c r="A106" s="221"/>
      <c r="B106" s="148" t="s">
        <v>30</v>
      </c>
      <c r="C106" s="151">
        <v>280.53910300000001</v>
      </c>
      <c r="D106" s="151">
        <v>234.19779800000001</v>
      </c>
      <c r="E106" s="151">
        <v>249.09716700000001</v>
      </c>
      <c r="F106" s="151">
        <v>218.37024</v>
      </c>
      <c r="G106" s="151">
        <v>253.928912</v>
      </c>
      <c r="H106" s="151">
        <v>213.37341799999999</v>
      </c>
      <c r="I106" s="151">
        <v>229.73941199999999</v>
      </c>
      <c r="J106" s="151">
        <v>259.87786899999998</v>
      </c>
      <c r="K106" s="151">
        <v>234.654515</v>
      </c>
      <c r="L106" s="151">
        <v>288.99075399999998</v>
      </c>
      <c r="M106" s="151">
        <v>280.93736200000001</v>
      </c>
      <c r="N106" s="151">
        <v>253.67039800000001</v>
      </c>
      <c r="O106" s="151">
        <v>233.901625</v>
      </c>
      <c r="P106" s="151">
        <v>215.21677199999999</v>
      </c>
      <c r="Q106" s="151">
        <v>260.839181</v>
      </c>
      <c r="R106" s="151">
        <v>246.337683</v>
      </c>
      <c r="S106" s="151">
        <v>248.61678900000001</v>
      </c>
      <c r="T106" s="151">
        <v>234.94823600000001</v>
      </c>
      <c r="U106" s="151">
        <v>230.14559600000001</v>
      </c>
      <c r="V106" s="151">
        <v>251.789052</v>
      </c>
      <c r="W106" s="151">
        <v>281.47467399999999</v>
      </c>
      <c r="X106" s="151">
        <v>317.069143</v>
      </c>
      <c r="Y106" s="151">
        <v>103.967736</v>
      </c>
    </row>
    <row r="107" spans="1:25">
      <c r="A107" s="221"/>
      <c r="B107" s="148" t="s">
        <v>9</v>
      </c>
      <c r="C107" s="151">
        <v>1.0689709999999999</v>
      </c>
      <c r="D107" s="151">
        <v>1.4358500000000001</v>
      </c>
      <c r="E107" s="151">
        <v>2.122233</v>
      </c>
      <c r="F107" s="151">
        <v>0.96850400000000003</v>
      </c>
      <c r="G107" s="151">
        <v>1.4751179999999999</v>
      </c>
      <c r="H107" s="151">
        <v>2.2178059999999999</v>
      </c>
      <c r="I107" s="151">
        <v>3.1090070000000001</v>
      </c>
      <c r="J107" s="151">
        <v>2.4503080000000002</v>
      </c>
      <c r="K107" s="151">
        <v>2.3371379999999999</v>
      </c>
      <c r="L107" s="151">
        <v>0.97127600000000003</v>
      </c>
      <c r="M107" s="151">
        <v>0.790825</v>
      </c>
      <c r="N107" s="151">
        <v>1.2860210000000001</v>
      </c>
      <c r="O107" s="151">
        <v>2.2577669999999999</v>
      </c>
      <c r="P107" s="151">
        <v>1.754305</v>
      </c>
      <c r="Q107" s="151">
        <v>1.5995220000000001</v>
      </c>
      <c r="R107" s="151">
        <v>2.2626460000000002</v>
      </c>
      <c r="S107" s="151">
        <v>2.0342030000000002</v>
      </c>
      <c r="T107" s="151">
        <v>2.3218040000000002</v>
      </c>
      <c r="U107" s="151">
        <v>3.7162829999999998</v>
      </c>
      <c r="V107" s="151">
        <v>2.859321</v>
      </c>
      <c r="W107" s="151">
        <v>2.165861</v>
      </c>
      <c r="X107" s="151">
        <v>0.87331099999999995</v>
      </c>
      <c r="Y107" s="151">
        <v>0.59389800000000004</v>
      </c>
    </row>
    <row r="108" spans="1:25">
      <c r="A108" s="221"/>
      <c r="B108" s="148" t="s">
        <v>8</v>
      </c>
      <c r="C108" s="151">
        <v>15.11534</v>
      </c>
      <c r="D108" s="151">
        <v>22.68648</v>
      </c>
      <c r="E108" s="151">
        <v>36.303305000000002</v>
      </c>
      <c r="F108" s="151">
        <v>18.569133000000001</v>
      </c>
      <c r="G108" s="151">
        <v>25.519845</v>
      </c>
      <c r="H108" s="151">
        <v>40.162351999999998</v>
      </c>
      <c r="I108" s="151">
        <v>50.390070000000001</v>
      </c>
      <c r="J108" s="151">
        <v>47.397181000000003</v>
      </c>
      <c r="K108" s="151">
        <v>54.609197000000002</v>
      </c>
      <c r="L108" s="151">
        <v>21.330209</v>
      </c>
      <c r="M108" s="151">
        <v>24.032088999999999</v>
      </c>
      <c r="N108" s="151">
        <v>39.810132000000003</v>
      </c>
      <c r="O108" s="151">
        <v>56.908338999999998</v>
      </c>
      <c r="P108" s="151">
        <v>46.207472000000003</v>
      </c>
      <c r="Q108" s="151">
        <v>50.516177999999996</v>
      </c>
      <c r="R108" s="151">
        <v>45.548924999999997</v>
      </c>
      <c r="S108" s="151">
        <v>55.351942000000001</v>
      </c>
      <c r="T108" s="151">
        <v>56.421117000000002</v>
      </c>
      <c r="U108" s="151">
        <v>95.158366999999998</v>
      </c>
      <c r="V108" s="151">
        <v>65.077771999999996</v>
      </c>
      <c r="W108" s="151">
        <v>51.688220999999999</v>
      </c>
      <c r="X108" s="151">
        <v>22.335968000000001</v>
      </c>
      <c r="Y108" s="151">
        <v>20.287272000000002</v>
      </c>
    </row>
    <row r="109" spans="1:25">
      <c r="A109" s="221"/>
      <c r="B109" s="148" t="s">
        <v>7</v>
      </c>
      <c r="C109" s="151">
        <v>18.013853000000001</v>
      </c>
      <c r="D109" s="151">
        <v>18.975393</v>
      </c>
      <c r="E109" s="151">
        <v>25.348941</v>
      </c>
      <c r="F109" s="151">
        <v>25.780479</v>
      </c>
      <c r="G109" s="151">
        <v>25.230681000000001</v>
      </c>
      <c r="H109" s="151">
        <v>27.578364000000001</v>
      </c>
      <c r="I109" s="151">
        <v>29.027197999999999</v>
      </c>
      <c r="J109" s="151">
        <v>26.916004000000001</v>
      </c>
      <c r="K109" s="151">
        <v>22.973413999999998</v>
      </c>
      <c r="L109" s="151">
        <v>19.754670999999998</v>
      </c>
      <c r="M109" s="151">
        <v>16.487777000000001</v>
      </c>
      <c r="N109" s="151">
        <v>17.53989</v>
      </c>
      <c r="O109" s="151">
        <v>19.063385</v>
      </c>
      <c r="P109" s="151">
        <v>17.866654</v>
      </c>
      <c r="Q109" s="151">
        <v>25.105015000000002</v>
      </c>
      <c r="R109" s="151">
        <v>25.190729999999999</v>
      </c>
      <c r="S109" s="151">
        <v>23.051193999999999</v>
      </c>
      <c r="T109" s="151">
        <v>25.992826000000001</v>
      </c>
      <c r="U109" s="151">
        <v>29.45045</v>
      </c>
      <c r="V109" s="151">
        <v>27.841747000000002</v>
      </c>
      <c r="W109" s="151">
        <v>24.190496</v>
      </c>
      <c r="X109" s="151">
        <v>19.456084000000001</v>
      </c>
      <c r="Y109" s="151">
        <v>4.4151429999999996</v>
      </c>
    </row>
    <row r="110" spans="1:25">
      <c r="A110" s="221"/>
      <c r="B110" s="148" t="s">
        <v>27</v>
      </c>
      <c r="C110" s="151">
        <v>0.81143100000000001</v>
      </c>
      <c r="D110" s="151">
        <v>0.72024999999999995</v>
      </c>
      <c r="E110" s="151">
        <v>0.83073600000000003</v>
      </c>
      <c r="F110" s="151">
        <v>0.83552000000000004</v>
      </c>
      <c r="G110" s="151">
        <v>0.81343200000000004</v>
      </c>
      <c r="H110" s="151">
        <v>0.82317799999999997</v>
      </c>
      <c r="I110" s="151">
        <v>0.83051900000000001</v>
      </c>
      <c r="J110" s="151">
        <v>0.68152599999999997</v>
      </c>
      <c r="K110" s="151">
        <v>0.80231300000000005</v>
      </c>
      <c r="L110" s="151">
        <v>0.83137799999999995</v>
      </c>
      <c r="M110" s="151">
        <v>0.80323999999999995</v>
      </c>
      <c r="N110" s="151">
        <v>0.78173599999999999</v>
      </c>
      <c r="O110" s="151">
        <v>0.76242299999999996</v>
      </c>
      <c r="P110" s="151">
        <v>0.64657299999999995</v>
      </c>
      <c r="Q110" s="151">
        <v>0.83729399999999998</v>
      </c>
      <c r="R110" s="151">
        <v>0.53889699999999996</v>
      </c>
      <c r="S110" s="151">
        <v>0.75060099999999996</v>
      </c>
      <c r="T110" s="151">
        <v>0.53101500000000001</v>
      </c>
      <c r="U110" s="151">
        <v>0.70239399999999996</v>
      </c>
      <c r="V110" s="151">
        <v>0.81645199999999996</v>
      </c>
      <c r="W110" s="151">
        <v>0.78290899999999997</v>
      </c>
      <c r="X110" s="151">
        <v>0.813334</v>
      </c>
      <c r="Y110" s="151">
        <v>0.207674</v>
      </c>
    </row>
    <row r="111" spans="1:25">
      <c r="A111" s="221"/>
      <c r="B111" s="153" t="s">
        <v>5</v>
      </c>
      <c r="C111" s="154">
        <v>745.40722800000003</v>
      </c>
      <c r="D111" s="154">
        <v>665.20417599999996</v>
      </c>
      <c r="E111" s="154">
        <v>736.71490300000005</v>
      </c>
      <c r="F111" s="154">
        <v>705.62812399999996</v>
      </c>
      <c r="G111" s="154">
        <v>728.99235799999997</v>
      </c>
      <c r="H111" s="154">
        <v>730.15708299999994</v>
      </c>
      <c r="I111" s="154">
        <v>769.83996400000001</v>
      </c>
      <c r="J111" s="154">
        <v>807.06341899999995</v>
      </c>
      <c r="K111" s="154">
        <v>758.98531000000003</v>
      </c>
      <c r="L111" s="154">
        <v>789.86146399999996</v>
      </c>
      <c r="M111" s="154">
        <v>743.76132299999995</v>
      </c>
      <c r="N111" s="154">
        <v>749.44767300000001</v>
      </c>
      <c r="O111" s="154">
        <v>755.27785100000006</v>
      </c>
      <c r="P111" s="154">
        <v>682.40533300000004</v>
      </c>
      <c r="Q111" s="154">
        <v>729.88755000000003</v>
      </c>
      <c r="R111" s="154">
        <v>703.19887200000005</v>
      </c>
      <c r="S111" s="154">
        <v>715.90702999999996</v>
      </c>
      <c r="T111" s="154">
        <v>707.412238</v>
      </c>
      <c r="U111" s="154">
        <v>759.04677800000002</v>
      </c>
      <c r="V111" s="154">
        <v>782.53866700000003</v>
      </c>
      <c r="W111" s="154">
        <v>764.826683</v>
      </c>
      <c r="X111" s="154">
        <v>778.60753399999999</v>
      </c>
      <c r="Y111" s="154">
        <v>286.91053799999997</v>
      </c>
    </row>
    <row r="112" spans="1:25">
      <c r="A112" s="222"/>
      <c r="B112" s="153" t="s">
        <v>106</v>
      </c>
      <c r="C112" s="154">
        <v>745.40722800000003</v>
      </c>
      <c r="D112" s="154">
        <v>665.20417599999996</v>
      </c>
      <c r="E112" s="154">
        <v>736.71490300000005</v>
      </c>
      <c r="F112" s="154">
        <v>705.62812399999996</v>
      </c>
      <c r="G112" s="154">
        <v>728.99235799999997</v>
      </c>
      <c r="H112" s="154">
        <v>730.15708299999994</v>
      </c>
      <c r="I112" s="154">
        <v>769.83996400000001</v>
      </c>
      <c r="J112" s="154">
        <v>807.06341899999995</v>
      </c>
      <c r="K112" s="154">
        <v>758.98531000000003</v>
      </c>
      <c r="L112" s="154">
        <v>789.86146399999996</v>
      </c>
      <c r="M112" s="154">
        <v>743.76132299999995</v>
      </c>
      <c r="N112" s="154">
        <v>749.44767300000001</v>
      </c>
      <c r="O112" s="154">
        <v>755.27785100000006</v>
      </c>
      <c r="P112" s="154">
        <v>682.40533300000004</v>
      </c>
      <c r="Q112" s="154">
        <v>729.88755000000003</v>
      </c>
      <c r="R112" s="154">
        <v>703.19887200000005</v>
      </c>
      <c r="S112" s="154">
        <v>715.90702999999996</v>
      </c>
      <c r="T112" s="154">
        <v>707.412238</v>
      </c>
      <c r="U112" s="154">
        <v>759.04677800000002</v>
      </c>
      <c r="V112" s="154">
        <v>782.53866700000003</v>
      </c>
      <c r="W112" s="154">
        <v>764.826683</v>
      </c>
      <c r="X112" s="154">
        <v>778.60753399999999</v>
      </c>
      <c r="Y112" s="154">
        <v>286.91053799999997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8" t="s">
        <v>96</v>
      </c>
      <c r="C117" s="124" t="str">
        <f>TEXT(EDATE(D117,-1),"mmmm aaaa")</f>
        <v>octubre 2017</v>
      </c>
      <c r="D117" s="124" t="str">
        <f t="shared" ref="D117:M117" si="3">TEXT(EDATE(E117,-1),"mmmm aaaa")</f>
        <v>noviembre 2017</v>
      </c>
      <c r="E117" s="124" t="str">
        <f t="shared" si="3"/>
        <v>diciembre 2017</v>
      </c>
      <c r="F117" s="124" t="str">
        <f t="shared" si="3"/>
        <v>enero 2018</v>
      </c>
      <c r="G117" s="124" t="str">
        <f t="shared" si="3"/>
        <v>febrero 2018</v>
      </c>
      <c r="H117" s="124" t="str">
        <f t="shared" si="3"/>
        <v>marzo 2018</v>
      </c>
      <c r="I117" s="124" t="str">
        <f t="shared" si="3"/>
        <v>abril 2018</v>
      </c>
      <c r="J117" s="124" t="str">
        <f t="shared" si="3"/>
        <v>mayo 2018</v>
      </c>
      <c r="K117" s="124" t="str">
        <f t="shared" si="3"/>
        <v>junio 2018</v>
      </c>
      <c r="L117" s="124" t="str">
        <f t="shared" si="3"/>
        <v>julio 2018</v>
      </c>
      <c r="M117" s="124" t="str">
        <f t="shared" si="3"/>
        <v>agosto 2018</v>
      </c>
      <c r="N117" s="124" t="str">
        <f>TEXT(EDATE(O117,-1),"mmmm aaaa")</f>
        <v>septiembre 2018</v>
      </c>
      <c r="O117" s="125" t="str">
        <f>A2</f>
        <v>Octubre 2018</v>
      </c>
    </row>
    <row r="118" spans="1:19">
      <c r="B118" s="219"/>
      <c r="C118" s="135" t="str">
        <f>TEXT(EDATE($A$2,-12),"mmm")&amp;".-"&amp;TEXT(EDATE($A$2,-12),"aa")</f>
        <v>oct.-17</v>
      </c>
      <c r="D118" s="135" t="str">
        <f>TEXT(EDATE($A$2,-11),"mmm")&amp;".-"&amp;TEXT(EDATE($A$2,-11),"aa")</f>
        <v>nov.-17</v>
      </c>
      <c r="E118" s="135" t="str">
        <f>TEXT(EDATE($A$2,-10),"mmm")&amp;".-"&amp;TEXT(EDATE($A$2,-10),"aa")</f>
        <v>dic.-17</v>
      </c>
      <c r="F118" s="135" t="str">
        <f>TEXT(EDATE($A$2,-9),"mmm")&amp;".-"&amp;TEXT(EDATE($A$2,-9),"aa")</f>
        <v>ene.-18</v>
      </c>
      <c r="G118" s="135" t="str">
        <f>TEXT(EDATE($A$2,-8),"mmm")&amp;".-"&amp;TEXT(EDATE($A$2,-8),"aa")</f>
        <v>feb.-18</v>
      </c>
      <c r="H118" s="135" t="str">
        <f>TEXT(EDATE($A$2,-7),"mmm")&amp;".-"&amp;TEXT(EDATE($A$2,-7),"aa")</f>
        <v>mar.-18</v>
      </c>
      <c r="I118" s="135" t="str">
        <f>TEXT(EDATE($A$2,-6),"mmm")&amp;".-"&amp;TEXT(EDATE($A$2,-6),"aa")</f>
        <v>abr.-18</v>
      </c>
      <c r="J118" s="135" t="str">
        <f>TEXT(EDATE($A$2,-5),"mmm")&amp;".-"&amp;TEXT(EDATE($A$2,-5),"aa")</f>
        <v>may.-18</v>
      </c>
      <c r="K118" s="135" t="str">
        <f>TEXT(EDATE($A$2,-4),"mmm")&amp;".-"&amp;TEXT(EDATE($A$2,-4),"aa")</f>
        <v>jun.-18</v>
      </c>
      <c r="L118" s="135" t="str">
        <f>TEXT(EDATE($A$2,-3),"mmm")&amp;".-"&amp;TEXT(EDATE($A$2,-3),"aa")</f>
        <v>jul.-18</v>
      </c>
      <c r="M118" s="135" t="str">
        <f>TEXT(EDATE($A$2,-2),"mmm")&amp;".-"&amp;TEXT(EDATE($A$2,-2),"aa")</f>
        <v>ago.-18</v>
      </c>
      <c r="N118" s="135" t="str">
        <f>TEXT(EDATE($A$2,-1),"mmm")&amp;".-"&amp;TEXT(EDATE($A$2,-1),"aa")</f>
        <v>sep.-18</v>
      </c>
      <c r="O118" s="164" t="str">
        <f>TEXT($A$2,"mmm")&amp;".-"&amp;TEXT($A$2,"aa")</f>
        <v>oct.-18</v>
      </c>
    </row>
    <row r="119" spans="1:19">
      <c r="A119" s="215" t="s">
        <v>99</v>
      </c>
      <c r="B119" s="136" t="s">
        <v>16</v>
      </c>
      <c r="C119" s="137">
        <f>HLOOKUP(C$117,$86:$101,3,FALSE)</f>
        <v>196.316934</v>
      </c>
      <c r="D119" s="137">
        <f t="shared" ref="D119:O119" si="4">HLOOKUP(D$117,$86:$101,3,FALSE)</f>
        <v>152.281554</v>
      </c>
      <c r="E119" s="137">
        <f t="shared" si="4"/>
        <v>204.11071200000001</v>
      </c>
      <c r="F119" s="137">
        <f t="shared" si="4"/>
        <v>198.55502899999999</v>
      </c>
      <c r="G119" s="137">
        <f t="shared" si="4"/>
        <v>192.79493400000001</v>
      </c>
      <c r="H119" s="137">
        <f t="shared" si="4"/>
        <v>199.82157000000001</v>
      </c>
      <c r="I119" s="137">
        <f t="shared" si="4"/>
        <v>183.05622099999999</v>
      </c>
      <c r="J119" s="137">
        <f t="shared" si="4"/>
        <v>185.327823</v>
      </c>
      <c r="K119" s="137">
        <f t="shared" si="4"/>
        <v>204.87973099999999</v>
      </c>
      <c r="L119" s="137">
        <f t="shared" si="4"/>
        <v>242.068479</v>
      </c>
      <c r="M119" s="137">
        <f t="shared" si="4"/>
        <v>257.31310999999999</v>
      </c>
      <c r="N119" s="137">
        <f t="shared" si="4"/>
        <v>250.63039499999999</v>
      </c>
      <c r="O119" s="138">
        <f t="shared" si="4"/>
        <v>186.34634299999999</v>
      </c>
    </row>
    <row r="120" spans="1:19">
      <c r="A120" s="216"/>
      <c r="B120" s="126" t="s">
        <v>15</v>
      </c>
      <c r="C120" s="120">
        <f>HLOOKUP(C$117,$86:$101,4,FALSE)</f>
        <v>26.871200999999999</v>
      </c>
      <c r="D120" s="120">
        <f t="shared" ref="D120:O120" si="5">HLOOKUP(D$117,$86:$101,4,FALSE)</f>
        <v>24.992986999999999</v>
      </c>
      <c r="E120" s="120">
        <f t="shared" si="5"/>
        <v>32.782640999999998</v>
      </c>
      <c r="F120" s="120">
        <f t="shared" si="5"/>
        <v>35.080182000000001</v>
      </c>
      <c r="G120" s="120">
        <f t="shared" si="5"/>
        <v>38.969616000000002</v>
      </c>
      <c r="H120" s="120">
        <f t="shared" si="5"/>
        <v>35.928452</v>
      </c>
      <c r="I120" s="120">
        <f t="shared" si="5"/>
        <v>37.207234999999997</v>
      </c>
      <c r="J120" s="120">
        <f t="shared" si="5"/>
        <v>51.279922999999997</v>
      </c>
      <c r="K120" s="120">
        <f t="shared" si="5"/>
        <v>59.423205000000003</v>
      </c>
      <c r="L120" s="120">
        <f t="shared" si="5"/>
        <v>82.636359999999996</v>
      </c>
      <c r="M120" s="120">
        <f t="shared" si="5"/>
        <v>89.525766000000004</v>
      </c>
      <c r="N120" s="120">
        <f t="shared" si="5"/>
        <v>72.079989999999995</v>
      </c>
      <c r="O120" s="138">
        <f t="shared" si="5"/>
        <v>57.770246999999998</v>
      </c>
    </row>
    <row r="121" spans="1:19">
      <c r="A121" s="216"/>
      <c r="B121" s="126" t="s">
        <v>14</v>
      </c>
      <c r="C121" s="120">
        <f>HLOOKUP(C$117,$86:$101,5,FALSE)</f>
        <v>75.211866000000001</v>
      </c>
      <c r="D121" s="120">
        <f t="shared" ref="D121:O121" si="6">HLOOKUP(D$117,$86:$101,5,FALSE)</f>
        <v>62.358716999999999</v>
      </c>
      <c r="E121" s="120">
        <f t="shared" si="6"/>
        <v>65.103538</v>
      </c>
      <c r="F121" s="120">
        <f t="shared" si="6"/>
        <v>59.852255999999997</v>
      </c>
      <c r="G121" s="120">
        <f t="shared" si="6"/>
        <v>59.882575000000003</v>
      </c>
      <c r="H121" s="120">
        <f t="shared" si="6"/>
        <v>61.051561</v>
      </c>
      <c r="I121" s="120">
        <f t="shared" si="6"/>
        <v>57.191896</v>
      </c>
      <c r="J121" s="120">
        <f t="shared" si="6"/>
        <v>66.096778</v>
      </c>
      <c r="K121" s="120">
        <f t="shared" si="6"/>
        <v>77.051412999999997</v>
      </c>
      <c r="L121" s="120">
        <f t="shared" si="6"/>
        <v>95.847725999999994</v>
      </c>
      <c r="M121" s="120">
        <f t="shared" si="6"/>
        <v>91.166568999999996</v>
      </c>
      <c r="N121" s="120">
        <f t="shared" si="6"/>
        <v>75.102127999999993</v>
      </c>
      <c r="O121" s="138">
        <f t="shared" si="6"/>
        <v>54.458812999999999</v>
      </c>
    </row>
    <row r="122" spans="1:19" ht="14.25">
      <c r="A122" s="216"/>
      <c r="B122" s="126" t="s">
        <v>97</v>
      </c>
      <c r="C122" s="120">
        <f>HLOOKUP(C$117,$86:$101,6,FALSE)</f>
        <v>40.379855999999997</v>
      </c>
      <c r="D122" s="120">
        <f t="shared" ref="D122:O122" si="7">HLOOKUP(D$117,$86:$101,6,FALSE)</f>
        <v>60.508705999999997</v>
      </c>
      <c r="E122" s="120">
        <f t="shared" si="7"/>
        <v>35.553646000000001</v>
      </c>
      <c r="F122" s="120">
        <f t="shared" si="7"/>
        <v>31.201087999999999</v>
      </c>
      <c r="G122" s="120">
        <f t="shared" si="7"/>
        <v>48.135339999999999</v>
      </c>
      <c r="H122" s="120">
        <f t="shared" si="7"/>
        <v>39.439261999999999</v>
      </c>
      <c r="I122" s="120">
        <f t="shared" si="7"/>
        <v>48.047037000000003</v>
      </c>
      <c r="J122" s="120">
        <f t="shared" si="7"/>
        <v>45.724513999999999</v>
      </c>
      <c r="K122" s="120">
        <f t="shared" si="7"/>
        <v>36.755218999999997</v>
      </c>
      <c r="L122" s="120">
        <f t="shared" si="7"/>
        <v>53.754595000000002</v>
      </c>
      <c r="M122" s="120">
        <f t="shared" si="7"/>
        <v>62.465704000000002</v>
      </c>
      <c r="N122" s="120">
        <f t="shared" si="7"/>
        <v>31.104752999999999</v>
      </c>
      <c r="O122" s="138">
        <f t="shared" si="7"/>
        <v>45.569164000000001</v>
      </c>
    </row>
    <row r="123" spans="1:19">
      <c r="A123" s="216"/>
      <c r="B123" s="126" t="s">
        <v>29</v>
      </c>
      <c r="C123" s="120">
        <f>HLOOKUP(C$117,$86:$101,7,FALSE)</f>
        <v>1.642048</v>
      </c>
      <c r="D123" s="120">
        <f t="shared" ref="D123:O123" si="8">HLOOKUP(D$117,$86:$101,7,FALSE)</f>
        <v>0</v>
      </c>
      <c r="E123" s="120">
        <f t="shared" si="8"/>
        <v>0</v>
      </c>
      <c r="F123" s="120">
        <f t="shared" si="8"/>
        <v>0</v>
      </c>
      <c r="G123" s="120">
        <f t="shared" si="8"/>
        <v>0</v>
      </c>
      <c r="H123" s="120">
        <f t="shared" si="8"/>
        <v>0</v>
      </c>
      <c r="I123" s="120">
        <f t="shared" si="8"/>
        <v>0</v>
      </c>
      <c r="J123" s="120">
        <f t="shared" si="8"/>
        <v>0.258189</v>
      </c>
      <c r="K123" s="120">
        <f t="shared" si="8"/>
        <v>1.4068510000000001</v>
      </c>
      <c r="L123" s="120">
        <f t="shared" si="8"/>
        <v>3.4087329999999998</v>
      </c>
      <c r="M123" s="120">
        <f t="shared" si="8"/>
        <v>5.1961240000000002</v>
      </c>
      <c r="N123" s="120">
        <f t="shared" si="8"/>
        <v>2.2653319999999999</v>
      </c>
      <c r="O123" s="138">
        <f t="shared" si="8"/>
        <v>0.27849499999999999</v>
      </c>
    </row>
    <row r="124" spans="1:19">
      <c r="A124" s="216"/>
      <c r="B124" s="126" t="s">
        <v>8</v>
      </c>
      <c r="C124" s="120">
        <f>HLOOKUP(C$117,$86:$102,8,FALSE)</f>
        <v>0.19457099999999999</v>
      </c>
      <c r="D124" s="120">
        <f t="shared" ref="D124:O124" si="9">HLOOKUP(D$117,$86:$102,8,FALSE)</f>
        <v>0.342941</v>
      </c>
      <c r="E124" s="120">
        <f t="shared" si="9"/>
        <v>0.382324</v>
      </c>
      <c r="F124" s="120">
        <f t="shared" si="9"/>
        <v>0.25263999999999998</v>
      </c>
      <c r="G124" s="120">
        <f t="shared" si="9"/>
        <v>0.32401200000000002</v>
      </c>
      <c r="H124" s="120">
        <f t="shared" si="9"/>
        <v>0.40592400000000001</v>
      </c>
      <c r="I124" s="120">
        <f t="shared" si="9"/>
        <v>0.28265000000000001</v>
      </c>
      <c r="J124" s="120">
        <f t="shared" si="9"/>
        <v>0.22889300000000001</v>
      </c>
      <c r="K124" s="120">
        <f t="shared" si="9"/>
        <v>0.138682</v>
      </c>
      <c r="L124" s="120">
        <f t="shared" si="9"/>
        <v>0.13932900000000001</v>
      </c>
      <c r="M124" s="120">
        <f t="shared" si="9"/>
        <v>0.19220799999999999</v>
      </c>
      <c r="N124" s="120">
        <f t="shared" si="9"/>
        <v>0.19817599999999999</v>
      </c>
      <c r="O124" s="138">
        <f t="shared" si="9"/>
        <v>0.620313</v>
      </c>
    </row>
    <row r="125" spans="1:19">
      <c r="A125" s="216"/>
      <c r="B125" s="126" t="s">
        <v>7</v>
      </c>
      <c r="C125" s="120">
        <f>HLOOKUP(C$117,$86:$102,9,FALSE)</f>
        <v>9.7189460000000008</v>
      </c>
      <c r="D125" s="120">
        <f t="shared" ref="D125:O125" si="10">HLOOKUP(D$117,$86:$102,9,FALSE)</f>
        <v>7.2582560000000003</v>
      </c>
      <c r="E125" s="120">
        <f t="shared" si="10"/>
        <v>5.556832</v>
      </c>
      <c r="F125" s="120">
        <f t="shared" si="10"/>
        <v>7.038017</v>
      </c>
      <c r="G125" s="120">
        <f t="shared" si="10"/>
        <v>5.3295399999999997</v>
      </c>
      <c r="H125" s="120">
        <f t="shared" si="10"/>
        <v>10.194158</v>
      </c>
      <c r="I125" s="120">
        <f t="shared" si="10"/>
        <v>11.476927999999999</v>
      </c>
      <c r="J125" s="120">
        <f t="shared" si="10"/>
        <v>11.838782</v>
      </c>
      <c r="K125" s="120">
        <f t="shared" si="10"/>
        <v>12.382847999999999</v>
      </c>
      <c r="L125" s="120">
        <f t="shared" si="10"/>
        <v>13.341704</v>
      </c>
      <c r="M125" s="120">
        <f t="shared" si="10"/>
        <v>11.261585</v>
      </c>
      <c r="N125" s="120">
        <f t="shared" si="10"/>
        <v>9.0458339999999993</v>
      </c>
      <c r="O125" s="138">
        <f t="shared" si="10"/>
        <v>7.8414849999999996</v>
      </c>
    </row>
    <row r="126" spans="1:19">
      <c r="A126" s="216"/>
      <c r="B126" s="127" t="s">
        <v>27</v>
      </c>
      <c r="C126" s="120">
        <f>HLOOKUP(C$117,$86:$102,10,FALSE)</f>
        <v>0.106123</v>
      </c>
      <c r="D126" s="120">
        <f t="shared" ref="D126:O126" si="11">HLOOKUP(D$117,$86:$102,10,FALSE)</f>
        <v>0.12698499999999999</v>
      </c>
      <c r="E126" s="120">
        <f t="shared" si="11"/>
        <v>0.136794</v>
      </c>
      <c r="F126" s="120">
        <f t="shared" si="11"/>
        <v>0.219363</v>
      </c>
      <c r="G126" s="120">
        <f t="shared" si="11"/>
        <v>0.16624</v>
      </c>
      <c r="H126" s="120">
        <f t="shared" si="11"/>
        <v>0.184165</v>
      </c>
      <c r="I126" s="120">
        <f t="shared" si="11"/>
        <v>0.130801</v>
      </c>
      <c r="J126" s="120">
        <f t="shared" si="11"/>
        <v>0.12767999999999999</v>
      </c>
      <c r="K126" s="120">
        <f t="shared" si="11"/>
        <v>0.110028</v>
      </c>
      <c r="L126" s="120">
        <f t="shared" si="11"/>
        <v>5.7736999999999997E-2</v>
      </c>
      <c r="M126" s="120">
        <f t="shared" si="11"/>
        <v>5.6852E-2</v>
      </c>
      <c r="N126" s="120">
        <f t="shared" si="11"/>
        <v>1.917E-2</v>
      </c>
      <c r="O126" s="138">
        <f t="shared" si="11"/>
        <v>6.0415000000000003E-2</v>
      </c>
    </row>
    <row r="127" spans="1:19">
      <c r="A127" s="216"/>
      <c r="B127" s="127" t="s">
        <v>28</v>
      </c>
      <c r="C127" s="120">
        <f>HLOOKUP(C$117,$86:$102,11,FALSE)</f>
        <v>3.3496130000000002</v>
      </c>
      <c r="D127" s="120">
        <f t="shared" ref="D127:O127" si="12">HLOOKUP(D$117,$86:$102,11,FALSE)</f>
        <v>3.098652</v>
      </c>
      <c r="E127" s="120">
        <f t="shared" si="12"/>
        <v>3.6001650000000001</v>
      </c>
      <c r="F127" s="120">
        <f t="shared" si="12"/>
        <v>3.1829869999999998</v>
      </c>
      <c r="G127" s="120">
        <f t="shared" si="12"/>
        <v>3.0836540000000001</v>
      </c>
      <c r="H127" s="120">
        <f t="shared" si="12"/>
        <v>2.2946849999999999</v>
      </c>
      <c r="I127" s="120">
        <f t="shared" si="12"/>
        <v>1.9821660000000001</v>
      </c>
      <c r="J127" s="120">
        <f t="shared" si="12"/>
        <v>2.5785749999999998</v>
      </c>
      <c r="K127" s="120">
        <f t="shared" si="12"/>
        <v>3.3572419999999998</v>
      </c>
      <c r="L127" s="120">
        <f t="shared" si="12"/>
        <v>3.5655640000000002</v>
      </c>
      <c r="M127" s="120">
        <f t="shared" si="12"/>
        <v>3.5154580000000002</v>
      </c>
      <c r="N127" s="120">
        <f t="shared" si="12"/>
        <v>2.43655</v>
      </c>
      <c r="O127" s="138">
        <f t="shared" si="12"/>
        <v>2.5715089999999998</v>
      </c>
    </row>
    <row r="128" spans="1:19">
      <c r="A128" s="216"/>
      <c r="B128" s="126" t="s">
        <v>62</v>
      </c>
      <c r="C128" s="120">
        <f t="shared" ref="C128:O128" si="13">HLOOKUP(C$117,$86:$102,13,FALSE)</f>
        <v>13.9829895</v>
      </c>
      <c r="D128" s="120">
        <f t="shared" si="13"/>
        <v>11.279227499999999</v>
      </c>
      <c r="E128" s="120">
        <f t="shared" si="13"/>
        <v>9.9819964999999993</v>
      </c>
      <c r="F128" s="120">
        <f t="shared" si="13"/>
        <v>7.4814245000000001</v>
      </c>
      <c r="G128" s="120">
        <f t="shared" si="13"/>
        <v>4.4559544999999998</v>
      </c>
      <c r="H128" s="120">
        <f t="shared" si="13"/>
        <v>11.199851499999999</v>
      </c>
      <c r="I128" s="120">
        <f t="shared" si="13"/>
        <v>10.4867385</v>
      </c>
      <c r="J128" s="120">
        <f t="shared" si="13"/>
        <v>10.524592</v>
      </c>
      <c r="K128" s="120">
        <f t="shared" si="13"/>
        <v>14.7091545</v>
      </c>
      <c r="L128" s="120">
        <f t="shared" si="13"/>
        <v>14.429119</v>
      </c>
      <c r="M128" s="120">
        <f t="shared" si="13"/>
        <v>14.9613625</v>
      </c>
      <c r="N128" s="120">
        <f t="shared" si="13"/>
        <v>13.4535695</v>
      </c>
      <c r="O128" s="138">
        <f t="shared" si="13"/>
        <v>13.8976735</v>
      </c>
    </row>
    <row r="129" spans="1:15">
      <c r="A129" s="216"/>
      <c r="B129" s="126" t="s">
        <v>61</v>
      </c>
      <c r="C129" s="120">
        <f>HLOOKUP(C$117,$86:$102,12,FALSE)</f>
        <v>13.9829895</v>
      </c>
      <c r="D129" s="120">
        <f t="shared" ref="D129:O129" si="14">HLOOKUP(D$117,$86:$102,12,FALSE)</f>
        <v>11.279227499999999</v>
      </c>
      <c r="E129" s="120">
        <f t="shared" si="14"/>
        <v>9.9819964999999993</v>
      </c>
      <c r="F129" s="120">
        <f t="shared" si="14"/>
        <v>7.4814245000000001</v>
      </c>
      <c r="G129" s="120">
        <f t="shared" si="14"/>
        <v>4.4559544999999998</v>
      </c>
      <c r="H129" s="120">
        <f t="shared" si="14"/>
        <v>11.199851499999999</v>
      </c>
      <c r="I129" s="120">
        <f t="shared" si="14"/>
        <v>10.4867385</v>
      </c>
      <c r="J129" s="120">
        <f t="shared" si="14"/>
        <v>10.524592</v>
      </c>
      <c r="K129" s="120">
        <f t="shared" si="14"/>
        <v>14.7091545</v>
      </c>
      <c r="L129" s="120">
        <f t="shared" si="14"/>
        <v>14.429119</v>
      </c>
      <c r="M129" s="120">
        <f t="shared" si="14"/>
        <v>14.9613625</v>
      </c>
      <c r="N129" s="120">
        <f t="shared" si="14"/>
        <v>13.4535695</v>
      </c>
      <c r="O129" s="138">
        <f t="shared" si="14"/>
        <v>13.8976735</v>
      </c>
    </row>
    <row r="130" spans="1:15">
      <c r="A130" s="216"/>
      <c r="B130" s="128" t="s">
        <v>5</v>
      </c>
      <c r="C130" s="129">
        <f>HLOOKUP(C$117,$86:$102,14,FALSE)</f>
        <v>381.757137</v>
      </c>
      <c r="D130" s="129">
        <f t="shared" ref="D130:O130" si="15">HLOOKUP(D$117,$86:$102,14,FALSE)</f>
        <v>333.52725299999997</v>
      </c>
      <c r="E130" s="129">
        <f t="shared" si="15"/>
        <v>367.19064500000002</v>
      </c>
      <c r="F130" s="129">
        <f t="shared" si="15"/>
        <v>350.34441099999998</v>
      </c>
      <c r="G130" s="129">
        <f t="shared" si="15"/>
        <v>357.59782000000001</v>
      </c>
      <c r="H130" s="129">
        <f t="shared" si="15"/>
        <v>371.71947999999998</v>
      </c>
      <c r="I130" s="129">
        <f t="shared" si="15"/>
        <v>360.348411</v>
      </c>
      <c r="J130" s="129">
        <f t="shared" si="15"/>
        <v>384.51034099999998</v>
      </c>
      <c r="K130" s="129">
        <f t="shared" si="15"/>
        <v>424.92352799999998</v>
      </c>
      <c r="L130" s="129">
        <f t="shared" si="15"/>
        <v>523.67846499999996</v>
      </c>
      <c r="M130" s="129">
        <f t="shared" si="15"/>
        <v>550.61610099999996</v>
      </c>
      <c r="N130" s="129">
        <f t="shared" si="15"/>
        <v>469.789467</v>
      </c>
      <c r="O130" s="139">
        <f t="shared" si="15"/>
        <v>383.31213100000002</v>
      </c>
    </row>
    <row r="131" spans="1:15">
      <c r="A131" s="216"/>
      <c r="B131" s="126" t="s">
        <v>26</v>
      </c>
      <c r="C131" s="130">
        <f>HLOOKUP(C$117,$86:$102,15,FALSE)</f>
        <v>93.286300999999995</v>
      </c>
      <c r="D131" s="130">
        <f t="shared" ref="D131:O131" si="16">HLOOKUP(D$117,$86:$102,15,FALSE)</f>
        <v>70.161934000000002</v>
      </c>
      <c r="E131" s="130">
        <f t="shared" si="16"/>
        <v>91.766864999999996</v>
      </c>
      <c r="F131" s="130">
        <f t="shared" si="16"/>
        <v>86.203828999999999</v>
      </c>
      <c r="G131" s="130">
        <f t="shared" si="16"/>
        <v>99.993398999999997</v>
      </c>
      <c r="H131" s="130">
        <f t="shared" si="16"/>
        <v>89.996875000000003</v>
      </c>
      <c r="I131" s="130">
        <f t="shared" si="16"/>
        <v>66.467519999999993</v>
      </c>
      <c r="J131" s="130">
        <f t="shared" si="16"/>
        <v>89.565090999999995</v>
      </c>
      <c r="K131" s="130">
        <f t="shared" si="16"/>
        <v>108.62363499999999</v>
      </c>
      <c r="L131" s="130">
        <f t="shared" si="16"/>
        <v>161.79160300000001</v>
      </c>
      <c r="M131" s="130">
        <f t="shared" si="16"/>
        <v>153.133589</v>
      </c>
      <c r="N131" s="130">
        <f t="shared" si="16"/>
        <v>107.931268</v>
      </c>
      <c r="O131" s="130">
        <f t="shared" si="16"/>
        <v>92.007576999999998</v>
      </c>
    </row>
    <row r="132" spans="1:15">
      <c r="A132" s="216"/>
      <c r="B132" s="131" t="s">
        <v>4</v>
      </c>
      <c r="C132" s="132">
        <f>HLOOKUP(C$117,$86:$102,16,FALSE)</f>
        <v>475.04343799999998</v>
      </c>
      <c r="D132" s="132">
        <f t="shared" ref="D132:O132" si="17">HLOOKUP(D$117,$86:$102,16,FALSE)</f>
        <v>403.689187</v>
      </c>
      <c r="E132" s="132">
        <f t="shared" si="17"/>
        <v>458.95751000000001</v>
      </c>
      <c r="F132" s="132">
        <f t="shared" si="17"/>
        <v>436.54824000000002</v>
      </c>
      <c r="G132" s="132">
        <f t="shared" si="17"/>
        <v>457.59121900000002</v>
      </c>
      <c r="H132" s="132">
        <f t="shared" si="17"/>
        <v>461.71635500000002</v>
      </c>
      <c r="I132" s="132">
        <f t="shared" si="17"/>
        <v>426.81593099999998</v>
      </c>
      <c r="J132" s="132">
        <f t="shared" si="17"/>
        <v>474.07543199999998</v>
      </c>
      <c r="K132" s="132">
        <f t="shared" si="17"/>
        <v>533.54716299999995</v>
      </c>
      <c r="L132" s="132">
        <f t="shared" si="17"/>
        <v>685.47006799999997</v>
      </c>
      <c r="M132" s="132">
        <f t="shared" si="17"/>
        <v>703.74968999999999</v>
      </c>
      <c r="N132" s="132">
        <f t="shared" si="17"/>
        <v>577.72073499999999</v>
      </c>
      <c r="O132" s="132">
        <f t="shared" si="17"/>
        <v>475.31970799999999</v>
      </c>
    </row>
    <row r="133" spans="1:15" ht="14.25">
      <c r="A133" s="217"/>
      <c r="B133" s="141" t="s">
        <v>98</v>
      </c>
      <c r="C133" s="142">
        <f>C120+C121+C123</f>
        <v>103.725115</v>
      </c>
      <c r="D133" s="142">
        <f t="shared" ref="D133:O133" si="18">D120+D121+D123</f>
        <v>87.351703999999998</v>
      </c>
      <c r="E133" s="142">
        <f t="shared" si="18"/>
        <v>97.886178999999998</v>
      </c>
      <c r="F133" s="142">
        <f t="shared" si="18"/>
        <v>94.932437999999991</v>
      </c>
      <c r="G133" s="142">
        <f t="shared" si="18"/>
        <v>98.852191000000005</v>
      </c>
      <c r="H133" s="142">
        <f t="shared" si="18"/>
        <v>96.980013</v>
      </c>
      <c r="I133" s="142">
        <f t="shared" si="18"/>
        <v>94.399130999999997</v>
      </c>
      <c r="J133" s="142">
        <f t="shared" si="18"/>
        <v>117.63489</v>
      </c>
      <c r="K133" s="142">
        <f t="shared" si="18"/>
        <v>137.88146899999998</v>
      </c>
      <c r="L133" s="142">
        <f t="shared" si="18"/>
        <v>181.892819</v>
      </c>
      <c r="M133" s="142">
        <f t="shared" si="18"/>
        <v>185.88845900000001</v>
      </c>
      <c r="N133" s="142">
        <f t="shared" si="18"/>
        <v>149.44745</v>
      </c>
      <c r="O133" s="142">
        <f t="shared" si="18"/>
        <v>112.50755500000001</v>
      </c>
    </row>
    <row r="134" spans="1:15">
      <c r="A134" s="215" t="s">
        <v>100</v>
      </c>
      <c r="B134" s="143" t="s">
        <v>96</v>
      </c>
      <c r="C134" s="124" t="str">
        <f>TEXT(EDATE($A$2,-12),"mmm")&amp;".-"&amp;TEXT(EDATE($A$2,-12),"aa")</f>
        <v>oct.-17</v>
      </c>
      <c r="D134" s="124" t="str">
        <f>TEXT(EDATE($A$2,-11),"mmm")&amp;".-"&amp;TEXT(EDATE($A$2,-11),"aa")</f>
        <v>nov.-17</v>
      </c>
      <c r="E134" s="124" t="str">
        <f>TEXT(EDATE($A$2,-10),"mmm")&amp;".-"&amp;TEXT(EDATE($A$2,-10),"aa")</f>
        <v>dic.-17</v>
      </c>
      <c r="F134" s="124" t="str">
        <f>TEXT(EDATE($A$2,-9),"mmm")&amp;".-"&amp;TEXT(EDATE($A$2,-9),"aa")</f>
        <v>ene.-18</v>
      </c>
      <c r="G134" s="124" t="str">
        <f>TEXT(EDATE($A$2,-8),"mmm")&amp;".-"&amp;TEXT(EDATE($A$2,-8),"aa")</f>
        <v>feb.-18</v>
      </c>
      <c r="H134" s="124" t="str">
        <f>TEXT(EDATE($A$2,-7),"mmm")&amp;".-"&amp;TEXT(EDATE($A$2,-7),"aa")</f>
        <v>mar.-18</v>
      </c>
      <c r="I134" s="124" t="str">
        <f>TEXT(EDATE($A$2,-6),"mmm")&amp;".-"&amp;TEXT(EDATE($A$2,-6),"aa")</f>
        <v>abr.-18</v>
      </c>
      <c r="J134" s="124" t="str">
        <f>TEXT(EDATE($A$2,-5),"mmm")&amp;".-"&amp;TEXT(EDATE($A$2,-5),"aa")</f>
        <v>may.-18</v>
      </c>
      <c r="K134" s="124" t="str">
        <f>TEXT(EDATE($A$2,-4),"mmm")&amp;".-"&amp;TEXT(EDATE($A$2,-4),"aa")</f>
        <v>jun.-18</v>
      </c>
      <c r="L134" s="124" t="str">
        <f>TEXT(EDATE($A$2,-3),"mmm")&amp;".-"&amp;TEXT(EDATE($A$2,-3),"aa")</f>
        <v>jul.-18</v>
      </c>
      <c r="M134" s="124" t="str">
        <f>TEXT(EDATE($A$2,-2),"mmm")&amp;".-"&amp;TEXT(EDATE($A$2,-2),"aa")</f>
        <v>ago.-18</v>
      </c>
      <c r="N134" s="124" t="str">
        <f>TEXT(EDATE($A$2,-1),"mmm")&amp;".-"&amp;TEXT(EDATE($A$2,-1),"aa")</f>
        <v>sep.-18</v>
      </c>
      <c r="O134" s="125" t="str">
        <f>TEXT($A$2,"mmm")&amp;".-"&amp;TEXT($A$2,"aa")</f>
        <v>oct.-18</v>
      </c>
    </row>
    <row r="135" spans="1:15" ht="15" customHeight="1">
      <c r="A135" s="216"/>
      <c r="B135" s="126" t="s">
        <v>17</v>
      </c>
      <c r="C135" s="120">
        <f>HLOOKUP(C$117,$86:$115,17,FALSE)</f>
        <v>0.29359800000000003</v>
      </c>
      <c r="D135" s="120">
        <f t="shared" ref="D135:O135" si="19">HLOOKUP(D$117,$86:$115,17,FALSE)</f>
        <v>0.27379399999999998</v>
      </c>
      <c r="E135" s="120">
        <f t="shared" si="19"/>
        <v>0.31142900000000001</v>
      </c>
      <c r="F135" s="120">
        <f t="shared" si="19"/>
        <v>0.27943200000000001</v>
      </c>
      <c r="G135" s="120">
        <f t="shared" si="19"/>
        <v>3.4173000000000002E-2</v>
      </c>
      <c r="H135" s="120">
        <f t="shared" si="19"/>
        <v>0.309946</v>
      </c>
      <c r="I135" s="120">
        <f t="shared" si="19"/>
        <v>0.27612300000000001</v>
      </c>
      <c r="J135" s="120">
        <f t="shared" si="19"/>
        <v>0.308334</v>
      </c>
      <c r="K135" s="120">
        <f t="shared" si="19"/>
        <v>0.29448200000000002</v>
      </c>
      <c r="L135" s="120">
        <f t="shared" si="19"/>
        <v>0.29559600000000003</v>
      </c>
      <c r="M135" s="120">
        <f t="shared" si="19"/>
        <v>0.30764000000000002</v>
      </c>
      <c r="N135" s="120">
        <f t="shared" si="19"/>
        <v>0.28839900000000002</v>
      </c>
      <c r="O135" s="165">
        <f t="shared" si="19"/>
        <v>0.29697000000000001</v>
      </c>
    </row>
    <row r="136" spans="1:15">
      <c r="A136" s="216"/>
      <c r="B136" s="126" t="s">
        <v>15</v>
      </c>
      <c r="C136" s="120">
        <f>HLOOKUP(C$117,$86:$115,18,FALSE)</f>
        <v>205.56642600000001</v>
      </c>
      <c r="D136" s="120">
        <f t="shared" ref="D136:O136" si="20">HLOOKUP(D$117,$86:$115,18,FALSE)</f>
        <v>185.76450299999999</v>
      </c>
      <c r="E136" s="120">
        <f t="shared" si="20"/>
        <v>185.227498</v>
      </c>
      <c r="F136" s="120">
        <f t="shared" si="20"/>
        <v>184.470955</v>
      </c>
      <c r="G136" s="120">
        <f t="shared" si="20"/>
        <v>165.51885899999999</v>
      </c>
      <c r="H136" s="120">
        <f t="shared" si="20"/>
        <v>176.17658599999999</v>
      </c>
      <c r="I136" s="120">
        <f t="shared" si="20"/>
        <v>171.46459999999999</v>
      </c>
      <c r="J136" s="120">
        <f t="shared" si="20"/>
        <v>172.14836700000001</v>
      </c>
      <c r="K136" s="120">
        <f t="shared" si="20"/>
        <v>162.83670599999999</v>
      </c>
      <c r="L136" s="120">
        <f t="shared" si="20"/>
        <v>173.812749</v>
      </c>
      <c r="M136" s="120">
        <f t="shared" si="20"/>
        <v>196.43005099999999</v>
      </c>
      <c r="N136" s="120">
        <f t="shared" si="20"/>
        <v>187.12256099999999</v>
      </c>
      <c r="O136" s="138">
        <f t="shared" si="20"/>
        <v>190.675118</v>
      </c>
    </row>
    <row r="137" spans="1:15">
      <c r="A137" s="216"/>
      <c r="B137" s="126" t="s">
        <v>14</v>
      </c>
      <c r="C137" s="120">
        <f>HLOOKUP(C$117,$86:$115,19,FALSE)</f>
        <v>30.160978</v>
      </c>
      <c r="D137" s="120">
        <f t="shared" ref="D137:O137" si="21">HLOOKUP(D$117,$86:$115,19,FALSE)</f>
        <v>25.835671000000001</v>
      </c>
      <c r="E137" s="120">
        <f t="shared" si="21"/>
        <v>25.553940999999998</v>
      </c>
      <c r="F137" s="120">
        <f t="shared" si="21"/>
        <v>27.249141000000002</v>
      </c>
      <c r="G137" s="120">
        <f t="shared" si="21"/>
        <v>24.751363999999999</v>
      </c>
      <c r="H137" s="120">
        <f t="shared" si="21"/>
        <v>19.300775999999999</v>
      </c>
      <c r="I137" s="120">
        <f t="shared" si="21"/>
        <v>22.020657</v>
      </c>
      <c r="J137" s="120">
        <f t="shared" si="21"/>
        <v>27.236414</v>
      </c>
      <c r="K137" s="120">
        <f t="shared" si="21"/>
        <v>24.035202999999999</v>
      </c>
      <c r="L137" s="120">
        <f t="shared" si="21"/>
        <v>19.071615000000001</v>
      </c>
      <c r="M137" s="120">
        <f t="shared" si="21"/>
        <v>22.472683</v>
      </c>
      <c r="N137" s="120">
        <f t="shared" si="21"/>
        <v>28.508217999999999</v>
      </c>
      <c r="O137" s="138">
        <f t="shared" si="21"/>
        <v>25.162983000000001</v>
      </c>
    </row>
    <row r="138" spans="1:15">
      <c r="A138" s="216"/>
      <c r="B138" s="126" t="s">
        <v>13</v>
      </c>
      <c r="C138" s="120">
        <f>HLOOKUP(C$117,$86:$115,20,FALSE)</f>
        <v>221.962174</v>
      </c>
      <c r="D138" s="120">
        <f t="shared" ref="D138:O138" si="22">HLOOKUP(D$117,$86:$115,20,FALSE)</f>
        <v>208.836062</v>
      </c>
      <c r="E138" s="120">
        <f t="shared" si="22"/>
        <v>225.266628</v>
      </c>
      <c r="F138" s="120">
        <f t="shared" si="22"/>
        <v>230.384784</v>
      </c>
      <c r="G138" s="120">
        <f t="shared" si="22"/>
        <v>210.40916100000001</v>
      </c>
      <c r="H138" s="120">
        <f t="shared" si="22"/>
        <v>195.20305200000001</v>
      </c>
      <c r="I138" s="120">
        <f t="shared" si="22"/>
        <v>189.55861100000001</v>
      </c>
      <c r="J138" s="120">
        <f t="shared" si="22"/>
        <v>186.40918600000001</v>
      </c>
      <c r="K138" s="120">
        <f t="shared" si="22"/>
        <v>200.03084899999999</v>
      </c>
      <c r="L138" s="120">
        <f t="shared" si="22"/>
        <v>206.69372799999999</v>
      </c>
      <c r="M138" s="120">
        <f t="shared" si="22"/>
        <v>214.943949</v>
      </c>
      <c r="N138" s="120">
        <f t="shared" si="22"/>
        <v>188.605344</v>
      </c>
      <c r="O138" s="138">
        <f t="shared" si="22"/>
        <v>201.924623</v>
      </c>
    </row>
    <row r="139" spans="1:15" ht="14.25">
      <c r="A139" s="216"/>
      <c r="B139" s="126" t="s">
        <v>97</v>
      </c>
      <c r="C139" s="120">
        <f>HLOOKUP(C$117,$86:$115,21,FALSE)</f>
        <v>288.99075399999998</v>
      </c>
      <c r="D139" s="120">
        <f t="shared" ref="D139:O139" si="23">HLOOKUP(D$117,$86:$115,21,FALSE)</f>
        <v>280.93736200000001</v>
      </c>
      <c r="E139" s="120">
        <f t="shared" si="23"/>
        <v>253.67039800000001</v>
      </c>
      <c r="F139" s="120">
        <f t="shared" si="23"/>
        <v>233.901625</v>
      </c>
      <c r="G139" s="120">
        <f t="shared" si="23"/>
        <v>215.21677199999999</v>
      </c>
      <c r="H139" s="120">
        <f t="shared" si="23"/>
        <v>260.839181</v>
      </c>
      <c r="I139" s="120">
        <f t="shared" si="23"/>
        <v>246.337683</v>
      </c>
      <c r="J139" s="120">
        <f t="shared" si="23"/>
        <v>248.61678900000001</v>
      </c>
      <c r="K139" s="120">
        <f t="shared" si="23"/>
        <v>234.94823600000001</v>
      </c>
      <c r="L139" s="120">
        <f t="shared" si="23"/>
        <v>230.14559600000001</v>
      </c>
      <c r="M139" s="120">
        <f t="shared" si="23"/>
        <v>251.789052</v>
      </c>
      <c r="N139" s="120">
        <f t="shared" si="23"/>
        <v>281.47467399999999</v>
      </c>
      <c r="O139" s="138">
        <f t="shared" si="23"/>
        <v>317.069143</v>
      </c>
    </row>
    <row r="140" spans="1:15">
      <c r="A140" s="216"/>
      <c r="B140" s="126" t="s">
        <v>9</v>
      </c>
      <c r="C140" s="120">
        <f>HLOOKUP(C$117,$86:$115,22,FALSE)</f>
        <v>0.97127600000000003</v>
      </c>
      <c r="D140" s="120">
        <f t="shared" ref="D140:O140" si="24">HLOOKUP(D$117,$86:$115,22,FALSE)</f>
        <v>0.790825</v>
      </c>
      <c r="E140" s="120">
        <f t="shared" si="24"/>
        <v>1.2860210000000001</v>
      </c>
      <c r="F140" s="120">
        <f t="shared" si="24"/>
        <v>2.2577669999999999</v>
      </c>
      <c r="G140" s="120">
        <f t="shared" si="24"/>
        <v>1.754305</v>
      </c>
      <c r="H140" s="120">
        <f t="shared" si="24"/>
        <v>1.5995220000000001</v>
      </c>
      <c r="I140" s="120">
        <f t="shared" si="24"/>
        <v>2.2626460000000002</v>
      </c>
      <c r="J140" s="120">
        <f t="shared" si="24"/>
        <v>2.0342030000000002</v>
      </c>
      <c r="K140" s="120">
        <f t="shared" si="24"/>
        <v>2.3218040000000002</v>
      </c>
      <c r="L140" s="120">
        <f t="shared" si="24"/>
        <v>3.7162829999999998</v>
      </c>
      <c r="M140" s="120">
        <f t="shared" si="24"/>
        <v>2.859321</v>
      </c>
      <c r="N140" s="120">
        <f t="shared" si="24"/>
        <v>2.165861</v>
      </c>
      <c r="O140" s="138">
        <f t="shared" si="24"/>
        <v>0.87331099999999995</v>
      </c>
    </row>
    <row r="141" spans="1:15">
      <c r="A141" s="216"/>
      <c r="B141" s="126" t="s">
        <v>8</v>
      </c>
      <c r="C141" s="120">
        <f>HLOOKUP(C$117,$86:$115,23,FALSE)</f>
        <v>21.330209</v>
      </c>
      <c r="D141" s="120">
        <f t="shared" ref="D141:O141" si="25">HLOOKUP(D$117,$86:$115,23,FALSE)</f>
        <v>24.032088999999999</v>
      </c>
      <c r="E141" s="120">
        <f t="shared" si="25"/>
        <v>39.810132000000003</v>
      </c>
      <c r="F141" s="120">
        <f t="shared" si="25"/>
        <v>56.908338999999998</v>
      </c>
      <c r="G141" s="120">
        <f t="shared" si="25"/>
        <v>46.207472000000003</v>
      </c>
      <c r="H141" s="120">
        <f t="shared" si="25"/>
        <v>50.516177999999996</v>
      </c>
      <c r="I141" s="120">
        <f t="shared" si="25"/>
        <v>45.548924999999997</v>
      </c>
      <c r="J141" s="120">
        <f t="shared" si="25"/>
        <v>55.351942000000001</v>
      </c>
      <c r="K141" s="120">
        <f t="shared" si="25"/>
        <v>56.421117000000002</v>
      </c>
      <c r="L141" s="120">
        <f t="shared" si="25"/>
        <v>95.158366999999998</v>
      </c>
      <c r="M141" s="120">
        <f t="shared" si="25"/>
        <v>65.077771999999996</v>
      </c>
      <c r="N141" s="120">
        <f t="shared" si="25"/>
        <v>51.688220999999999</v>
      </c>
      <c r="O141" s="138">
        <f t="shared" si="25"/>
        <v>22.335968000000001</v>
      </c>
    </row>
    <row r="142" spans="1:15">
      <c r="A142" s="216"/>
      <c r="B142" s="126" t="s">
        <v>7</v>
      </c>
      <c r="C142" s="120">
        <f>HLOOKUP(C$117,$86:$115,24,FALSE)</f>
        <v>19.754670999999998</v>
      </c>
      <c r="D142" s="120">
        <f t="shared" ref="D142:O142" si="26">HLOOKUP(D$117,$86:$115,24,FALSE)</f>
        <v>16.487777000000001</v>
      </c>
      <c r="E142" s="120">
        <f t="shared" si="26"/>
        <v>17.53989</v>
      </c>
      <c r="F142" s="120">
        <f t="shared" si="26"/>
        <v>19.063385</v>
      </c>
      <c r="G142" s="120">
        <f t="shared" si="26"/>
        <v>17.866654</v>
      </c>
      <c r="H142" s="120">
        <f t="shared" si="26"/>
        <v>25.105015000000002</v>
      </c>
      <c r="I142" s="120">
        <f t="shared" si="26"/>
        <v>25.190729999999999</v>
      </c>
      <c r="J142" s="120">
        <f t="shared" si="26"/>
        <v>23.051193999999999</v>
      </c>
      <c r="K142" s="120">
        <f t="shared" si="26"/>
        <v>25.992826000000001</v>
      </c>
      <c r="L142" s="120">
        <f t="shared" si="26"/>
        <v>29.45045</v>
      </c>
      <c r="M142" s="120">
        <f t="shared" si="26"/>
        <v>27.841747000000002</v>
      </c>
      <c r="N142" s="120">
        <f t="shared" si="26"/>
        <v>24.190496</v>
      </c>
      <c r="O142" s="138">
        <f t="shared" si="26"/>
        <v>19.456084000000001</v>
      </c>
    </row>
    <row r="143" spans="1:15">
      <c r="A143" s="216"/>
      <c r="B143" s="126" t="s">
        <v>27</v>
      </c>
      <c r="C143" s="120">
        <f>HLOOKUP(C$117,$86:$115,25,FALSE)</f>
        <v>0.83137799999999995</v>
      </c>
      <c r="D143" s="120">
        <f t="shared" ref="D143:O143" si="27">HLOOKUP(D$117,$86:$115,25,FALSE)</f>
        <v>0.80323999999999995</v>
      </c>
      <c r="E143" s="120">
        <f t="shared" si="27"/>
        <v>0.78173599999999999</v>
      </c>
      <c r="F143" s="120">
        <f t="shared" si="27"/>
        <v>0.76242299999999996</v>
      </c>
      <c r="G143" s="120">
        <f t="shared" si="27"/>
        <v>0.64657299999999995</v>
      </c>
      <c r="H143" s="120">
        <f t="shared" si="27"/>
        <v>0.83729399999999998</v>
      </c>
      <c r="I143" s="120">
        <f t="shared" si="27"/>
        <v>0.53889699999999996</v>
      </c>
      <c r="J143" s="120">
        <f t="shared" si="27"/>
        <v>0.75060099999999996</v>
      </c>
      <c r="K143" s="120">
        <f t="shared" si="27"/>
        <v>0.53101500000000001</v>
      </c>
      <c r="L143" s="120">
        <f t="shared" si="27"/>
        <v>0.70239399999999996</v>
      </c>
      <c r="M143" s="120">
        <f t="shared" si="27"/>
        <v>0.81645199999999996</v>
      </c>
      <c r="N143" s="120">
        <f t="shared" si="27"/>
        <v>0.78290899999999997</v>
      </c>
      <c r="O143" s="138">
        <f t="shared" si="27"/>
        <v>0.813334</v>
      </c>
    </row>
    <row r="144" spans="1:15">
      <c r="A144" s="216"/>
      <c r="B144" s="131" t="s">
        <v>4</v>
      </c>
      <c r="C144" s="132">
        <f>HLOOKUP(C$117,$86:$115,26,FALSE)</f>
        <v>789.86146399999996</v>
      </c>
      <c r="D144" s="132">
        <f t="shared" ref="D144:O144" si="28">HLOOKUP(D$117,$86:$115,26,FALSE)</f>
        <v>743.76132299999995</v>
      </c>
      <c r="E144" s="132">
        <f t="shared" si="28"/>
        <v>749.44767300000001</v>
      </c>
      <c r="F144" s="132">
        <f t="shared" si="28"/>
        <v>755.27785100000006</v>
      </c>
      <c r="G144" s="132">
        <f t="shared" si="28"/>
        <v>682.40533300000004</v>
      </c>
      <c r="H144" s="132">
        <f t="shared" si="28"/>
        <v>729.88755000000003</v>
      </c>
      <c r="I144" s="132">
        <f t="shared" si="28"/>
        <v>703.19887200000005</v>
      </c>
      <c r="J144" s="132">
        <f t="shared" si="28"/>
        <v>715.90702999999996</v>
      </c>
      <c r="K144" s="132">
        <f t="shared" si="28"/>
        <v>707.412238</v>
      </c>
      <c r="L144" s="132">
        <f t="shared" si="28"/>
        <v>759.04677800000002</v>
      </c>
      <c r="M144" s="132">
        <f t="shared" si="28"/>
        <v>782.53866700000003</v>
      </c>
      <c r="N144" s="132">
        <f t="shared" si="28"/>
        <v>764.826683</v>
      </c>
      <c r="O144" s="140">
        <f t="shared" si="28"/>
        <v>778.60753399999999</v>
      </c>
    </row>
    <row r="145" spans="1:15">
      <c r="A145" s="216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17"/>
      <c r="B146" s="141" t="s">
        <v>98</v>
      </c>
      <c r="C146" s="145">
        <f>SUM(C136:C138)</f>
        <v>457.68957799999998</v>
      </c>
      <c r="D146" s="145">
        <f t="shared" ref="D146:O146" si="29">SUM(D136:D138)</f>
        <v>420.43623600000001</v>
      </c>
      <c r="E146" s="145">
        <f t="shared" si="29"/>
        <v>436.048067</v>
      </c>
      <c r="F146" s="145">
        <f t="shared" si="29"/>
        <v>442.10487999999998</v>
      </c>
      <c r="G146" s="145">
        <f t="shared" si="29"/>
        <v>400.67938400000003</v>
      </c>
      <c r="H146" s="145">
        <f t="shared" si="29"/>
        <v>390.68041399999998</v>
      </c>
      <c r="I146" s="145">
        <f t="shared" si="29"/>
        <v>383.04386799999997</v>
      </c>
      <c r="J146" s="145">
        <f t="shared" si="29"/>
        <v>385.79396700000001</v>
      </c>
      <c r="K146" s="145">
        <f t="shared" si="29"/>
        <v>386.90275799999995</v>
      </c>
      <c r="L146" s="145">
        <f t="shared" si="29"/>
        <v>399.57809199999997</v>
      </c>
      <c r="M146" s="145">
        <f t="shared" si="29"/>
        <v>433.84668299999998</v>
      </c>
      <c r="N146" s="145">
        <f t="shared" si="29"/>
        <v>404.23612300000002</v>
      </c>
      <c r="O146" s="146">
        <f t="shared" si="29"/>
        <v>417.76272399999999</v>
      </c>
    </row>
  </sheetData>
  <mergeCells count="13">
    <mergeCell ref="A134:A146"/>
    <mergeCell ref="A119:A133"/>
    <mergeCell ref="B117:B118"/>
    <mergeCell ref="A102:A112"/>
    <mergeCell ref="A88:A101"/>
    <mergeCell ref="C85:Y85"/>
    <mergeCell ref="B30:C30"/>
    <mergeCell ref="B4:AG4"/>
    <mergeCell ref="B5:I5"/>
    <mergeCell ref="J5:Q5"/>
    <mergeCell ref="R5:Y5"/>
    <mergeCell ref="Z5:AG5"/>
    <mergeCell ref="B29:C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ColWidth="11.42578125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3.6474999999999906</v>
      </c>
      <c r="D12" s="20">
        <f t="shared" si="0"/>
        <v>0.2</v>
      </c>
    </row>
    <row r="13" spans="2:4">
      <c r="B13" s="174" t="s">
        <v>7</v>
      </c>
      <c r="C13" s="157">
        <f>Dat_01!B61</f>
        <v>80.118044999999839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2284.9325450000001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39.200000000000003</v>
      </c>
      <c r="D19" s="178"/>
    </row>
    <row r="20" spans="2:4">
      <c r="B20" s="174" t="s">
        <v>15</v>
      </c>
      <c r="C20" s="20">
        <f>ROUND((O37/$O$49)*100,1)</f>
        <v>12.2</v>
      </c>
      <c r="D20" s="178"/>
    </row>
    <row r="21" spans="2:4">
      <c r="B21" s="174" t="s">
        <v>14</v>
      </c>
      <c r="C21" s="20">
        <f>ROUND((O38/$O$49)*100,1)</f>
        <v>11.5</v>
      </c>
      <c r="D21" s="178"/>
    </row>
    <row r="22" spans="2:4">
      <c r="B22" s="174" t="s">
        <v>30</v>
      </c>
      <c r="C22" s="20">
        <f>ROUND((O39/$O$49)*100,1)</f>
        <v>9.6</v>
      </c>
      <c r="D22" s="178"/>
    </row>
    <row r="23" spans="2:4">
      <c r="B23" s="174" t="s">
        <v>29</v>
      </c>
      <c r="C23" s="20">
        <f>ROUND((O40/$O$49)*100,1)</f>
        <v>0.1</v>
      </c>
      <c r="D23" s="178"/>
    </row>
    <row r="24" spans="2:4">
      <c r="B24" s="174" t="s">
        <v>28</v>
      </c>
      <c r="C24" s="20">
        <f>ROUND((O44/$O$49)*100,1)</f>
        <v>0.5</v>
      </c>
      <c r="D24" s="178"/>
    </row>
    <row r="25" spans="2:4">
      <c r="B25" s="174" t="s">
        <v>62</v>
      </c>
      <c r="C25" s="20">
        <f>ROUND((O45/$O$49)*100,1)</f>
        <v>2.9</v>
      </c>
      <c r="D25" s="178"/>
    </row>
    <row r="26" spans="2:4">
      <c r="B26" s="174" t="s">
        <v>61</v>
      </c>
      <c r="C26" s="20">
        <f>ROUND((O46/$O$49)*100,1)</f>
        <v>2.9</v>
      </c>
      <c r="D26" s="178"/>
    </row>
    <row r="27" spans="2:4">
      <c r="B27" s="174" t="s">
        <v>8</v>
      </c>
      <c r="C27" s="20">
        <f>ROUND((O41/$O$49)*100,1)</f>
        <v>0.1</v>
      </c>
      <c r="D27" s="178"/>
    </row>
    <row r="28" spans="2:4">
      <c r="B28" s="174" t="s">
        <v>7</v>
      </c>
      <c r="C28" s="20">
        <f>ROUND((O42/$O$49)*100,1)</f>
        <v>1.6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19.399999999999999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109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196.316934</v>
      </c>
      <c r="D36" s="157">
        <f>Dat_01!D119</f>
        <v>152.281554</v>
      </c>
      <c r="E36" s="157">
        <f>Dat_01!E119</f>
        <v>204.11071200000001</v>
      </c>
      <c r="F36" s="157">
        <f>Dat_01!F119</f>
        <v>198.55502899999999</v>
      </c>
      <c r="G36" s="157">
        <f>Dat_01!G119</f>
        <v>192.79493400000001</v>
      </c>
      <c r="H36" s="157">
        <f>Dat_01!H119</f>
        <v>199.82157000000001</v>
      </c>
      <c r="I36" s="157">
        <f>Dat_01!I119</f>
        <v>183.05622099999999</v>
      </c>
      <c r="J36" s="157">
        <f>Dat_01!J119</f>
        <v>185.327823</v>
      </c>
      <c r="K36" s="157">
        <f>Dat_01!K119</f>
        <v>204.87973099999999</v>
      </c>
      <c r="L36" s="157">
        <f>Dat_01!L119</f>
        <v>242.068479</v>
      </c>
      <c r="M36" s="157">
        <f>Dat_01!M119</f>
        <v>257.31310999999999</v>
      </c>
      <c r="N36" s="157">
        <f>Dat_01!N119</f>
        <v>250.63039499999999</v>
      </c>
      <c r="O36" s="157">
        <f>Dat_01!O119</f>
        <v>186.34634299999999</v>
      </c>
    </row>
    <row r="37" spans="2:15">
      <c r="B37" s="174" t="s">
        <v>15</v>
      </c>
      <c r="C37" s="157">
        <f>Dat_01!C120</f>
        <v>26.871200999999999</v>
      </c>
      <c r="D37" s="157">
        <f>Dat_01!D120</f>
        <v>24.992986999999999</v>
      </c>
      <c r="E37" s="157">
        <f>Dat_01!E120</f>
        <v>32.782640999999998</v>
      </c>
      <c r="F37" s="157">
        <f>Dat_01!F120</f>
        <v>35.080182000000001</v>
      </c>
      <c r="G37" s="157">
        <f>Dat_01!G120</f>
        <v>38.969616000000002</v>
      </c>
      <c r="H37" s="157">
        <f>Dat_01!H120</f>
        <v>35.928452</v>
      </c>
      <c r="I37" s="157">
        <f>Dat_01!I120</f>
        <v>37.207234999999997</v>
      </c>
      <c r="J37" s="157">
        <f>Dat_01!J120</f>
        <v>51.279922999999997</v>
      </c>
      <c r="K37" s="157">
        <f>Dat_01!K120</f>
        <v>59.423205000000003</v>
      </c>
      <c r="L37" s="157">
        <f>Dat_01!L120</f>
        <v>82.636359999999996</v>
      </c>
      <c r="M37" s="157">
        <f>Dat_01!M120</f>
        <v>89.525766000000004</v>
      </c>
      <c r="N37" s="157">
        <f>Dat_01!N120</f>
        <v>72.079989999999995</v>
      </c>
      <c r="O37" s="157">
        <f>Dat_01!O120</f>
        <v>57.770246999999998</v>
      </c>
    </row>
    <row r="38" spans="2:15">
      <c r="B38" s="174" t="s">
        <v>14</v>
      </c>
      <c r="C38" s="157">
        <f>Dat_01!C121</f>
        <v>75.211866000000001</v>
      </c>
      <c r="D38" s="157">
        <f>Dat_01!D121</f>
        <v>62.358716999999999</v>
      </c>
      <c r="E38" s="157">
        <f>Dat_01!E121</f>
        <v>65.103538</v>
      </c>
      <c r="F38" s="157">
        <f>Dat_01!F121</f>
        <v>59.852255999999997</v>
      </c>
      <c r="G38" s="157">
        <f>Dat_01!G121</f>
        <v>59.882575000000003</v>
      </c>
      <c r="H38" s="157">
        <f>Dat_01!H121</f>
        <v>61.051561</v>
      </c>
      <c r="I38" s="157">
        <f>Dat_01!I121</f>
        <v>57.191896</v>
      </c>
      <c r="J38" s="157">
        <f>Dat_01!J121</f>
        <v>66.096778</v>
      </c>
      <c r="K38" s="157">
        <f>Dat_01!K121</f>
        <v>77.051412999999997</v>
      </c>
      <c r="L38" s="157">
        <f>Dat_01!L121</f>
        <v>95.847725999999994</v>
      </c>
      <c r="M38" s="157">
        <f>Dat_01!M121</f>
        <v>91.166568999999996</v>
      </c>
      <c r="N38" s="157">
        <f>Dat_01!N121</f>
        <v>75.102127999999993</v>
      </c>
      <c r="O38" s="157">
        <f>Dat_01!O121</f>
        <v>54.458812999999999</v>
      </c>
    </row>
    <row r="39" spans="2:15">
      <c r="B39" s="174" t="s">
        <v>11</v>
      </c>
      <c r="C39" s="157">
        <f>Dat_01!C122</f>
        <v>40.379855999999997</v>
      </c>
      <c r="D39" s="157">
        <f>Dat_01!D122</f>
        <v>60.508705999999997</v>
      </c>
      <c r="E39" s="157">
        <f>Dat_01!E122</f>
        <v>35.553646000000001</v>
      </c>
      <c r="F39" s="157">
        <f>Dat_01!F122</f>
        <v>31.201087999999999</v>
      </c>
      <c r="G39" s="157">
        <f>Dat_01!G122</f>
        <v>48.135339999999999</v>
      </c>
      <c r="H39" s="157">
        <f>Dat_01!H122</f>
        <v>39.439261999999999</v>
      </c>
      <c r="I39" s="157">
        <f>Dat_01!I122</f>
        <v>48.047037000000003</v>
      </c>
      <c r="J39" s="157">
        <f>Dat_01!J122</f>
        <v>45.724513999999999</v>
      </c>
      <c r="K39" s="157">
        <f>Dat_01!K122</f>
        <v>36.755218999999997</v>
      </c>
      <c r="L39" s="157">
        <f>Dat_01!L122</f>
        <v>53.754595000000002</v>
      </c>
      <c r="M39" s="157">
        <f>Dat_01!M122</f>
        <v>62.465704000000002</v>
      </c>
      <c r="N39" s="157">
        <f>Dat_01!N122</f>
        <v>31.104752999999999</v>
      </c>
      <c r="O39" s="157">
        <f>Dat_01!O122</f>
        <v>45.569164000000001</v>
      </c>
    </row>
    <row r="40" spans="2:15">
      <c r="B40" s="174" t="s">
        <v>29</v>
      </c>
      <c r="C40" s="157">
        <f>Dat_01!C123</f>
        <v>1.642048</v>
      </c>
      <c r="D40" s="157">
        <f>Dat_01!D123</f>
        <v>0</v>
      </c>
      <c r="E40" s="157">
        <f>Dat_01!E123</f>
        <v>0</v>
      </c>
      <c r="F40" s="157">
        <f>Dat_01!F123</f>
        <v>0</v>
      </c>
      <c r="G40" s="157">
        <f>Dat_01!G123</f>
        <v>0</v>
      </c>
      <c r="H40" s="157">
        <f>Dat_01!H123</f>
        <v>0</v>
      </c>
      <c r="I40" s="157">
        <f>Dat_01!I123</f>
        <v>0</v>
      </c>
      <c r="J40" s="157">
        <f>Dat_01!J123</f>
        <v>0.258189</v>
      </c>
      <c r="K40" s="157">
        <f>Dat_01!K123</f>
        <v>1.4068510000000001</v>
      </c>
      <c r="L40" s="157">
        <f>Dat_01!L123</f>
        <v>3.4087329999999998</v>
      </c>
      <c r="M40" s="157">
        <f>Dat_01!M123</f>
        <v>5.1961240000000002</v>
      </c>
      <c r="N40" s="157">
        <f>Dat_01!N123</f>
        <v>2.2653319999999999</v>
      </c>
      <c r="O40" s="157">
        <f>Dat_01!O123</f>
        <v>0.27849499999999999</v>
      </c>
    </row>
    <row r="41" spans="2:15">
      <c r="B41" s="174" t="s">
        <v>8</v>
      </c>
      <c r="C41" s="157">
        <f>Dat_01!C124</f>
        <v>0.19457099999999999</v>
      </c>
      <c r="D41" s="157">
        <f>Dat_01!D124</f>
        <v>0.342941</v>
      </c>
      <c r="E41" s="157">
        <f>Dat_01!E124</f>
        <v>0.382324</v>
      </c>
      <c r="F41" s="157">
        <f>Dat_01!F124</f>
        <v>0.25263999999999998</v>
      </c>
      <c r="G41" s="157">
        <f>Dat_01!G124</f>
        <v>0.32401200000000002</v>
      </c>
      <c r="H41" s="157">
        <f>Dat_01!H124</f>
        <v>0.40592400000000001</v>
      </c>
      <c r="I41" s="157">
        <f>Dat_01!I124</f>
        <v>0.28265000000000001</v>
      </c>
      <c r="J41" s="157">
        <f>Dat_01!J124</f>
        <v>0.22889300000000001</v>
      </c>
      <c r="K41" s="157">
        <f>Dat_01!K124</f>
        <v>0.138682</v>
      </c>
      <c r="L41" s="157">
        <f>Dat_01!L124</f>
        <v>0.13932900000000001</v>
      </c>
      <c r="M41" s="157">
        <f>Dat_01!M124</f>
        <v>0.19220799999999999</v>
      </c>
      <c r="N41" s="157">
        <f>Dat_01!N124</f>
        <v>0.19817599999999999</v>
      </c>
      <c r="O41" s="157">
        <f>Dat_01!O124</f>
        <v>0.620313</v>
      </c>
    </row>
    <row r="42" spans="2:15">
      <c r="B42" s="174" t="s">
        <v>7</v>
      </c>
      <c r="C42" s="157">
        <f>Dat_01!C125</f>
        <v>9.7189460000000008</v>
      </c>
      <c r="D42" s="157">
        <f>Dat_01!D125</f>
        <v>7.2582560000000003</v>
      </c>
      <c r="E42" s="157">
        <f>Dat_01!E125</f>
        <v>5.556832</v>
      </c>
      <c r="F42" s="157">
        <f>Dat_01!F125</f>
        <v>7.038017</v>
      </c>
      <c r="G42" s="157">
        <f>Dat_01!G125</f>
        <v>5.3295399999999997</v>
      </c>
      <c r="H42" s="157">
        <f>Dat_01!H125</f>
        <v>10.194158</v>
      </c>
      <c r="I42" s="157">
        <f>Dat_01!I125</f>
        <v>11.476927999999999</v>
      </c>
      <c r="J42" s="157">
        <f>Dat_01!J125</f>
        <v>11.838782</v>
      </c>
      <c r="K42" s="157">
        <f>Dat_01!K125</f>
        <v>12.382847999999999</v>
      </c>
      <c r="L42" s="157">
        <f>Dat_01!L125</f>
        <v>13.341704</v>
      </c>
      <c r="M42" s="157">
        <f>Dat_01!M125</f>
        <v>11.261585</v>
      </c>
      <c r="N42" s="157">
        <f>Dat_01!N125</f>
        <v>9.0458339999999993</v>
      </c>
      <c r="O42" s="157">
        <f>Dat_01!O125</f>
        <v>7.8414849999999996</v>
      </c>
    </row>
    <row r="43" spans="2:15">
      <c r="B43" s="21" t="s">
        <v>27</v>
      </c>
      <c r="C43" s="157">
        <f>Dat_01!C126</f>
        <v>0.106123</v>
      </c>
      <c r="D43" s="157">
        <f>Dat_01!D126</f>
        <v>0.12698499999999999</v>
      </c>
      <c r="E43" s="157">
        <f>Dat_01!E126</f>
        <v>0.136794</v>
      </c>
      <c r="F43" s="157">
        <f>Dat_01!F126</f>
        <v>0.219363</v>
      </c>
      <c r="G43" s="157">
        <f>Dat_01!G126</f>
        <v>0.16624</v>
      </c>
      <c r="H43" s="157">
        <f>Dat_01!H126</f>
        <v>0.184165</v>
      </c>
      <c r="I43" s="157">
        <f>Dat_01!I126</f>
        <v>0.130801</v>
      </c>
      <c r="J43" s="157">
        <f>Dat_01!J126</f>
        <v>0.12767999999999999</v>
      </c>
      <c r="K43" s="157">
        <f>Dat_01!K126</f>
        <v>0.110028</v>
      </c>
      <c r="L43" s="157">
        <f>Dat_01!L126</f>
        <v>5.7736999999999997E-2</v>
      </c>
      <c r="M43" s="157">
        <f>Dat_01!M126</f>
        <v>5.6852E-2</v>
      </c>
      <c r="N43" s="157">
        <f>Dat_01!N126</f>
        <v>1.917E-2</v>
      </c>
      <c r="O43" s="157">
        <f>Dat_01!O126</f>
        <v>6.0415000000000003E-2</v>
      </c>
    </row>
    <row r="44" spans="2:15">
      <c r="B44" s="21" t="s">
        <v>28</v>
      </c>
      <c r="C44" s="157">
        <f>Dat_01!C127</f>
        <v>3.3496130000000002</v>
      </c>
      <c r="D44" s="157">
        <f>Dat_01!D127</f>
        <v>3.098652</v>
      </c>
      <c r="E44" s="157">
        <f>Dat_01!E127</f>
        <v>3.6001650000000001</v>
      </c>
      <c r="F44" s="157">
        <f>Dat_01!F127</f>
        <v>3.1829869999999998</v>
      </c>
      <c r="G44" s="157">
        <f>Dat_01!G127</f>
        <v>3.0836540000000001</v>
      </c>
      <c r="H44" s="157">
        <f>Dat_01!H127</f>
        <v>2.2946849999999999</v>
      </c>
      <c r="I44" s="157">
        <f>Dat_01!I127</f>
        <v>1.9821660000000001</v>
      </c>
      <c r="J44" s="157">
        <f>Dat_01!J127</f>
        <v>2.5785749999999998</v>
      </c>
      <c r="K44" s="157">
        <f>Dat_01!K127</f>
        <v>3.3572419999999998</v>
      </c>
      <c r="L44" s="157">
        <f>Dat_01!L127</f>
        <v>3.5655640000000002</v>
      </c>
      <c r="M44" s="157">
        <f>Dat_01!M127</f>
        <v>3.5154580000000002</v>
      </c>
      <c r="N44" s="157">
        <f>Dat_01!N127</f>
        <v>2.43655</v>
      </c>
      <c r="O44" s="157">
        <f>Dat_01!O127</f>
        <v>2.5715089999999998</v>
      </c>
    </row>
    <row r="45" spans="2:15">
      <c r="B45" s="174" t="s">
        <v>62</v>
      </c>
      <c r="C45" s="157">
        <f>Dat_01!C128</f>
        <v>13.9829895</v>
      </c>
      <c r="D45" s="157">
        <f>Dat_01!D128</f>
        <v>11.279227499999999</v>
      </c>
      <c r="E45" s="157">
        <f>Dat_01!E128</f>
        <v>9.9819964999999993</v>
      </c>
      <c r="F45" s="157">
        <f>Dat_01!F128</f>
        <v>7.4814245000000001</v>
      </c>
      <c r="G45" s="157">
        <f>Dat_01!G128</f>
        <v>4.4559544999999998</v>
      </c>
      <c r="H45" s="157">
        <f>Dat_01!H128</f>
        <v>11.199851499999999</v>
      </c>
      <c r="I45" s="157">
        <f>Dat_01!I128</f>
        <v>10.4867385</v>
      </c>
      <c r="J45" s="157">
        <f>Dat_01!J128</f>
        <v>10.524592</v>
      </c>
      <c r="K45" s="157">
        <f>Dat_01!K128</f>
        <v>14.7091545</v>
      </c>
      <c r="L45" s="157">
        <f>Dat_01!L128</f>
        <v>14.429119</v>
      </c>
      <c r="M45" s="157">
        <f>Dat_01!M128</f>
        <v>14.9613625</v>
      </c>
      <c r="N45" s="157">
        <f>Dat_01!N128</f>
        <v>13.4535695</v>
      </c>
      <c r="O45" s="157">
        <f>Dat_01!O128</f>
        <v>13.8976735</v>
      </c>
    </row>
    <row r="46" spans="2:15">
      <c r="B46" s="174" t="s">
        <v>61</v>
      </c>
      <c r="C46" s="157">
        <f>Dat_01!C129</f>
        <v>13.9829895</v>
      </c>
      <c r="D46" s="157">
        <f>Dat_01!D129</f>
        <v>11.279227499999999</v>
      </c>
      <c r="E46" s="157">
        <f>Dat_01!E129</f>
        <v>9.9819964999999993</v>
      </c>
      <c r="F46" s="157">
        <f>Dat_01!F129</f>
        <v>7.4814245000000001</v>
      </c>
      <c r="G46" s="157">
        <f>Dat_01!G129</f>
        <v>4.4559544999999998</v>
      </c>
      <c r="H46" s="157">
        <f>Dat_01!H129</f>
        <v>11.199851499999999</v>
      </c>
      <c r="I46" s="157">
        <f>Dat_01!I129</f>
        <v>10.4867385</v>
      </c>
      <c r="J46" s="157">
        <f>Dat_01!J129</f>
        <v>10.524592</v>
      </c>
      <c r="K46" s="157">
        <f>Dat_01!K129</f>
        <v>14.7091545</v>
      </c>
      <c r="L46" s="157">
        <f>Dat_01!L129</f>
        <v>14.429119</v>
      </c>
      <c r="M46" s="157">
        <f>Dat_01!M129</f>
        <v>14.9613625</v>
      </c>
      <c r="N46" s="157">
        <f>Dat_01!N129</f>
        <v>13.4535695</v>
      </c>
      <c r="O46" s="157">
        <f>Dat_01!O129</f>
        <v>13.8976735</v>
      </c>
    </row>
    <row r="47" spans="2:15">
      <c r="B47" s="180" t="s">
        <v>5</v>
      </c>
      <c r="C47" s="18">
        <f>SUM(C36:C46)</f>
        <v>381.75713699999994</v>
      </c>
      <c r="D47" s="18">
        <f t="shared" ref="D47:O47" si="1">SUM(D36:D46)</f>
        <v>333.52725300000003</v>
      </c>
      <c r="E47" s="18">
        <f t="shared" si="1"/>
        <v>367.19064499999996</v>
      </c>
      <c r="F47" s="18">
        <f t="shared" si="1"/>
        <v>350.34441099999998</v>
      </c>
      <c r="G47" s="18">
        <f t="shared" si="1"/>
        <v>357.59782000000007</v>
      </c>
      <c r="H47" s="18">
        <f t="shared" si="1"/>
        <v>371.71948000000009</v>
      </c>
      <c r="I47" s="18">
        <f t="shared" si="1"/>
        <v>360.348411</v>
      </c>
      <c r="J47" s="18">
        <f t="shared" si="1"/>
        <v>384.51034099999998</v>
      </c>
      <c r="K47" s="18">
        <f t="shared" si="1"/>
        <v>424.92352800000003</v>
      </c>
      <c r="L47" s="18">
        <f t="shared" si="1"/>
        <v>523.67846499999985</v>
      </c>
      <c r="M47" s="18">
        <f t="shared" si="1"/>
        <v>550.61610099999996</v>
      </c>
      <c r="N47" s="18">
        <f t="shared" si="1"/>
        <v>469.789467</v>
      </c>
      <c r="O47" s="18">
        <f t="shared" si="1"/>
        <v>383.31213099999997</v>
      </c>
    </row>
    <row r="48" spans="2:15">
      <c r="B48" s="174" t="s">
        <v>26</v>
      </c>
      <c r="C48" s="160">
        <f>Dat_01!C131</f>
        <v>93.286300999999995</v>
      </c>
      <c r="D48" s="160">
        <f>Dat_01!D131</f>
        <v>70.161934000000002</v>
      </c>
      <c r="E48" s="160">
        <f>Dat_01!E131</f>
        <v>91.766864999999996</v>
      </c>
      <c r="F48" s="160">
        <f>Dat_01!F131</f>
        <v>86.203828999999999</v>
      </c>
      <c r="G48" s="160">
        <f>Dat_01!G131</f>
        <v>99.993398999999997</v>
      </c>
      <c r="H48" s="160">
        <f>Dat_01!H131</f>
        <v>89.996875000000003</v>
      </c>
      <c r="I48" s="160">
        <f>Dat_01!I131</f>
        <v>66.467519999999993</v>
      </c>
      <c r="J48" s="160">
        <f>Dat_01!J131</f>
        <v>89.565090999999995</v>
      </c>
      <c r="K48" s="160">
        <f>Dat_01!K131</f>
        <v>108.62363499999999</v>
      </c>
      <c r="L48" s="160">
        <f>Dat_01!L131</f>
        <v>161.79160300000001</v>
      </c>
      <c r="M48" s="160">
        <f>Dat_01!M131</f>
        <v>153.133589</v>
      </c>
      <c r="N48" s="160">
        <f>Dat_01!N131</f>
        <v>107.931268</v>
      </c>
      <c r="O48" s="160">
        <f>Dat_01!O131</f>
        <v>92.007576999999998</v>
      </c>
    </row>
    <row r="49" spans="2:15">
      <c r="B49" s="181" t="s">
        <v>4</v>
      </c>
      <c r="C49" s="161">
        <f>SUM(C47:C48)</f>
        <v>475.04343799999992</v>
      </c>
      <c r="D49" s="161">
        <f t="shared" ref="D49:O49" si="2">SUM(D47:D48)</f>
        <v>403.68918700000006</v>
      </c>
      <c r="E49" s="161">
        <f t="shared" si="2"/>
        <v>458.95750999999996</v>
      </c>
      <c r="F49" s="161">
        <f t="shared" si="2"/>
        <v>436.54823999999996</v>
      </c>
      <c r="G49" s="161">
        <f t="shared" si="2"/>
        <v>457.59121900000008</v>
      </c>
      <c r="H49" s="161">
        <f t="shared" si="2"/>
        <v>461.71635500000008</v>
      </c>
      <c r="I49" s="161">
        <f t="shared" si="2"/>
        <v>426.81593099999998</v>
      </c>
      <c r="J49" s="161">
        <f t="shared" si="2"/>
        <v>474.07543199999998</v>
      </c>
      <c r="K49" s="161">
        <f t="shared" si="2"/>
        <v>533.54716300000007</v>
      </c>
      <c r="L49" s="161">
        <f t="shared" si="2"/>
        <v>685.47006799999986</v>
      </c>
      <c r="M49" s="161">
        <f t="shared" si="2"/>
        <v>703.74968999999999</v>
      </c>
      <c r="N49" s="161">
        <f t="shared" si="2"/>
        <v>577.72073499999999</v>
      </c>
      <c r="O49" s="161">
        <f t="shared" si="2"/>
        <v>475.31970799999999</v>
      </c>
    </row>
    <row r="50" spans="2:15">
      <c r="B50" s="182" t="s">
        <v>110</v>
      </c>
      <c r="C50" s="183">
        <f>SUM(C37:C38,C40)</f>
        <v>103.725115</v>
      </c>
      <c r="D50" s="183">
        <f t="shared" ref="D50:O50" si="3">SUM(D37:D38,D40)</f>
        <v>87.351703999999998</v>
      </c>
      <c r="E50" s="183">
        <f t="shared" si="3"/>
        <v>97.886178999999998</v>
      </c>
      <c r="F50" s="183">
        <f t="shared" si="3"/>
        <v>94.932437999999991</v>
      </c>
      <c r="G50" s="183">
        <f t="shared" si="3"/>
        <v>98.852191000000005</v>
      </c>
      <c r="H50" s="183">
        <f t="shared" si="3"/>
        <v>96.980013</v>
      </c>
      <c r="I50" s="183">
        <f t="shared" si="3"/>
        <v>94.399130999999997</v>
      </c>
      <c r="J50" s="183">
        <f t="shared" si="3"/>
        <v>117.63489</v>
      </c>
      <c r="K50" s="183">
        <f t="shared" si="3"/>
        <v>137.88146899999998</v>
      </c>
      <c r="L50" s="183">
        <f t="shared" si="3"/>
        <v>181.892819</v>
      </c>
      <c r="M50" s="183">
        <f t="shared" si="3"/>
        <v>185.88845900000001</v>
      </c>
      <c r="N50" s="183">
        <f t="shared" si="3"/>
        <v>149.44745</v>
      </c>
      <c r="O50" s="183">
        <f t="shared" si="3"/>
        <v>112.50755500000001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17.399999999999999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19.5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16.899999999999999</v>
      </c>
    </row>
    <row r="57" spans="2:15">
      <c r="B57" s="174" t="s">
        <v>30</v>
      </c>
      <c r="C57" s="157">
        <f>Dat_01!G55</f>
        <v>864.2</v>
      </c>
      <c r="D57" s="20">
        <f>100-SUM(D54:D56,D58:D63)</f>
        <v>30.300000000000011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269.24999999999994</v>
      </c>
      <c r="D61" s="20">
        <f t="shared" si="4"/>
        <v>9.4</v>
      </c>
    </row>
    <row r="62" spans="2:15">
      <c r="B62" s="174" t="s">
        <v>7</v>
      </c>
      <c r="C62" s="157">
        <f>Dat_01!G60</f>
        <v>167.32556999999963</v>
      </c>
      <c r="D62" s="20">
        <f t="shared" si="4"/>
        <v>5.9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2853.5815699999998</v>
      </c>
      <c r="D64" s="177">
        <f>SUM(D54:D63)</f>
        <v>100.00000000000001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24.5</v>
      </c>
      <c r="D71" s="178"/>
    </row>
    <row r="72" spans="2:4">
      <c r="B72" s="174" t="s">
        <v>14</v>
      </c>
      <c r="C72" s="20">
        <f>ROUND((O87/$O$95)*100,1)</f>
        <v>3.2</v>
      </c>
      <c r="D72" s="178"/>
    </row>
    <row r="73" spans="2:4">
      <c r="B73" s="174" t="s">
        <v>13</v>
      </c>
      <c r="C73" s="20">
        <f>ROUND((O88/$O$95)*100,1)</f>
        <v>25.9</v>
      </c>
      <c r="D73" s="178"/>
    </row>
    <row r="74" spans="2:4">
      <c r="B74" s="174" t="s">
        <v>30</v>
      </c>
      <c r="C74" s="20">
        <f>100-SUM(C71:C73,C75:C80)</f>
        <v>40.800000000000004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0.1</v>
      </c>
      <c r="D77" s="170"/>
    </row>
    <row r="78" spans="2:4">
      <c r="B78" s="174" t="s">
        <v>8</v>
      </c>
      <c r="C78" s="20">
        <f>ROUND((O91/$O$95)*100,1)</f>
        <v>2.9</v>
      </c>
      <c r="D78" s="178"/>
    </row>
    <row r="79" spans="2:4">
      <c r="B79" s="174" t="s">
        <v>7</v>
      </c>
      <c r="C79" s="20">
        <f>ROUND((O92/$O$95)*100,1)</f>
        <v>2.5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100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0.29359800000000003</v>
      </c>
      <c r="D85" s="157">
        <f>Dat_01!D135</f>
        <v>0.27379399999999998</v>
      </c>
      <c r="E85" s="157">
        <f>Dat_01!E135</f>
        <v>0.31142900000000001</v>
      </c>
      <c r="F85" s="157">
        <f>Dat_01!F135</f>
        <v>0.27943200000000001</v>
      </c>
      <c r="G85" s="157">
        <f>Dat_01!G135</f>
        <v>3.4173000000000002E-2</v>
      </c>
      <c r="H85" s="157">
        <f>Dat_01!H135</f>
        <v>0.309946</v>
      </c>
      <c r="I85" s="157">
        <f>Dat_01!I135</f>
        <v>0.27612300000000001</v>
      </c>
      <c r="J85" s="157">
        <f>Dat_01!J135</f>
        <v>0.308334</v>
      </c>
      <c r="K85" s="157">
        <f>Dat_01!K135</f>
        <v>0.29448200000000002</v>
      </c>
      <c r="L85" s="157">
        <f>Dat_01!L135</f>
        <v>0.29559600000000003</v>
      </c>
      <c r="M85" s="157">
        <f>Dat_01!M135</f>
        <v>0.30764000000000002</v>
      </c>
      <c r="N85" s="157">
        <f>Dat_01!N135</f>
        <v>0.28839900000000002</v>
      </c>
      <c r="O85" s="157">
        <f>Dat_01!O135</f>
        <v>0.29697000000000001</v>
      </c>
    </row>
    <row r="86" spans="2:15">
      <c r="B86" s="174" t="s">
        <v>15</v>
      </c>
      <c r="C86" s="157">
        <f>Dat_01!C136</f>
        <v>205.56642600000001</v>
      </c>
      <c r="D86" s="157">
        <f>Dat_01!D136</f>
        <v>185.76450299999999</v>
      </c>
      <c r="E86" s="157">
        <f>Dat_01!E136</f>
        <v>185.227498</v>
      </c>
      <c r="F86" s="157">
        <f>Dat_01!F136</f>
        <v>184.470955</v>
      </c>
      <c r="G86" s="157">
        <f>Dat_01!G136</f>
        <v>165.51885899999999</v>
      </c>
      <c r="H86" s="157">
        <f>Dat_01!H136</f>
        <v>176.17658599999999</v>
      </c>
      <c r="I86" s="157">
        <f>Dat_01!I136</f>
        <v>171.46459999999999</v>
      </c>
      <c r="J86" s="157">
        <f>Dat_01!J136</f>
        <v>172.14836700000001</v>
      </c>
      <c r="K86" s="157">
        <f>Dat_01!K136</f>
        <v>162.83670599999999</v>
      </c>
      <c r="L86" s="157">
        <f>Dat_01!L136</f>
        <v>173.812749</v>
      </c>
      <c r="M86" s="157">
        <f>Dat_01!M136</f>
        <v>196.43005099999999</v>
      </c>
      <c r="N86" s="157">
        <f>Dat_01!N136</f>
        <v>187.12256099999999</v>
      </c>
      <c r="O86" s="157">
        <f>Dat_01!O136</f>
        <v>190.675118</v>
      </c>
    </row>
    <row r="87" spans="2:15">
      <c r="B87" s="174" t="s">
        <v>14</v>
      </c>
      <c r="C87" s="157">
        <f>Dat_01!C137</f>
        <v>30.160978</v>
      </c>
      <c r="D87" s="157">
        <f>Dat_01!D137</f>
        <v>25.835671000000001</v>
      </c>
      <c r="E87" s="157">
        <f>Dat_01!E137</f>
        <v>25.553940999999998</v>
      </c>
      <c r="F87" s="157">
        <f>Dat_01!F137</f>
        <v>27.249141000000002</v>
      </c>
      <c r="G87" s="157">
        <f>Dat_01!G137</f>
        <v>24.751363999999999</v>
      </c>
      <c r="H87" s="157">
        <f>Dat_01!H137</f>
        <v>19.300775999999999</v>
      </c>
      <c r="I87" s="157">
        <f>Dat_01!I137</f>
        <v>22.020657</v>
      </c>
      <c r="J87" s="157">
        <f>Dat_01!J137</f>
        <v>27.236414</v>
      </c>
      <c r="K87" s="157">
        <f>Dat_01!K137</f>
        <v>24.035202999999999</v>
      </c>
      <c r="L87" s="157">
        <f>Dat_01!L137</f>
        <v>19.071615000000001</v>
      </c>
      <c r="M87" s="157">
        <f>Dat_01!M137</f>
        <v>22.472683</v>
      </c>
      <c r="N87" s="157">
        <f>Dat_01!N137</f>
        <v>28.508217999999999</v>
      </c>
      <c r="O87" s="157">
        <f>Dat_01!O137</f>
        <v>25.162983000000001</v>
      </c>
    </row>
    <row r="88" spans="2:15">
      <c r="B88" s="174" t="s">
        <v>13</v>
      </c>
      <c r="C88" s="157">
        <f>Dat_01!C138</f>
        <v>221.962174</v>
      </c>
      <c r="D88" s="157">
        <f>Dat_01!D138</f>
        <v>208.836062</v>
      </c>
      <c r="E88" s="157">
        <f>Dat_01!E138</f>
        <v>225.266628</v>
      </c>
      <c r="F88" s="157">
        <f>Dat_01!F138</f>
        <v>230.384784</v>
      </c>
      <c r="G88" s="157">
        <f>Dat_01!G138</f>
        <v>210.40916100000001</v>
      </c>
      <c r="H88" s="157">
        <f>Dat_01!H138</f>
        <v>195.20305200000001</v>
      </c>
      <c r="I88" s="157">
        <f>Dat_01!I138</f>
        <v>189.55861100000001</v>
      </c>
      <c r="J88" s="157">
        <f>Dat_01!J138</f>
        <v>186.40918600000001</v>
      </c>
      <c r="K88" s="157">
        <f>Dat_01!K138</f>
        <v>200.03084899999999</v>
      </c>
      <c r="L88" s="157">
        <f>Dat_01!L138</f>
        <v>206.69372799999999</v>
      </c>
      <c r="M88" s="157">
        <f>Dat_01!M138</f>
        <v>214.943949</v>
      </c>
      <c r="N88" s="157">
        <f>Dat_01!N138</f>
        <v>188.605344</v>
      </c>
      <c r="O88" s="157">
        <f>Dat_01!O138</f>
        <v>201.924623</v>
      </c>
    </row>
    <row r="89" spans="2:15">
      <c r="B89" s="174" t="s">
        <v>11</v>
      </c>
      <c r="C89" s="157">
        <f>Dat_01!C139</f>
        <v>288.99075399999998</v>
      </c>
      <c r="D89" s="157">
        <f>Dat_01!D139</f>
        <v>280.93736200000001</v>
      </c>
      <c r="E89" s="157">
        <f>Dat_01!E139</f>
        <v>253.67039800000001</v>
      </c>
      <c r="F89" s="157">
        <f>Dat_01!F139</f>
        <v>233.901625</v>
      </c>
      <c r="G89" s="157">
        <f>Dat_01!G139</f>
        <v>215.21677199999999</v>
      </c>
      <c r="H89" s="157">
        <f>Dat_01!H139</f>
        <v>260.839181</v>
      </c>
      <c r="I89" s="157">
        <f>Dat_01!I139</f>
        <v>246.337683</v>
      </c>
      <c r="J89" s="157">
        <f>Dat_01!J139</f>
        <v>248.61678900000001</v>
      </c>
      <c r="K89" s="157">
        <f>Dat_01!K139</f>
        <v>234.94823600000001</v>
      </c>
      <c r="L89" s="157">
        <f>Dat_01!L139</f>
        <v>230.14559600000001</v>
      </c>
      <c r="M89" s="157">
        <f>Dat_01!M139</f>
        <v>251.789052</v>
      </c>
      <c r="N89" s="157">
        <f>Dat_01!N139</f>
        <v>281.47467399999999</v>
      </c>
      <c r="O89" s="157">
        <f>Dat_01!O139</f>
        <v>317.069143</v>
      </c>
    </row>
    <row r="90" spans="2:15">
      <c r="B90" s="174" t="s">
        <v>9</v>
      </c>
      <c r="C90" s="157">
        <f>Dat_01!C140</f>
        <v>0.97127600000000003</v>
      </c>
      <c r="D90" s="157">
        <f>Dat_01!D140</f>
        <v>0.790825</v>
      </c>
      <c r="E90" s="157">
        <f>Dat_01!E140</f>
        <v>1.2860210000000001</v>
      </c>
      <c r="F90" s="157">
        <f>Dat_01!F140</f>
        <v>2.2577669999999999</v>
      </c>
      <c r="G90" s="157">
        <f>Dat_01!G140</f>
        <v>1.754305</v>
      </c>
      <c r="H90" s="157">
        <f>Dat_01!H140</f>
        <v>1.5995220000000001</v>
      </c>
      <c r="I90" s="157">
        <f>Dat_01!I140</f>
        <v>2.2626460000000002</v>
      </c>
      <c r="J90" s="157">
        <f>Dat_01!J140</f>
        <v>2.0342030000000002</v>
      </c>
      <c r="K90" s="157">
        <f>Dat_01!K140</f>
        <v>2.3218040000000002</v>
      </c>
      <c r="L90" s="157">
        <f>Dat_01!L140</f>
        <v>3.7162829999999998</v>
      </c>
      <c r="M90" s="157">
        <f>Dat_01!M140</f>
        <v>2.859321</v>
      </c>
      <c r="N90" s="157">
        <f>Dat_01!N140</f>
        <v>2.165861</v>
      </c>
      <c r="O90" s="157">
        <f>Dat_01!O140</f>
        <v>0.87331099999999995</v>
      </c>
    </row>
    <row r="91" spans="2:15">
      <c r="B91" s="174" t="s">
        <v>8</v>
      </c>
      <c r="C91" s="157">
        <f>Dat_01!C141</f>
        <v>21.330209</v>
      </c>
      <c r="D91" s="157">
        <f>Dat_01!D141</f>
        <v>24.032088999999999</v>
      </c>
      <c r="E91" s="157">
        <f>Dat_01!E141</f>
        <v>39.810132000000003</v>
      </c>
      <c r="F91" s="157">
        <f>Dat_01!F141</f>
        <v>56.908338999999998</v>
      </c>
      <c r="G91" s="157">
        <f>Dat_01!G141</f>
        <v>46.207472000000003</v>
      </c>
      <c r="H91" s="157">
        <f>Dat_01!H141</f>
        <v>50.516177999999996</v>
      </c>
      <c r="I91" s="157">
        <f>Dat_01!I141</f>
        <v>45.548924999999997</v>
      </c>
      <c r="J91" s="157">
        <f>Dat_01!J141</f>
        <v>55.351942000000001</v>
      </c>
      <c r="K91" s="157">
        <f>Dat_01!K141</f>
        <v>56.421117000000002</v>
      </c>
      <c r="L91" s="157">
        <f>Dat_01!L141</f>
        <v>95.158366999999998</v>
      </c>
      <c r="M91" s="157">
        <f>Dat_01!M141</f>
        <v>65.077771999999996</v>
      </c>
      <c r="N91" s="157">
        <f>Dat_01!N141</f>
        <v>51.688220999999999</v>
      </c>
      <c r="O91" s="157">
        <f>Dat_01!O141</f>
        <v>22.335968000000001</v>
      </c>
    </row>
    <row r="92" spans="2:15">
      <c r="B92" s="174" t="s">
        <v>7</v>
      </c>
      <c r="C92" s="157">
        <f>Dat_01!C142</f>
        <v>19.754670999999998</v>
      </c>
      <c r="D92" s="157">
        <f>Dat_01!D142</f>
        <v>16.487777000000001</v>
      </c>
      <c r="E92" s="157">
        <f>Dat_01!E142</f>
        <v>17.53989</v>
      </c>
      <c r="F92" s="157">
        <f>Dat_01!F142</f>
        <v>19.063385</v>
      </c>
      <c r="G92" s="157">
        <f>Dat_01!G142</f>
        <v>17.866654</v>
      </c>
      <c r="H92" s="157">
        <f>Dat_01!H142</f>
        <v>25.105015000000002</v>
      </c>
      <c r="I92" s="157">
        <f>Dat_01!I142</f>
        <v>25.190729999999999</v>
      </c>
      <c r="J92" s="157">
        <f>Dat_01!J142</f>
        <v>23.051193999999999</v>
      </c>
      <c r="K92" s="157">
        <f>Dat_01!K142</f>
        <v>25.992826000000001</v>
      </c>
      <c r="L92" s="157">
        <f>Dat_01!L142</f>
        <v>29.45045</v>
      </c>
      <c r="M92" s="157">
        <f>Dat_01!M142</f>
        <v>27.841747000000002</v>
      </c>
      <c r="N92" s="157">
        <f>Dat_01!N142</f>
        <v>24.190496</v>
      </c>
      <c r="O92" s="157">
        <f>Dat_01!O142</f>
        <v>19.456084000000001</v>
      </c>
    </row>
    <row r="93" spans="2:15">
      <c r="B93" s="174" t="s">
        <v>27</v>
      </c>
      <c r="C93" s="157">
        <f>Dat_01!C143</f>
        <v>0.83137799999999995</v>
      </c>
      <c r="D93" s="157">
        <f>Dat_01!D143</f>
        <v>0.80323999999999995</v>
      </c>
      <c r="E93" s="157">
        <f>Dat_01!E143</f>
        <v>0.78173599999999999</v>
      </c>
      <c r="F93" s="157">
        <f>Dat_01!F143</f>
        <v>0.76242299999999996</v>
      </c>
      <c r="G93" s="157">
        <f>Dat_01!G143</f>
        <v>0.64657299999999995</v>
      </c>
      <c r="H93" s="157">
        <f>Dat_01!H143</f>
        <v>0.83729399999999998</v>
      </c>
      <c r="I93" s="157">
        <f>Dat_01!I143</f>
        <v>0.53889699999999996</v>
      </c>
      <c r="J93" s="157">
        <f>Dat_01!J143</f>
        <v>0.75060099999999996</v>
      </c>
      <c r="K93" s="157">
        <f>Dat_01!K143</f>
        <v>0.53101500000000001</v>
      </c>
      <c r="L93" s="157">
        <f>Dat_01!L143</f>
        <v>0.70239399999999996</v>
      </c>
      <c r="M93" s="157">
        <f>Dat_01!M143</f>
        <v>0.81645199999999996</v>
      </c>
      <c r="N93" s="157">
        <f>Dat_01!N143</f>
        <v>0.78290899999999997</v>
      </c>
      <c r="O93" s="157">
        <f>Dat_01!O143</f>
        <v>0.813334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789.86146399999996</v>
      </c>
      <c r="D95" s="161">
        <f t="shared" ref="D95:O95" si="5">SUM(D85:D94)</f>
        <v>743.76132300000006</v>
      </c>
      <c r="E95" s="161">
        <f t="shared" si="5"/>
        <v>749.44767300000001</v>
      </c>
      <c r="F95" s="161">
        <f t="shared" si="5"/>
        <v>755.27785099999994</v>
      </c>
      <c r="G95" s="161">
        <f t="shared" si="5"/>
        <v>682.40533300000016</v>
      </c>
      <c r="H95" s="161">
        <f t="shared" si="5"/>
        <v>729.88755000000003</v>
      </c>
      <c r="I95" s="161">
        <f t="shared" si="5"/>
        <v>703.19887200000005</v>
      </c>
      <c r="J95" s="161">
        <f t="shared" si="5"/>
        <v>715.90703000000008</v>
      </c>
      <c r="K95" s="161">
        <f t="shared" si="5"/>
        <v>707.412238</v>
      </c>
      <c r="L95" s="161">
        <f t="shared" si="5"/>
        <v>759.04677800000002</v>
      </c>
      <c r="M95" s="161">
        <f t="shared" si="5"/>
        <v>782.53866700000003</v>
      </c>
      <c r="N95" s="161">
        <f t="shared" si="5"/>
        <v>764.826683</v>
      </c>
      <c r="O95" s="161">
        <f t="shared" si="5"/>
        <v>778.60753399999999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110</v>
      </c>
      <c r="C97" s="183">
        <f>SUM(C86:C88)</f>
        <v>457.68957799999998</v>
      </c>
      <c r="D97" s="183">
        <f t="shared" ref="D97:O97" si="6">SUM(D86:D88)</f>
        <v>420.43623600000001</v>
      </c>
      <c r="E97" s="183">
        <f t="shared" si="6"/>
        <v>436.048067</v>
      </c>
      <c r="F97" s="183">
        <f t="shared" si="6"/>
        <v>442.10487999999998</v>
      </c>
      <c r="G97" s="183">
        <f t="shared" si="6"/>
        <v>400.67938400000003</v>
      </c>
      <c r="H97" s="183">
        <f t="shared" si="6"/>
        <v>390.68041399999998</v>
      </c>
      <c r="I97" s="183">
        <f t="shared" si="6"/>
        <v>383.04386799999997</v>
      </c>
      <c r="J97" s="183">
        <f t="shared" si="6"/>
        <v>385.79396700000001</v>
      </c>
      <c r="K97" s="183">
        <f t="shared" si="6"/>
        <v>386.90275799999995</v>
      </c>
      <c r="L97" s="183">
        <f t="shared" si="6"/>
        <v>399.57809199999997</v>
      </c>
      <c r="M97" s="183">
        <f t="shared" si="6"/>
        <v>433.84668299999998</v>
      </c>
      <c r="N97" s="183">
        <f t="shared" si="6"/>
        <v>404.23612300000002</v>
      </c>
      <c r="O97" s="183">
        <f t="shared" si="6"/>
        <v>417.76272399999999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2018-11-15T12:38:58Z</dcterms:modified>
</cp:coreProperties>
</file>