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OCT\INF_ELABORADA\"/>
    </mc:Choice>
  </mc:AlternateContent>
  <bookViews>
    <workbookView xWindow="0" yWindow="0" windowWidth="28800" windowHeight="12435"/>
  </bookViews>
  <sheets>
    <sheet name="Indice" sheetId="16" r:id="rId1"/>
    <sheet name="SN1" sheetId="8" r:id="rId2"/>
    <sheet name="SN2" sheetId="10" r:id="rId3"/>
    <sheet name="SN3" sheetId="1" r:id="rId4"/>
    <sheet name="Mozart Reports" sheetId="19" state="veryHidden" r:id="rId5"/>
    <sheet name="SN4" sheetId="2" r:id="rId6"/>
    <sheet name="SN5" sheetId="13" r:id="rId7"/>
    <sheet name="SN6" sheetId="5" r:id="rId8"/>
    <sheet name="SN7" sheetId="7" r:id="rId9"/>
    <sheet name="Dat_01" sheetId="18" r:id="rId10"/>
    <sheet name="Data 1" sheetId="20" state="hidden" r:id="rId11"/>
  </sheets>
  <externalReferences>
    <externalReference r:id="rId12"/>
  </externalReferences>
  <definedNames>
    <definedName name="_xlnm.Print_Area">#REF!</definedName>
    <definedName name="_xlnm.Database">#REF!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>#REF!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>#N/A</definedName>
    <definedName name="Z_22B26D9C_611A_11D3_B8AC_0008C7298EBA_.wvu.PrintArea" localSheetId="0" hidden="1">Dat_01!$A$4:$AG$24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18" l="1"/>
  <c r="C46" i="18" l="1"/>
  <c r="B46" i="18"/>
  <c r="M19" i="1" l="1"/>
  <c r="M12" i="1"/>
  <c r="G60" i="18" l="1"/>
  <c r="G59" i="18"/>
  <c r="G58" i="18"/>
  <c r="B62" i="18"/>
  <c r="B61" i="18"/>
  <c r="B60" i="18"/>
  <c r="B59" i="18"/>
  <c r="B58" i="18"/>
  <c r="B57" i="18"/>
  <c r="I20" i="1" l="1"/>
  <c r="I9" i="1"/>
  <c r="B74" i="18" l="1"/>
  <c r="B75" i="18"/>
  <c r="B69" i="18"/>
  <c r="B70" i="18"/>
  <c r="B71" i="18"/>
  <c r="B72" i="18"/>
  <c r="B73" i="18"/>
  <c r="B76" i="18"/>
  <c r="B77" i="18"/>
  <c r="B78" i="18"/>
  <c r="B79" i="18"/>
  <c r="B68" i="18" l="1"/>
  <c r="B80" i="18" s="1"/>
  <c r="I15" i="1"/>
  <c r="H15" i="1"/>
  <c r="C63" i="20" l="1"/>
  <c r="C62" i="20"/>
  <c r="C61" i="20"/>
  <c r="C60" i="20"/>
  <c r="G57" i="18"/>
  <c r="C59" i="20" s="1"/>
  <c r="G56" i="18"/>
  <c r="C58" i="20" s="1"/>
  <c r="G55" i="18"/>
  <c r="C57" i="20" s="1"/>
  <c r="G54" i="18"/>
  <c r="C56" i="20" s="1"/>
  <c r="G53" i="18"/>
  <c r="C55" i="20" s="1"/>
  <c r="G52" i="18"/>
  <c r="C54" i="20" s="1"/>
  <c r="C14" i="20"/>
  <c r="C13" i="20"/>
  <c r="C12" i="20"/>
  <c r="C11" i="20"/>
  <c r="C10" i="20"/>
  <c r="C9" i="20"/>
  <c r="C8" i="20"/>
  <c r="B55" i="18"/>
  <c r="C7" i="20" s="1"/>
  <c r="B54" i="18"/>
  <c r="C6" i="20" s="1"/>
  <c r="B53" i="18"/>
  <c r="C5" i="20" s="1"/>
  <c r="B52" i="18"/>
  <c r="C4" i="20" s="1"/>
  <c r="C64" i="20" l="1"/>
  <c r="D63" i="20" s="1"/>
  <c r="C15" i="20"/>
  <c r="D13" i="20" s="1"/>
  <c r="G77" i="18"/>
  <c r="G76" i="18"/>
  <c r="G75" i="18"/>
  <c r="G72" i="18"/>
  <c r="G73" i="18"/>
  <c r="G70" i="18"/>
  <c r="G69" i="18"/>
  <c r="G68" i="18"/>
  <c r="D55" i="20" l="1"/>
  <c r="D59" i="20"/>
  <c r="D61" i="20"/>
  <c r="D58" i="20"/>
  <c r="D12" i="20"/>
  <c r="D10" i="20"/>
  <c r="D7" i="20"/>
  <c r="D8" i="20"/>
  <c r="D62" i="20"/>
  <c r="D9" i="20"/>
  <c r="D6" i="20"/>
  <c r="D5" i="20"/>
  <c r="D54" i="20"/>
  <c r="D60" i="20"/>
  <c r="D11" i="20"/>
  <c r="D56" i="20"/>
  <c r="D14" i="20"/>
  <c r="G16" i="1"/>
  <c r="G15" i="1"/>
  <c r="F15" i="1"/>
  <c r="F16" i="1"/>
  <c r="D57" i="20" l="1"/>
  <c r="D64" i="20" s="1"/>
  <c r="D4" i="20"/>
  <c r="D15" i="20" s="1"/>
  <c r="H9" i="1"/>
  <c r="O117" i="18" l="1"/>
  <c r="O134" i="18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36" i="18" l="1"/>
  <c r="O86" i="20" s="1"/>
  <c r="O140" i="18"/>
  <c r="O90" i="20" s="1"/>
  <c r="O135" i="18"/>
  <c r="O85" i="20" s="1"/>
  <c r="O139" i="18"/>
  <c r="O89" i="20" s="1"/>
  <c r="O143" i="18"/>
  <c r="O93" i="20" s="1"/>
  <c r="O138" i="18"/>
  <c r="O88" i="20" s="1"/>
  <c r="O137" i="18"/>
  <c r="O87" i="20" s="1"/>
  <c r="O141" i="18"/>
  <c r="O91" i="20" s="1"/>
  <c r="O142" i="18"/>
  <c r="O92" i="20" s="1"/>
  <c r="O144" i="18"/>
  <c r="N117" i="18"/>
  <c r="O119" i="18"/>
  <c r="O36" i="20" s="1"/>
  <c r="O120" i="18"/>
  <c r="O37" i="20" s="1"/>
  <c r="O121" i="18"/>
  <c r="O38" i="20" s="1"/>
  <c r="O122" i="18"/>
  <c r="O39" i="20" s="1"/>
  <c r="O123" i="18"/>
  <c r="O40" i="20" s="1"/>
  <c r="O124" i="18"/>
  <c r="O41" i="20" s="1"/>
  <c r="O125" i="18"/>
  <c r="O42" i="20" s="1"/>
  <c r="O126" i="18"/>
  <c r="O43" i="20" s="1"/>
  <c r="O127" i="18"/>
  <c r="O44" i="20" s="1"/>
  <c r="O128" i="18"/>
  <c r="O45" i="20" s="1"/>
  <c r="O129" i="18"/>
  <c r="O46" i="20" s="1"/>
  <c r="O130" i="18"/>
  <c r="O131" i="18"/>
  <c r="O48" i="20" s="1"/>
  <c r="O132" i="18"/>
  <c r="O47" i="20" l="1"/>
  <c r="O49" i="20" s="1"/>
  <c r="C30" i="20" s="1"/>
  <c r="O95" i="20"/>
  <c r="C75" i="20" s="1"/>
  <c r="O50" i="20"/>
  <c r="O97" i="20"/>
  <c r="N135" i="18"/>
  <c r="N85" i="20" s="1"/>
  <c r="N136" i="18"/>
  <c r="N86" i="20" s="1"/>
  <c r="N137" i="18"/>
  <c r="N87" i="20" s="1"/>
  <c r="N138" i="18"/>
  <c r="N88" i="20" s="1"/>
  <c r="N139" i="18"/>
  <c r="N89" i="20" s="1"/>
  <c r="N140" i="18"/>
  <c r="N90" i="20" s="1"/>
  <c r="N141" i="18"/>
  <c r="N91" i="20" s="1"/>
  <c r="N143" i="18"/>
  <c r="N93" i="20" s="1"/>
  <c r="N142" i="18"/>
  <c r="N92" i="20" s="1"/>
  <c r="N144" i="18"/>
  <c r="O133" i="18"/>
  <c r="M117" i="18"/>
  <c r="N119" i="18"/>
  <c r="N36" i="20" s="1"/>
  <c r="N120" i="18"/>
  <c r="N37" i="20" s="1"/>
  <c r="N121" i="18"/>
  <c r="N38" i="20" s="1"/>
  <c r="N122" i="18"/>
  <c r="N39" i="20" s="1"/>
  <c r="N123" i="18"/>
  <c r="N40" i="20" s="1"/>
  <c r="N124" i="18"/>
  <c r="N41" i="20" s="1"/>
  <c r="N125" i="18"/>
  <c r="N42" i="20" s="1"/>
  <c r="N126" i="18"/>
  <c r="N43" i="20" s="1"/>
  <c r="N127" i="18"/>
  <c r="N44" i="20" s="1"/>
  <c r="N128" i="18"/>
  <c r="N45" i="20" s="1"/>
  <c r="N130" i="18"/>
  <c r="N132" i="18"/>
  <c r="N129" i="18"/>
  <c r="N46" i="20" s="1"/>
  <c r="N131" i="18"/>
  <c r="N48" i="20" s="1"/>
  <c r="O146" i="18"/>
  <c r="C71" i="20" l="1"/>
  <c r="C20" i="20"/>
  <c r="C25" i="20"/>
  <c r="C79" i="20"/>
  <c r="C28" i="20"/>
  <c r="N47" i="20"/>
  <c r="N49" i="20" s="1"/>
  <c r="N95" i="20"/>
  <c r="C77" i="20"/>
  <c r="C26" i="20"/>
  <c r="C72" i="20"/>
  <c r="C23" i="20"/>
  <c r="C73" i="20"/>
  <c r="C29" i="20"/>
  <c r="C22" i="20"/>
  <c r="C24" i="20"/>
  <c r="N50" i="20"/>
  <c r="N97" i="20"/>
  <c r="C80" i="20"/>
  <c r="C27" i="20"/>
  <c r="C21" i="20"/>
  <c r="C76" i="20"/>
  <c r="C78" i="20"/>
  <c r="N146" i="18"/>
  <c r="N133" i="18"/>
  <c r="M135" i="18"/>
  <c r="M85" i="20" s="1"/>
  <c r="M136" i="18"/>
  <c r="M86" i="20" s="1"/>
  <c r="M137" i="18"/>
  <c r="M87" i="20" s="1"/>
  <c r="M138" i="18"/>
  <c r="M88" i="20" s="1"/>
  <c r="M139" i="18"/>
  <c r="M89" i="20" s="1"/>
  <c r="M140" i="18"/>
  <c r="M90" i="20" s="1"/>
  <c r="M141" i="18"/>
  <c r="M91" i="20" s="1"/>
  <c r="M142" i="18"/>
  <c r="M92" i="20" s="1"/>
  <c r="M143" i="18"/>
  <c r="M93" i="20" s="1"/>
  <c r="M144" i="18"/>
  <c r="L117" i="18"/>
  <c r="M119" i="18"/>
  <c r="M36" i="20" s="1"/>
  <c r="M120" i="18"/>
  <c r="M37" i="20" s="1"/>
  <c r="M121" i="18"/>
  <c r="M38" i="20" s="1"/>
  <c r="M122" i="18"/>
  <c r="M39" i="20" s="1"/>
  <c r="M123" i="18"/>
  <c r="M40" i="20" s="1"/>
  <c r="M124" i="18"/>
  <c r="M41" i="20" s="1"/>
  <c r="M125" i="18"/>
  <c r="M42" i="20" s="1"/>
  <c r="M126" i="18"/>
  <c r="M43" i="20" s="1"/>
  <c r="M127" i="18"/>
  <c r="M44" i="20" s="1"/>
  <c r="M128" i="18"/>
  <c r="M45" i="20" s="1"/>
  <c r="M129" i="18"/>
  <c r="M46" i="20" s="1"/>
  <c r="M130" i="18"/>
  <c r="M131" i="18"/>
  <c r="M48" i="20" s="1"/>
  <c r="M132" i="18"/>
  <c r="C74" i="20" l="1"/>
  <c r="C81" i="20" s="1"/>
  <c r="C19" i="20"/>
  <c r="C31" i="20" s="1"/>
  <c r="M97" i="20"/>
  <c r="M50" i="20"/>
  <c r="M95" i="20"/>
  <c r="M47" i="20"/>
  <c r="M49" i="20" s="1"/>
  <c r="M146" i="18"/>
  <c r="L135" i="18"/>
  <c r="L85" i="20" s="1"/>
  <c r="L136" i="18"/>
  <c r="L86" i="20" s="1"/>
  <c r="L137" i="18"/>
  <c r="L87" i="20" s="1"/>
  <c r="L138" i="18"/>
  <c r="L88" i="20" s="1"/>
  <c r="L139" i="18"/>
  <c r="L89" i="20" s="1"/>
  <c r="L140" i="18"/>
  <c r="L90" i="20" s="1"/>
  <c r="L141" i="18"/>
  <c r="L91" i="20" s="1"/>
  <c r="L142" i="18"/>
  <c r="L92" i="20" s="1"/>
  <c r="L143" i="18"/>
  <c r="L93" i="20" s="1"/>
  <c r="L144" i="18"/>
  <c r="M133" i="18"/>
  <c r="K117" i="18"/>
  <c r="L119" i="18"/>
  <c r="L36" i="20" s="1"/>
  <c r="L120" i="18"/>
  <c r="L37" i="20" s="1"/>
  <c r="L122" i="18"/>
  <c r="L39" i="20" s="1"/>
  <c r="L126" i="18"/>
  <c r="L43" i="20" s="1"/>
  <c r="L132" i="18"/>
  <c r="L121" i="18"/>
  <c r="L38" i="20" s="1"/>
  <c r="L125" i="18"/>
  <c r="L42" i="20" s="1"/>
  <c r="L129" i="18"/>
  <c r="L46" i="20" s="1"/>
  <c r="L131" i="18"/>
  <c r="L48" i="20" s="1"/>
  <c r="L124" i="18"/>
  <c r="L41" i="20" s="1"/>
  <c r="L128" i="18"/>
  <c r="L45" i="20" s="1"/>
  <c r="L123" i="18"/>
  <c r="L40" i="20" s="1"/>
  <c r="L127" i="18"/>
  <c r="L44" i="20" s="1"/>
  <c r="L130" i="18"/>
  <c r="E3" i="16"/>
  <c r="E3" i="13" s="1"/>
  <c r="G74" i="18"/>
  <c r="G71" i="18" s="1"/>
  <c r="M26" i="1"/>
  <c r="M24" i="1"/>
  <c r="M23" i="1"/>
  <c r="M22" i="1"/>
  <c r="M11" i="1"/>
  <c r="L26" i="1"/>
  <c r="L24" i="1"/>
  <c r="L23" i="1"/>
  <c r="L22" i="1"/>
  <c r="L19" i="1"/>
  <c r="L12" i="1"/>
  <c r="L11" i="1"/>
  <c r="J26" i="1"/>
  <c r="J24" i="1"/>
  <c r="J12" i="1"/>
  <c r="J11" i="1"/>
  <c r="K26" i="1"/>
  <c r="K24" i="1"/>
  <c r="K12" i="1"/>
  <c r="K11" i="1"/>
  <c r="I26" i="1"/>
  <c r="I24" i="1"/>
  <c r="I19" i="1"/>
  <c r="I18" i="1"/>
  <c r="I17" i="1"/>
  <c r="I13" i="1"/>
  <c r="I12" i="1"/>
  <c r="I11" i="1"/>
  <c r="H26" i="1"/>
  <c r="H24" i="1"/>
  <c r="H21" i="1"/>
  <c r="H20" i="1"/>
  <c r="H19" i="1"/>
  <c r="H18" i="1"/>
  <c r="H17" i="1"/>
  <c r="H13" i="1"/>
  <c r="H12" i="1"/>
  <c r="H11" i="1"/>
  <c r="G26" i="1"/>
  <c r="G25" i="1"/>
  <c r="G21" i="1"/>
  <c r="G22" i="1"/>
  <c r="G23" i="1"/>
  <c r="G24" i="1"/>
  <c r="G20" i="1"/>
  <c r="G19" i="1"/>
  <c r="G18" i="1"/>
  <c r="G12" i="1"/>
  <c r="G11" i="1"/>
  <c r="G10" i="1"/>
  <c r="F26" i="1"/>
  <c r="F25" i="1"/>
  <c r="F24" i="1"/>
  <c r="F23" i="1"/>
  <c r="F22" i="1"/>
  <c r="F21" i="1"/>
  <c r="F20" i="1"/>
  <c r="F19" i="1"/>
  <c r="F18" i="1"/>
  <c r="F12" i="1"/>
  <c r="F11" i="1"/>
  <c r="F10" i="1"/>
  <c r="K9" i="10"/>
  <c r="I9" i="10"/>
  <c r="G9" i="10"/>
  <c r="J9" i="10"/>
  <c r="H9" i="10"/>
  <c r="F9" i="10"/>
  <c r="K9" i="8"/>
  <c r="J9" i="8"/>
  <c r="I9" i="8"/>
  <c r="H9" i="8"/>
  <c r="G9" i="8"/>
  <c r="F9" i="8"/>
  <c r="L97" i="20" l="1"/>
  <c r="L47" i="20"/>
  <c r="L49" i="20" s="1"/>
  <c r="L95" i="20"/>
  <c r="L50" i="20"/>
  <c r="J14" i="1"/>
  <c r="L14" i="1"/>
  <c r="M14" i="1" s="1"/>
  <c r="H14" i="1"/>
  <c r="I14" i="1" s="1"/>
  <c r="F14" i="1"/>
  <c r="G14" i="1" s="1"/>
  <c r="K14" i="1"/>
  <c r="K135" i="18"/>
  <c r="K85" i="20" s="1"/>
  <c r="K139" i="18"/>
  <c r="K89" i="20" s="1"/>
  <c r="K138" i="18"/>
  <c r="K88" i="20" s="1"/>
  <c r="K142" i="18"/>
  <c r="K92" i="20" s="1"/>
  <c r="K144" i="18"/>
  <c r="K137" i="18"/>
  <c r="K87" i="20" s="1"/>
  <c r="K141" i="18"/>
  <c r="K91" i="20" s="1"/>
  <c r="K136" i="18"/>
  <c r="K86" i="20" s="1"/>
  <c r="K140" i="18"/>
  <c r="K90" i="20" s="1"/>
  <c r="K143" i="18"/>
  <c r="K93" i="20" s="1"/>
  <c r="L133" i="18"/>
  <c r="J117" i="18"/>
  <c r="K119" i="18"/>
  <c r="K36" i="20" s="1"/>
  <c r="K120" i="18"/>
  <c r="K37" i="20" s="1"/>
  <c r="K121" i="18"/>
  <c r="K38" i="20" s="1"/>
  <c r="K122" i="18"/>
  <c r="K39" i="20" s="1"/>
  <c r="K123" i="18"/>
  <c r="K40" i="20" s="1"/>
  <c r="K124" i="18"/>
  <c r="K41" i="20" s="1"/>
  <c r="K125" i="18"/>
  <c r="K42" i="20" s="1"/>
  <c r="K126" i="18"/>
  <c r="K43" i="20" s="1"/>
  <c r="K127" i="18"/>
  <c r="K44" i="20" s="1"/>
  <c r="K128" i="18"/>
  <c r="K45" i="20" s="1"/>
  <c r="K129" i="18"/>
  <c r="K46" i="20" s="1"/>
  <c r="K130" i="18"/>
  <c r="K131" i="18"/>
  <c r="K48" i="20" s="1"/>
  <c r="K132" i="18"/>
  <c r="L146" i="18"/>
  <c r="K3" i="10"/>
  <c r="F7" i="10" s="1"/>
  <c r="G8" i="10" s="1"/>
  <c r="E3" i="5"/>
  <c r="M3" i="1"/>
  <c r="E3" i="7"/>
  <c r="E3" i="2"/>
  <c r="K3" i="8"/>
  <c r="F7" i="8" s="1"/>
  <c r="G8" i="8" s="1"/>
  <c r="G8" i="1"/>
  <c r="I8" i="1" s="1"/>
  <c r="K8" i="1" s="1"/>
  <c r="M8" i="1" s="1"/>
  <c r="G62" i="18"/>
  <c r="H59" i="18" s="1"/>
  <c r="G78" i="18"/>
  <c r="B63" i="18"/>
  <c r="C56" i="18" s="1"/>
  <c r="K97" i="20" l="1"/>
  <c r="K50" i="20"/>
  <c r="K47" i="20"/>
  <c r="K49" i="20" s="1"/>
  <c r="K95" i="20"/>
  <c r="J135" i="18"/>
  <c r="J85" i="20" s="1"/>
  <c r="J136" i="18"/>
  <c r="J86" i="20" s="1"/>
  <c r="J137" i="18"/>
  <c r="J87" i="20" s="1"/>
  <c r="J138" i="18"/>
  <c r="J88" i="20" s="1"/>
  <c r="J139" i="18"/>
  <c r="J89" i="20" s="1"/>
  <c r="J140" i="18"/>
  <c r="J90" i="20" s="1"/>
  <c r="J141" i="18"/>
  <c r="J91" i="20" s="1"/>
  <c r="J142" i="18"/>
  <c r="J92" i="20" s="1"/>
  <c r="J144" i="18"/>
  <c r="J143" i="18"/>
  <c r="J93" i="20" s="1"/>
  <c r="K133" i="18"/>
  <c r="I117" i="18"/>
  <c r="J119" i="18"/>
  <c r="J36" i="20" s="1"/>
  <c r="J120" i="18"/>
  <c r="J37" i="20" s="1"/>
  <c r="J121" i="18"/>
  <c r="J38" i="20" s="1"/>
  <c r="J122" i="18"/>
  <c r="J39" i="20" s="1"/>
  <c r="J123" i="18"/>
  <c r="J40" i="20" s="1"/>
  <c r="J124" i="18"/>
  <c r="J41" i="20" s="1"/>
  <c r="J125" i="18"/>
  <c r="J42" i="20" s="1"/>
  <c r="J126" i="18"/>
  <c r="J43" i="20" s="1"/>
  <c r="J127" i="18"/>
  <c r="J44" i="20" s="1"/>
  <c r="J128" i="18"/>
  <c r="J45" i="20" s="1"/>
  <c r="J129" i="18"/>
  <c r="J46" i="20" s="1"/>
  <c r="J131" i="18"/>
  <c r="J48" i="20" s="1"/>
  <c r="J130" i="18"/>
  <c r="J132" i="18"/>
  <c r="K146" i="18"/>
  <c r="H57" i="18"/>
  <c r="H54" i="18"/>
  <c r="H60" i="18"/>
  <c r="H53" i="18"/>
  <c r="H56" i="18"/>
  <c r="H58" i="18"/>
  <c r="H52" i="18"/>
  <c r="H61" i="18"/>
  <c r="C54" i="18"/>
  <c r="C60" i="18"/>
  <c r="C58" i="18"/>
  <c r="C53" i="18"/>
  <c r="C55" i="18"/>
  <c r="C61" i="18"/>
  <c r="C59" i="18"/>
  <c r="C57" i="18"/>
  <c r="C62" i="18"/>
  <c r="J47" i="20" l="1"/>
  <c r="J49" i="20" s="1"/>
  <c r="J95" i="20"/>
  <c r="J50" i="20"/>
  <c r="J97" i="20"/>
  <c r="J146" i="18"/>
  <c r="I135" i="18"/>
  <c r="I85" i="20" s="1"/>
  <c r="I136" i="18"/>
  <c r="I86" i="20" s="1"/>
  <c r="I137" i="18"/>
  <c r="I87" i="20" s="1"/>
  <c r="I138" i="18"/>
  <c r="I88" i="20" s="1"/>
  <c r="I139" i="18"/>
  <c r="I89" i="20" s="1"/>
  <c r="I140" i="18"/>
  <c r="I90" i="20" s="1"/>
  <c r="I141" i="18"/>
  <c r="I91" i="20" s="1"/>
  <c r="I142" i="18"/>
  <c r="I92" i="20" s="1"/>
  <c r="I143" i="18"/>
  <c r="I93" i="20" s="1"/>
  <c r="I144" i="18"/>
  <c r="J133" i="18"/>
  <c r="H117" i="18"/>
  <c r="I119" i="18"/>
  <c r="I36" i="20" s="1"/>
  <c r="I120" i="18"/>
  <c r="I37" i="20" s="1"/>
  <c r="I121" i="18"/>
  <c r="I38" i="20" s="1"/>
  <c r="I122" i="18"/>
  <c r="I39" i="20" s="1"/>
  <c r="I123" i="18"/>
  <c r="I40" i="20" s="1"/>
  <c r="I124" i="18"/>
  <c r="I41" i="20" s="1"/>
  <c r="I125" i="18"/>
  <c r="I42" i="20" s="1"/>
  <c r="I126" i="18"/>
  <c r="I43" i="20" s="1"/>
  <c r="I127" i="18"/>
  <c r="I44" i="20" s="1"/>
  <c r="I128" i="18"/>
  <c r="I45" i="20" s="1"/>
  <c r="I129" i="18"/>
  <c r="I46" i="20" s="1"/>
  <c r="I130" i="18"/>
  <c r="I131" i="18"/>
  <c r="I48" i="20" s="1"/>
  <c r="I132" i="18"/>
  <c r="H55" i="18"/>
  <c r="H62" i="18" s="1"/>
  <c r="C52" i="18"/>
  <c r="C63" i="18" s="1"/>
  <c r="I97" i="20" l="1"/>
  <c r="I50" i="20"/>
  <c r="I47" i="20"/>
  <c r="I49" i="20" s="1"/>
  <c r="I95" i="20"/>
  <c r="H135" i="18"/>
  <c r="H85" i="20" s="1"/>
  <c r="H136" i="18"/>
  <c r="H86" i="20" s="1"/>
  <c r="H137" i="18"/>
  <c r="H87" i="20" s="1"/>
  <c r="H138" i="18"/>
  <c r="H88" i="20" s="1"/>
  <c r="H139" i="18"/>
  <c r="H89" i="20" s="1"/>
  <c r="H140" i="18"/>
  <c r="H90" i="20" s="1"/>
  <c r="H141" i="18"/>
  <c r="H91" i="20" s="1"/>
  <c r="H142" i="18"/>
  <c r="H92" i="20" s="1"/>
  <c r="H143" i="18"/>
  <c r="H93" i="20" s="1"/>
  <c r="H144" i="18"/>
  <c r="I133" i="18"/>
  <c r="I146" i="18"/>
  <c r="G117" i="18"/>
  <c r="H119" i="18"/>
  <c r="H36" i="20" s="1"/>
  <c r="H120" i="18"/>
  <c r="H37" i="20" s="1"/>
  <c r="H121" i="18"/>
  <c r="H38" i="20" s="1"/>
  <c r="H125" i="18"/>
  <c r="H42" i="20" s="1"/>
  <c r="H129" i="18"/>
  <c r="H46" i="20" s="1"/>
  <c r="H126" i="18"/>
  <c r="H43" i="20" s="1"/>
  <c r="H131" i="18"/>
  <c r="H48" i="20" s="1"/>
  <c r="H124" i="18"/>
  <c r="H41" i="20" s="1"/>
  <c r="H128" i="18"/>
  <c r="H45" i="20" s="1"/>
  <c r="H130" i="18"/>
  <c r="H132" i="18"/>
  <c r="H123" i="18"/>
  <c r="H40" i="20" s="1"/>
  <c r="H127" i="18"/>
  <c r="H44" i="20" s="1"/>
  <c r="H122" i="18"/>
  <c r="H39" i="20" s="1"/>
  <c r="K8" i="10"/>
  <c r="I8" i="10"/>
  <c r="H97" i="20" l="1"/>
  <c r="H95" i="20"/>
  <c r="H50" i="20"/>
  <c r="H47" i="20"/>
  <c r="H49" i="20" s="1"/>
  <c r="H146" i="18"/>
  <c r="G138" i="18"/>
  <c r="G88" i="20" s="1"/>
  <c r="G142" i="18"/>
  <c r="G92" i="20" s="1"/>
  <c r="G137" i="18"/>
  <c r="G87" i="20" s="1"/>
  <c r="G141" i="18"/>
  <c r="G91" i="20" s="1"/>
  <c r="G143" i="18"/>
  <c r="G93" i="20" s="1"/>
  <c r="G136" i="18"/>
  <c r="G86" i="20" s="1"/>
  <c r="G140" i="18"/>
  <c r="G90" i="20" s="1"/>
  <c r="G135" i="18"/>
  <c r="G85" i="20" s="1"/>
  <c r="G139" i="18"/>
  <c r="G89" i="20" s="1"/>
  <c r="G144" i="18"/>
  <c r="H133" i="18"/>
  <c r="F117" i="18"/>
  <c r="G119" i="18"/>
  <c r="G36" i="20" s="1"/>
  <c r="G120" i="18"/>
  <c r="G37" i="20" s="1"/>
  <c r="G121" i="18"/>
  <c r="G38" i="20" s="1"/>
  <c r="G122" i="18"/>
  <c r="G39" i="20" s="1"/>
  <c r="G123" i="18"/>
  <c r="G40" i="20" s="1"/>
  <c r="G124" i="18"/>
  <c r="G41" i="20" s="1"/>
  <c r="G125" i="18"/>
  <c r="G42" i="20" s="1"/>
  <c r="G126" i="18"/>
  <c r="G43" i="20" s="1"/>
  <c r="G127" i="18"/>
  <c r="G44" i="20" s="1"/>
  <c r="G128" i="18"/>
  <c r="G45" i="20" s="1"/>
  <c r="G129" i="18"/>
  <c r="G46" i="20" s="1"/>
  <c r="G130" i="18"/>
  <c r="G131" i="18"/>
  <c r="G48" i="20" s="1"/>
  <c r="G132" i="18"/>
  <c r="K8" i="8"/>
  <c r="I8" i="8"/>
  <c r="G97" i="20" l="1"/>
  <c r="G95" i="20"/>
  <c r="G50" i="20"/>
  <c r="G47" i="20"/>
  <c r="G49" i="20" s="1"/>
  <c r="G146" i="18"/>
  <c r="F135" i="18"/>
  <c r="F85" i="20" s="1"/>
  <c r="F136" i="18"/>
  <c r="F86" i="20" s="1"/>
  <c r="F137" i="18"/>
  <c r="F87" i="20" s="1"/>
  <c r="F138" i="18"/>
  <c r="F88" i="20" s="1"/>
  <c r="F139" i="18"/>
  <c r="F89" i="20" s="1"/>
  <c r="F140" i="18"/>
  <c r="F90" i="20" s="1"/>
  <c r="F141" i="18"/>
  <c r="F91" i="20" s="1"/>
  <c r="F142" i="18"/>
  <c r="F92" i="20" s="1"/>
  <c r="F143" i="18"/>
  <c r="F93" i="20" s="1"/>
  <c r="F144" i="18"/>
  <c r="G133" i="18"/>
  <c r="E117" i="18"/>
  <c r="F119" i="18"/>
  <c r="F36" i="20" s="1"/>
  <c r="F120" i="18"/>
  <c r="F37" i="20" s="1"/>
  <c r="F121" i="18"/>
  <c r="F38" i="20" s="1"/>
  <c r="F122" i="18"/>
  <c r="F39" i="20" s="1"/>
  <c r="F123" i="18"/>
  <c r="F40" i="20" s="1"/>
  <c r="F124" i="18"/>
  <c r="F41" i="20" s="1"/>
  <c r="F125" i="18"/>
  <c r="F42" i="20" s="1"/>
  <c r="F126" i="18"/>
  <c r="F43" i="20" s="1"/>
  <c r="F127" i="18"/>
  <c r="F44" i="20" s="1"/>
  <c r="F128" i="18"/>
  <c r="F45" i="20" s="1"/>
  <c r="F129" i="18"/>
  <c r="F46" i="20" s="1"/>
  <c r="F130" i="18"/>
  <c r="F132" i="18"/>
  <c r="F131" i="18"/>
  <c r="F48" i="20" s="1"/>
  <c r="E12" i="16"/>
  <c r="E16" i="16"/>
  <c r="E15" i="16"/>
  <c r="E14" i="16"/>
  <c r="E13" i="16"/>
  <c r="E11" i="16"/>
  <c r="E9" i="16"/>
  <c r="E8" i="16"/>
  <c r="F97" i="20" l="1"/>
  <c r="F50" i="20"/>
  <c r="F47" i="20"/>
  <c r="F49" i="20" s="1"/>
  <c r="F95" i="20"/>
  <c r="E135" i="18"/>
  <c r="E85" i="20" s="1"/>
  <c r="E136" i="18"/>
  <c r="E86" i="20" s="1"/>
  <c r="E137" i="18"/>
  <c r="E87" i="20" s="1"/>
  <c r="E138" i="18"/>
  <c r="E88" i="20" s="1"/>
  <c r="E139" i="18"/>
  <c r="E89" i="20" s="1"/>
  <c r="E140" i="18"/>
  <c r="E90" i="20" s="1"/>
  <c r="E141" i="18"/>
  <c r="E91" i="20" s="1"/>
  <c r="E142" i="18"/>
  <c r="E92" i="20" s="1"/>
  <c r="E143" i="18"/>
  <c r="E93" i="20" s="1"/>
  <c r="E144" i="18"/>
  <c r="F146" i="18"/>
  <c r="F133" i="18"/>
  <c r="D117" i="18"/>
  <c r="E119" i="18"/>
  <c r="E36" i="20" s="1"/>
  <c r="E120" i="18"/>
  <c r="E37" i="20" s="1"/>
  <c r="E121" i="18"/>
  <c r="E38" i="20" s="1"/>
  <c r="E122" i="18"/>
  <c r="E39" i="20" s="1"/>
  <c r="E123" i="18"/>
  <c r="E40" i="20" s="1"/>
  <c r="E124" i="18"/>
  <c r="E41" i="20" s="1"/>
  <c r="E125" i="18"/>
  <c r="E42" i="20" s="1"/>
  <c r="E126" i="18"/>
  <c r="E43" i="20" s="1"/>
  <c r="E127" i="18"/>
  <c r="E44" i="20" s="1"/>
  <c r="E128" i="18"/>
  <c r="E45" i="20" s="1"/>
  <c r="E129" i="18"/>
  <c r="E46" i="20" s="1"/>
  <c r="E130" i="18"/>
  <c r="E131" i="18"/>
  <c r="E48" i="20" s="1"/>
  <c r="E132" i="18"/>
  <c r="E95" i="20" l="1"/>
  <c r="E50" i="20"/>
  <c r="E47" i="20"/>
  <c r="E49" i="20" s="1"/>
  <c r="E97" i="20"/>
  <c r="E146" i="18"/>
  <c r="D135" i="18"/>
  <c r="D85" i="20" s="1"/>
  <c r="D136" i="18"/>
  <c r="D86" i="20" s="1"/>
  <c r="D137" i="18"/>
  <c r="D87" i="20" s="1"/>
  <c r="D138" i="18"/>
  <c r="D88" i="20" s="1"/>
  <c r="D139" i="18"/>
  <c r="D89" i="20" s="1"/>
  <c r="D140" i="18"/>
  <c r="D90" i="20" s="1"/>
  <c r="D141" i="18"/>
  <c r="D91" i="20" s="1"/>
  <c r="D142" i="18"/>
  <c r="D92" i="20" s="1"/>
  <c r="D143" i="18"/>
  <c r="D93" i="20" s="1"/>
  <c r="D144" i="18"/>
  <c r="C117" i="18"/>
  <c r="C144" i="18" s="1"/>
  <c r="D119" i="18"/>
  <c r="D36" i="20" s="1"/>
  <c r="D120" i="18"/>
  <c r="D37" i="20" s="1"/>
  <c r="D121" i="18"/>
  <c r="D38" i="20" s="1"/>
  <c r="D124" i="18"/>
  <c r="D41" i="20" s="1"/>
  <c r="D128" i="18"/>
  <c r="D45" i="20" s="1"/>
  <c r="D129" i="18"/>
  <c r="D46" i="20" s="1"/>
  <c r="D123" i="18"/>
  <c r="D40" i="20" s="1"/>
  <c r="D127" i="18"/>
  <c r="D44" i="20" s="1"/>
  <c r="D131" i="18"/>
  <c r="D48" i="20" s="1"/>
  <c r="D122" i="18"/>
  <c r="D39" i="20" s="1"/>
  <c r="D126" i="18"/>
  <c r="D43" i="20" s="1"/>
  <c r="D125" i="18"/>
  <c r="D42" i="20" s="1"/>
  <c r="D130" i="18"/>
  <c r="D132" i="18"/>
  <c r="E133" i="18"/>
  <c r="D50" i="20" l="1"/>
  <c r="D97" i="20"/>
  <c r="D95" i="20"/>
  <c r="D47" i="20"/>
  <c r="D49" i="20" s="1"/>
  <c r="D146" i="18"/>
  <c r="D133" i="18"/>
  <c r="C143" i="18"/>
  <c r="C93" i="20" s="1"/>
  <c r="C139" i="18"/>
  <c r="C89" i="20" s="1"/>
  <c r="C135" i="18"/>
  <c r="C85" i="20" s="1"/>
  <c r="C131" i="18"/>
  <c r="C48" i="20" s="1"/>
  <c r="C125" i="18"/>
  <c r="C42" i="20" s="1"/>
  <c r="C121" i="18"/>
  <c r="C38" i="20" s="1"/>
  <c r="C142" i="18"/>
  <c r="C92" i="20" s="1"/>
  <c r="C138" i="18"/>
  <c r="C88" i="20" s="1"/>
  <c r="C141" i="18"/>
  <c r="C91" i="20" s="1"/>
  <c r="C137" i="18"/>
  <c r="C87" i="20" s="1"/>
  <c r="C132" i="18"/>
  <c r="C127" i="18"/>
  <c r="C44" i="20" s="1"/>
  <c r="C123" i="18"/>
  <c r="C40" i="20" s="1"/>
  <c r="C119" i="18"/>
  <c r="C36" i="20" s="1"/>
  <c r="C140" i="18"/>
  <c r="C90" i="20" s="1"/>
  <c r="C136" i="18"/>
  <c r="C86" i="20" s="1"/>
  <c r="C130" i="18"/>
  <c r="C122" i="18"/>
  <c r="C39" i="20" s="1"/>
  <c r="C129" i="18"/>
  <c r="C46" i="20" s="1"/>
  <c r="C120" i="18"/>
  <c r="C37" i="20" s="1"/>
  <c r="C126" i="18"/>
  <c r="C43" i="20" s="1"/>
  <c r="C124" i="18"/>
  <c r="C41" i="20" s="1"/>
  <c r="C128" i="18"/>
  <c r="C45" i="20" s="1"/>
  <c r="C97" i="20" l="1"/>
  <c r="C50" i="20"/>
  <c r="C95" i="20"/>
  <c r="C47" i="20"/>
  <c r="C49" i="20" s="1"/>
  <c r="C146" i="18"/>
  <c r="C133" i="18"/>
</calcChain>
</file>

<file path=xl/sharedStrings.xml><?xml version="1.0" encoding="utf-8"?>
<sst xmlns="http://schemas.openxmlformats.org/spreadsheetml/2006/main" count="475" uniqueCount="120">
  <si>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biogás y biomasa.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</si>
  <si>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Grupos de emergencia que se instalan de forma transitoria en determinadas zonas para cubrir un déficit de generación.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</si>
  <si>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</si>
  <si>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</si>
  <si>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</si>
  <si>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</si>
  <si>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</si>
  <si>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</si>
  <si>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</si>
  <si>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</si>
  <si>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r>
      <t xml:space="preserve">Generación auxiliar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</si>
  <si>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(2)</t>
    </r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</si>
  <si>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</si>
  <si>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</si>
  <si>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</si>
  <si>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</si>
  <si>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</si>
  <si>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</si>
  <si>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</si>
  <si>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</si>
  <si>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</si>
  <si>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</si>
  <si>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</si>
  <si>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</si>
  <si>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</si>
  <si>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</si>
  <si>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</si>
  <si>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</si>
  <si>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</si>
  <si>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</si>
  <si>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</si>
  <si>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</si>
  <si>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</si>
  <si>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</si>
  <si>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</si>
  <si>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</si>
  <si>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</si>
  <si>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</si>
  <si>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</si>
  <si>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</si>
  <si>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</si>
  <si>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</si>
  <si>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</si>
  <si>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</si>
  <si>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</si>
  <si>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</si>
  <si>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</si>
  <si>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</si>
  <si>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</si>
  <si>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</si>
  <si>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</si>
  <si>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</si>
  <si>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</si>
  <si>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</si>
  <si>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</si>
  <si>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</si>
  <si>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</si>
  <si>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</si>
  <si>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generación auxiliar.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</si>
  <si>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</si>
  <si>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</si>
  <si>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</si>
  <si>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</si>
  <si>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</si>
  <si>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</si>
  <si>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(5)</t>
    </r>
  </si>
  <si>
    <t>Febrero 2018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</si>
  <si>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</si>
  <si>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</si>
  <si>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</si>
  <si>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</si>
  <si>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</si>
  <si>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</si>
  <si>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</si>
  <si>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</si>
  <si>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</si>
  <si>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</si>
  <si>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</si>
  <si>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</si>
  <si>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</si>
  <si>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</si>
  <si>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</si>
  <si>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</si>
  <si>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</si>
  <si>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</si>
  <si>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</si>
  <si>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</si>
  <si>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</si>
  <si>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</si>
  <si>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</si>
  <si>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</si>
  <si>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</si>
  <si>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</si>
  <si>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</si>
  <si>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</si>
  <si>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</si>
  <si>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</si>
  <si>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</si>
  <si>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</si>
  <si>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</si>
  <si>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</si>
  <si>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Abril 2018</t>
  </si>
  <si>
    <t>Marzo 2018</t>
  </si>
  <si>
    <t>Mayo 2018</t>
  </si>
  <si>
    <t>Agosto 2018</t>
  </si>
  <si>
    <t>Motores diesel</t>
  </si>
  <si>
    <t>Demanda transporte (b.c.)</t>
  </si>
  <si>
    <t>Junio 2018</t>
  </si>
  <si>
    <t>Julio 2018</t>
  </si>
  <si>
    <t>Evolución de la cobertura de la demanda de las Islas Baleares</t>
  </si>
  <si>
    <r>
      <t xml:space="preserve">Fuel/gas </t>
    </r>
    <r>
      <rPr>
        <vertAlign val="superscript"/>
        <sz val="8"/>
        <color rgb="FF004563"/>
        <rFont val="Arial"/>
        <family val="2"/>
      </rPr>
      <t>(1)</t>
    </r>
  </si>
  <si>
    <t>Septiembre 2018</t>
  </si>
  <si>
    <t>Octubre 2018</t>
  </si>
  <si>
    <t>31/10/2018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</si>
  <si>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ut="11/12/2018 09:18:42" si="2.0000000161da5ec05b239966bc8e16b9374a422a07ed3945b4bb8f81be036c6f742a8fc35a847b7a8ded07b68cea2f70eae9c90427ae376f337093190bd4e98deb872048211ecef4a8ade631c09b3ec68501cef11db86b3f4f49991e263570aace85fbd7a915132cf2ea7914eec27e2e77f356c663065d945bfb67a1facdb4a04478.3082.0.1.Europe/Madrid.upriv*_1*_pidn2*_21*_session*-lat*_1.00000001b15b45dcb7035c60f98556917ee98faeb5ee3e72f3fcb0afb78e85ff3de9f24f9f093a426aa8c7fe9e6ec5ef2daad6103bde5362.00000001c45b521a060916774799ef1572e8f6afb5ee3e72543ebe7c82e4a0068d3400b35574486c7c2b49be69af8122380ac419efe3195e.0.1.1.BDEbi.D066E1C611E6257C10D00080EF253B44.0-3082.1.1_-0.1.0_-3082.1.1_5.5.0.*0.000000011031719d830b6623c4cb623d45054c98c911585ac1cadcf99a99db77787e38c2549903ef.0.10*.25*.15*.214.23.10*.4*.0400*.0074J.e.0000000154980e6434dc0a8cd6a50fa07dee05dbc911585a208592dcc3ac496ab05117cb9f372685.0" msgID="F1D70E4C11E8E65B0D760080EFD533D1"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</si>
  <si>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guid="9e1f976695ae4479bd2a9d9810fc7dcb" rank="0" ds="1"&gt;&lt;ri hasPG="0" name="Balance Potencia Mensual Baleares y Canarias" id="57A30EDF4E8F1228975B5BA9995BC744" path="Objetos públicos\Informes\Informes macros\Boletín\Balance Potencia Mensual Baleares y Canarias"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ut="11/12/2018 09:18:44" si="2.0000000161da5ec05b239966bc8e16b9374a422a07ed3945b4bb8f81be036c6f742a8fc35a847b7a8ded07b68cea2f70eae9c90427ae376f337093190bd4e98deb872048211ecef4a8ade631c09b3ec68501cef11db86b3f4f49991e263570aace85fbd7a915132cf2ea7914eec27e2e77f356c663065d945bfb67a1facdb4a04478.3082.0.1.Europe/Madrid.upriv*_1*_pidn2*_21*_session*-lat*_1.00000001b15b45dcb7035c60f98556917ee98faeb5ee3e72f3fcb0afb78e85ff3de9f24f9f093a426aa8c7fe9e6ec5ef2daad6103bde5362.00000001c45b521a060916774799ef1572e8f6afb5ee3e72543ebe7c82e4a0068d3400b35574486c7c2b49be69af8122380ac419efe3195e.0.1.1.BDEbi.D066E1C611E6257C10D00080EF253B44.0-3082.1.1_-0.1.0_-3082.1.1_5.5.0.*0.000000011031719d830b6623c4cb623d45054c98c911585ac1cadcf99a99db77787e38c2549903ef.0.10*.25*.15*.214.23.10*.4*.0400*.0074J.e.0000000154980e6434dc0a8cd6a50fa07dee05dbc911585a208592dcc3ac496ab05117cb9f372685.0" msgID="F1D3251711E8E65B0D760080EF35F1CE"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ece="A29" enr="MSTR.Balance_Potencia_Mensual_Baleares_y_Canarias" ptn="" qtn="" rows="20" cols="3" /&gt;&lt;esdo ews="" ece="" ptn="" /&gt;&lt;/excel&gt;&lt;pgs&gt;&lt;pg rows="16" cols="2" nrr="204" nrc="26"&gt;&lt;pg /&gt;&lt;bls&gt;&lt;bl sr="1" sc="1" rfetch="16" cfetch="2" posid="1" darows="0" dacols="1"&gt;&lt;excel&gt;&lt;epo ews="Dat_01" ece="A29" enr="MSTR.Balance_Potencia_Mensual_Baleares_y_Canarias" ptn="" qtn="" rows="20" cols="3" /&gt;&lt;esdo ews="" ece="" ptn="" /&gt;&lt;/excel&gt;&lt;gridRng&gt;&lt;sect id="TITLE_AREA" rngprop="1:1:4:1" /&gt;&lt;sect id="ROWHEADERS_AREA" rngprop="5:1:16:1" /&gt;&lt;sect id="COLUMNHEADERS_AREA" rngprop="1:2:4:2" /&gt;&lt;sect id="DATA_AREA" rngprop="5:2:16:2" /&gt;&lt;/gridRng&gt;&lt;shapes /&gt;&lt;/bl&gt;&lt;/bls&gt;&lt;/pg&gt;&lt;/pgs&gt;&lt;/rptloc&gt;&lt;/mi&gt;</t>
  </si>
  <si>
    <t>Noviembre 2018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</si>
  <si>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ut="11/12/2018 09:19:20" si="2.0000000161da5ec05b239966bc8e16b9374a422a07ed3945b4bb8f81be036c6f742a8fc35a847b7a8ded07b68cea2f70eae9c90427ae376f337093190bd4e98deb872048211ecef4a8ade631c09b3ec68501cef11db86b3f4f49991e263570aace85fbd7a915132cf2ea7914eec27e2e77f356c663065d945bfb67a1facdb4a04478.3082.0.1.Europe/Madrid.upriv*_1*_pidn2*_21*_session*-lat*_1.00000001b15b45dcb7035c60f98556917ee98faeb5ee3e72f3fcb0afb78e85ff3de9f24f9f093a426aa8c7fe9e6ec5ef2daad6103bde5362.00000001c45b521a060916774799ef1572e8f6afb5ee3e72543ebe7c82e4a0068d3400b35574486c7c2b49be69af8122380ac419efe3195e.0.1.1.BDEbi.D066E1C611E6257C10D00080EF253B44.0-3082.1.1_-0.1.0_-3082.1.1_5.5.0.*0.000000011031719d830b6623c4cb623d45054c98c911585ac1cadcf99a99db77787e38c2549903ef.0.10*.25*.15*.214.23.10*.4*.0400*.0074J.e.0000000154980e6434dc0a8cd6a50fa07dee05dbc911585a208592dcc3ac496ab05117cb9f372685.0" msgID="F1E4B81C11E8E65B0D760080EF0592D0"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cols="25" /&gt;&lt;esdo ews="" ece="" ptn="" /&gt;&lt;/excel&gt;&lt;pgs&gt;&lt;pg rows="25" cols="23" nrr="327" nrc="265"&gt;&lt;pg /&gt;&lt;bls&gt;&lt;bl sr="1" sc="1" rfetch="25" cfetch="23" posid="1" darows="0" dacols="1"&gt;&lt;excel&gt;&lt;epo ews="Dat_01" ece="A85" enr="MSTR.Serie_Balance_B.C._Mensual_Baleares_y_Canarias" ptn="" qtn="" rows="28" cols="25" /&gt;&lt;esdo ews="" ece="" ptn="" /&gt;&lt;/excel&gt;&lt;gridRng&gt;&lt;sect id="TITLE_AREA" rngprop="1:1:3:2" /&gt;&lt;sect id="ROWHEADERS_AREA" rngprop="4:1:25:2" /&gt;&lt;sect id="COLUMNHEADERS_AREA" rngprop="1:3:3:23" /&gt;&lt;sect id="DATA_AREA" rngprop="4:3:25:23" /&gt;&lt;/gridRng&gt;&lt;shapes /&gt;&lt;/bl&gt;&lt;/bls&gt;&lt;/pg&gt;&lt;/pgs&gt;&lt;/rptloc&gt;&lt;/mi&gt;</t>
  </si>
  <si>
    <t>f96cf0b7477947a59a1b1029bfb1a9d8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</si>
  <si>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ut="11/12/2018 09:20:01" si="2.0000000161da5ec05b239966bc8e16b9374a422a07ed3945b4bb8f81be036c6f742a8fc35a847b7a8ded07b68cea2f70eae9c90427ae376f337093190bd4e98deb872048211ecef4a8ade631c09b3ec68501cef11db86b3f4f49991e263570aace85fbd7a915132cf2ea7914eec27e2e77f356c663065d945bfb67a1facdb4a04478.3082.0.1.Europe/Madrid.upriv*_1*_pidn2*_21*_session*-lat*_1.00000001b15b45dcb7035c60f98556917ee98faeb5ee3e72f3fcb0afb78e85ff3de9f24f9f093a426aa8c7fe9e6ec5ef2daad6103bde5362.00000001c45b521a060916774799ef1572e8f6afb5ee3e72543ebe7c82e4a0068d3400b35574486c7c2b49be69af8122380ac419efe3195e.0.1.1.BDEbi.D066E1C611E6257C10D00080EF253B44.0-3082.1.1_-0.1.0_-3082.1.1_5.5.0.*0.000000011031719d830b6623c4cb623d45054c98c911585ac1cadcf99a99db77787e38c2549903ef.0.10*.25*.15*.214.23.10*.4*.0400*.0074J.e.0000000154980e6434dc0a8cd6a50fa07dee05dbc911585a208592dcc3ac496ab05117cb9f372685.0" msgID="F1E1891211E8E65B0D760080EFB5F1CF"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nrr="238" nrc="448"&gt;&lt;pg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</si>
</sst>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[$-C0A]mmm\-yy;@"/>
  </numFmts>
  <fonts count="49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sz val="10"/>
      <color rgb="FF004563"/>
      <name val="Geneva"/>
    </font>
    <font>
      <sz val="11"/>
      <color rgb="FF00456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0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</cellStyleXfs>
  <cellXfs count="224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7" fillId="2" borderId="0" xfId="3" applyNumberFormat="1" applyFont="1" applyFill="1" applyBorder="1" applyAlignment="1" applyProtection="1">
      <alignment horizontal="right" indent="1"/>
    </xf>
    <xf numFmtId="3" fontId="7" fillId="2" borderId="0" xfId="3" applyNumberFormat="1" applyFont="1" applyFill="1" applyBorder="1" applyAlignment="1" applyProtection="1">
      <alignment horizontal="right" indent="1"/>
    </xf>
    <xf numFmtId="3" fontId="7" fillId="2" borderId="2" xfId="1" applyNumberFormat="1" applyFont="1" applyFill="1" applyBorder="1" applyAlignment="1" applyProtection="1">
      <alignment horizontal="left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2" fillId="0" borderId="0" xfId="1" applyFont="1" applyFill="1" applyAlignment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166" fontId="7" fillId="0" borderId="0" xfId="4" applyFont="1" applyFill="1" applyBorder="1" applyAlignment="1" applyProtection="1"/>
    <xf numFmtId="0" fontId="47" fillId="0" borderId="0" xfId="6" applyFont="1" applyFill="1" applyBorder="1" applyProtection="1"/>
    <xf numFmtId="0" fontId="48" fillId="0" borderId="0" xfId="0" applyFont="1"/>
    <xf numFmtId="166" fontId="5" fillId="2" borderId="3" xfId="4" applyFont="1" applyFill="1" applyBorder="1" applyAlignment="1">
      <alignment horizontal="left"/>
    </xf>
    <xf numFmtId="1" fontId="7" fillId="2" borderId="3" xfId="4" applyNumberFormat="1" applyFont="1" applyFill="1" applyBorder="1" applyAlignment="1" applyProtection="1">
      <alignment horizontal="right" indent="1"/>
    </xf>
    <xf numFmtId="0" fontId="5" fillId="2" borderId="0" xfId="4" applyNumberFormat="1" applyFont="1" applyFill="1" applyAlignment="1">
      <alignment horizontal="left"/>
    </xf>
    <xf numFmtId="166" fontId="7" fillId="2" borderId="3" xfId="4" applyFont="1" applyFill="1" applyBorder="1" applyAlignment="1">
      <alignment horizontal="left"/>
    </xf>
    <xf numFmtId="3" fontId="7" fillId="2" borderId="3" xfId="3" applyNumberFormat="1" applyFont="1" applyFill="1" applyBorder="1" applyAlignment="1" applyProtection="1">
      <alignment horizontal="right" indent="1"/>
    </xf>
    <xf numFmtId="165" fontId="7" fillId="2" borderId="3" xfId="3" applyNumberFormat="1" applyFont="1" applyFill="1" applyBorder="1" applyAlignment="1" applyProtection="1">
      <alignment horizontal="right" indent="1"/>
    </xf>
    <xf numFmtId="166" fontId="5" fillId="0" borderId="0" xfId="4" applyFont="1" applyFill="1" applyBorder="1" applyProtection="1"/>
    <xf numFmtId="169" fontId="5" fillId="2" borderId="3" xfId="4" applyNumberFormat="1" applyFont="1" applyFill="1" applyBorder="1" applyAlignment="1" applyProtection="1">
      <alignment horizontal="right" indent="1"/>
    </xf>
    <xf numFmtId="0" fontId="7" fillId="2" borderId="2" xfId="4" applyNumberFormat="1" applyFont="1" applyFill="1" applyBorder="1" applyAlignment="1">
      <alignment horizontal="left"/>
    </xf>
    <xf numFmtId="3" fontId="7" fillId="2" borderId="1" xfId="3" applyNumberFormat="1" applyFont="1" applyFill="1" applyBorder="1" applyProtection="1"/>
    <xf numFmtId="165" fontId="5" fillId="0" borderId="0" xfId="2" applyNumberFormat="1" applyFont="1" applyFill="1" applyBorder="1" applyAlignment="1" applyProtection="1">
      <alignment horizontal="left"/>
    </xf>
    <xf numFmtId="3" fontId="5" fillId="0" borderId="0" xfId="3" applyNumberFormat="1" applyFont="1" applyFill="1" applyBorder="1" applyAlignment="1" applyProtection="1">
      <alignment horizontal="right" indent="1"/>
    </xf>
    <xf numFmtId="3" fontId="7" fillId="0" borderId="4" xfId="3" applyNumberFormat="1" applyFont="1" applyFill="1" applyBorder="1" applyProtection="1"/>
    <xf numFmtId="3" fontId="7" fillId="0" borderId="4" xfId="3" applyNumberFormat="1" applyFont="1" applyFill="1" applyBorder="1" applyAlignment="1" applyProtection="1">
      <alignment horizontal="right" indent="1"/>
    </xf>
    <xf numFmtId="0" fontId="2" fillId="10" borderId="0" xfId="6" applyFont="1" applyFill="1" applyBorder="1" applyProtection="1"/>
    <xf numFmtId="0" fontId="33" fillId="7" borderId="10" xfId="19" quotePrefix="1" applyAlignment="1">
      <alignment horizontal="center" vertical="center"/>
    </xf>
    <xf numFmtId="0" fontId="33" fillId="7" borderId="10" xfId="23" quotePrefix="1" applyAlignment="1">
      <alignment horizontal="center"/>
    </xf>
    <xf numFmtId="0" fontId="35" fillId="0" borderId="10" xfId="18" quotePrefix="1" applyFill="1" applyAlignment="1">
      <alignment horizontal="left" vertical="center"/>
    </xf>
    <xf numFmtId="165" fontId="34" fillId="0" borderId="10" xfId="16" applyFill="1" applyAlignment="1">
      <alignment horizontal="right" vertical="center"/>
    </xf>
    <xf numFmtId="0" fontId="37" fillId="0" borderId="10" xfId="21" quotePrefix="1" applyFill="1" applyAlignment="1">
      <alignment horizontal="left" vertical="center"/>
    </xf>
    <xf numFmtId="165" fontId="32" fillId="0" borderId="10" xfId="13" applyFill="1" applyAlignment="1">
      <alignment horizontal="right" vertic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</cellXfs>
  <cellStyles count="30">
    <cellStyle name="consejo" xfId="25"/>
    <cellStyle name="Hipervínculo 2" xfId="12"/>
    <cellStyle name="Hipervínculo 3" xfId="9"/>
    <cellStyle name="MSTRStyle.Todos.c1_3d3d080f-6df6-44a9-b5f1-04b3c7a77bcb" xfId="22"/>
    <cellStyle name="MSTRStyle.Todos.c13_ad47ecc7-7d15-4cb6-8d9a-93aa07ca2c9c" xfId="19"/>
    <cellStyle name="MSTRStyle.Todos.c16_3321957e-8d69-4b7d-b341-a61e10f4c85f" xfId="28"/>
    <cellStyle name="MSTRStyle.Todos.c16_992610b3-1d75-4a3b-aec2-5e10b699bccc" xfId="16"/>
    <cellStyle name="MSTRStyle.Todos.c18_2edb5857-a1bf-42f0-9a50-c8f838c8cf47" xfId="17"/>
    <cellStyle name="MSTRStyle.Todos.c19_064608f2-5935-4cf9-a2ea-5b767d2f9646" xfId="20"/>
    <cellStyle name="MSTRStyle.Todos.c2_e2ab52e8-4747-4d05-9824-941fa4c21d4d" xfId="14"/>
    <cellStyle name="MSTRStyle.Todos.c20_8265551a-eda9-4950-be81-f3edd1f706c5" xfId="26"/>
    <cellStyle name="MSTRStyle.Todos.c21_3101a5c9-3ba0-4c6d-a6f9-97deae704e2f" xfId="27"/>
    <cellStyle name="MSTRStyle.Todos.c21_6668c9a3-2aa2-48fb-8c2d-7bab965807c5" xfId="29"/>
    <cellStyle name="MSTRStyle.Todos.c22_b4931035-0805-433b-baf6-e882aeb4ab92" xfId="21"/>
    <cellStyle name="MSTRStyle.Todos.c23_da26eb4b-ec0b-4c23-ba57-a8c5e38b6641" xfId="13"/>
    <cellStyle name="MSTRStyle.Todos.c24_ac422d6a-d102-4f53-b7ea-bd7f18181498" xfId="15"/>
    <cellStyle name="MSTRStyle.Todos.c3_ee34052e-6a5a-4931-979c-9f16bd5045b9" xfId="18"/>
    <cellStyle name="MSTRStyle.Todos.c7_81c12adb-1e68-4af7-a308-cda2119f5b62" xfId="24"/>
    <cellStyle name="MSTRStyle.Todos.c9_caa3568f-cc2a-4a40-813f-c12ba6feac0e" xfId="23"/>
    <cellStyle name="Normal" xfId="0" builtinId="0"/>
    <cellStyle name="Normal 2" xfId="4"/>
    <cellStyle name="Normal 2 2" xfId="11"/>
    <cellStyle name="Normal 3 2" xfId="2"/>
    <cellStyle name="Normal 4 2" xfId="7"/>
    <cellStyle name="Normal 7" xfId="10"/>
    <cellStyle name="Normal_5 Regimen Especial" xfId="6"/>
    <cellStyle name="Normal_7 Red de Transporte - Salvo perdidas" xfId="8"/>
    <cellStyle name="Normal_A1 Comparacion Internacional" xfId="5"/>
    <cellStyle name="Normal_cuadro 1.1 2" xfId="3"/>
    <cellStyle name="Normal_TTTTTTTT" xfId="1"/>
  </cellStyles>
  <dxfs count="0"/>
  <tableStyles count="0" defaultTableStyle="TableStyleMedium2" defaultPivotStyle="PivotStyleLight16"/>
  <colors>
    <mruColors>
      <color rgb="FFF5F5F5"/>
      <color rgb="FFA0A0A0"/>
      <color rgb="FF6FB114"/>
      <color rgb="FFE48500"/>
      <color rgb="FF666666"/>
      <color rgb="FF8FA2D4"/>
      <color rgb="FF9A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9A5CBC"/>
              </a:solidFill>
            </c:spPr>
          </c:dPt>
          <c:dPt>
            <c:idx val="11"/>
            <c:bubble3D val="0"/>
            <c:spPr>
              <a:solidFill>
                <a:srgbClr val="8FA2D4"/>
              </a:solidFill>
            </c:spPr>
          </c:dPt>
          <c:dLbls>
            <c:dLbl>
              <c:idx val="0"/>
              <c:layout>
                <c:manualLayout>
                  <c:x val="0.16260162601626016"/>
                  <c:y val="1.24181719932067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3658536585365855"/>
                  <c:y val="0.173856337810714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9837398373983739"/>
                  <c:y val="0.175816929133858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2489558927085335"/>
                  <c:y val="0.190686274509803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22764227642276422"/>
                  <c:y val="0.147058823529411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1626029063440241"/>
                  <c:y val="2.50000000000000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016260162601626"/>
                  <c:y val="-0.200980392156862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26178874591895523"/>
                  <c:y val="-2.5027404662652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0731707317073171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008130081300754E-2"/>
                  <c:y val="-0.199160104986876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1821138211382114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39.200000000000003</c:v>
                </c:pt>
                <c:pt idx="1">
                  <c:v>12.2</c:v>
                </c:pt>
                <c:pt idx="2">
                  <c:v>11.5</c:v>
                </c:pt>
                <c:pt idx="3">
                  <c:v>9.6</c:v>
                </c:pt>
                <c:pt idx="4">
                  <c:v>0.1</c:v>
                </c:pt>
                <c:pt idx="5">
                  <c:v>0.5</c:v>
                </c:pt>
                <c:pt idx="6">
                  <c:v>2.9</c:v>
                </c:pt>
                <c:pt idx="7">
                  <c:v>2.9</c:v>
                </c:pt>
                <c:pt idx="8">
                  <c:v>0.1</c:v>
                </c:pt>
                <c:pt idx="9">
                  <c:v>1.6</c:v>
                </c:pt>
                <c:pt idx="10">
                  <c:v>0</c:v>
                </c:pt>
                <c:pt idx="11">
                  <c:v>19.399999999999999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A99BBD"/>
              </a:solidFill>
            </c:spPr>
          </c:dPt>
          <c:dLbls>
            <c:dLbl>
              <c:idx val="0"/>
              <c:layout>
                <c:manualLayout>
                  <c:x val="0.21463414634146341"/>
                  <c:y val="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6585365853658537"/>
                  <c:y val="0.12254901960784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1138211382113822"/>
                  <c:y val="0.122549019607843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26341463414634148"/>
                  <c:y val="9.31372549019607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1463414634146341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6260162601626016"/>
                  <c:y val="-0.127450980392156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878048780487805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6.6666538633890216E-2"/>
                  <c:y val="-0.178921568627450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6304180270149157"/>
                  <c:y val="-0.142427435541145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27317073170731709"/>
                  <c:y val="-4.41176470588235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20.500000000000014</c:v>
                </c:pt>
                <c:pt idx="1">
                  <c:v>8</c:v>
                </c:pt>
                <c:pt idx="2">
                  <c:v>26.5</c:v>
                </c:pt>
                <c:pt idx="3">
                  <c:v>37.5</c:v>
                </c:pt>
                <c:pt idx="4">
                  <c:v>0</c:v>
                </c:pt>
                <c:pt idx="5">
                  <c:v>0.5</c:v>
                </c:pt>
                <c:pt idx="6">
                  <c:v>1.6</c:v>
                </c:pt>
                <c:pt idx="7">
                  <c:v>1.6</c:v>
                </c:pt>
                <c:pt idx="8">
                  <c:v>0.2</c:v>
                </c:pt>
                <c:pt idx="9">
                  <c:v>3.5</c:v>
                </c:pt>
                <c:pt idx="10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oct.-17</c:v>
                </c:pt>
                <c:pt idx="1">
                  <c:v>nov.-17</c:v>
                </c:pt>
                <c:pt idx="2">
                  <c:v>dic.-17</c:v>
                </c:pt>
                <c:pt idx="3">
                  <c:v>ene.-18</c:v>
                </c:pt>
                <c:pt idx="4">
                  <c:v>feb.-18</c:v>
                </c:pt>
                <c:pt idx="5">
                  <c:v>mar.-18</c:v>
                </c:pt>
                <c:pt idx="6">
                  <c:v>abr.-18</c:v>
                </c:pt>
                <c:pt idx="7">
                  <c:v>may.-18</c:v>
                </c:pt>
                <c:pt idx="8">
                  <c:v>jun.-18</c:v>
                </c:pt>
                <c:pt idx="9">
                  <c:v>jul.-18</c:v>
                </c:pt>
                <c:pt idx="10">
                  <c:v>ago.-18</c:v>
                </c:pt>
                <c:pt idx="11">
                  <c:v>sep.-18</c:v>
                </c:pt>
                <c:pt idx="12">
                  <c:v>oct.-18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196.316934</c:v>
                </c:pt>
                <c:pt idx="1">
                  <c:v>152.281554</c:v>
                </c:pt>
                <c:pt idx="2">
                  <c:v>204.11071200000001</c:v>
                </c:pt>
                <c:pt idx="3">
                  <c:v>198.55502899999999</c:v>
                </c:pt>
                <c:pt idx="4">
                  <c:v>192.79493400000001</c:v>
                </c:pt>
                <c:pt idx="5">
                  <c:v>199.82157000000001</c:v>
                </c:pt>
                <c:pt idx="6">
                  <c:v>183.05622099999999</c:v>
                </c:pt>
                <c:pt idx="7">
                  <c:v>185.327823</c:v>
                </c:pt>
                <c:pt idx="8">
                  <c:v>204.87973099999999</c:v>
                </c:pt>
                <c:pt idx="9">
                  <c:v>242.068479</c:v>
                </c:pt>
                <c:pt idx="10">
                  <c:v>257.31310999999999</c:v>
                </c:pt>
                <c:pt idx="11">
                  <c:v>250.63039499999999</c:v>
                </c:pt>
                <c:pt idx="12">
                  <c:v>186.34634299999999</c:v>
                </c:pt>
              </c:numCache>
            </c:numRef>
          </c:val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oct.-17</c:v>
                </c:pt>
                <c:pt idx="1">
                  <c:v>nov.-17</c:v>
                </c:pt>
                <c:pt idx="2">
                  <c:v>dic.-17</c:v>
                </c:pt>
                <c:pt idx="3">
                  <c:v>ene.-18</c:v>
                </c:pt>
                <c:pt idx="4">
                  <c:v>feb.-18</c:v>
                </c:pt>
                <c:pt idx="5">
                  <c:v>mar.-18</c:v>
                </c:pt>
                <c:pt idx="6">
                  <c:v>abr.-18</c:v>
                </c:pt>
                <c:pt idx="7">
                  <c:v>may.-18</c:v>
                </c:pt>
                <c:pt idx="8">
                  <c:v>jun.-18</c:v>
                </c:pt>
                <c:pt idx="9">
                  <c:v>jul.-18</c:v>
                </c:pt>
                <c:pt idx="10">
                  <c:v>ago.-18</c:v>
                </c:pt>
                <c:pt idx="11">
                  <c:v>sep.-18</c:v>
                </c:pt>
                <c:pt idx="12">
                  <c:v>oct.-18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103.725115</c:v>
                </c:pt>
                <c:pt idx="1">
                  <c:v>87.351703999999998</c:v>
                </c:pt>
                <c:pt idx="2">
                  <c:v>97.886178999999998</c:v>
                </c:pt>
                <c:pt idx="3">
                  <c:v>94.932437999999991</c:v>
                </c:pt>
                <c:pt idx="4">
                  <c:v>98.852191000000005</c:v>
                </c:pt>
                <c:pt idx="5">
                  <c:v>96.980013</c:v>
                </c:pt>
                <c:pt idx="6">
                  <c:v>94.399130999999997</c:v>
                </c:pt>
                <c:pt idx="7">
                  <c:v>117.63489</c:v>
                </c:pt>
                <c:pt idx="8">
                  <c:v>137.88146899999998</c:v>
                </c:pt>
                <c:pt idx="9">
                  <c:v>181.892819</c:v>
                </c:pt>
                <c:pt idx="10">
                  <c:v>185.88845900000001</c:v>
                </c:pt>
                <c:pt idx="11">
                  <c:v>149.44745</c:v>
                </c:pt>
                <c:pt idx="12">
                  <c:v>112.50755500000001</c:v>
                </c:pt>
              </c:numCache>
            </c:numRef>
          </c:val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oct.-17</c:v>
                </c:pt>
                <c:pt idx="1">
                  <c:v>nov.-17</c:v>
                </c:pt>
                <c:pt idx="2">
                  <c:v>dic.-17</c:v>
                </c:pt>
                <c:pt idx="3">
                  <c:v>ene.-18</c:v>
                </c:pt>
                <c:pt idx="4">
                  <c:v>feb.-18</c:v>
                </c:pt>
                <c:pt idx="5">
                  <c:v>mar.-18</c:v>
                </c:pt>
                <c:pt idx="6">
                  <c:v>abr.-18</c:v>
                </c:pt>
                <c:pt idx="7">
                  <c:v>may.-18</c:v>
                </c:pt>
                <c:pt idx="8">
                  <c:v>jun.-18</c:v>
                </c:pt>
                <c:pt idx="9">
                  <c:v>jul.-18</c:v>
                </c:pt>
                <c:pt idx="10">
                  <c:v>ago.-18</c:v>
                </c:pt>
                <c:pt idx="11">
                  <c:v>sep.-18</c:v>
                </c:pt>
                <c:pt idx="12">
                  <c:v>oct.-18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40.379855999999997</c:v>
                </c:pt>
                <c:pt idx="1">
                  <c:v>60.508705999999997</c:v>
                </c:pt>
                <c:pt idx="2">
                  <c:v>35.553646000000001</c:v>
                </c:pt>
                <c:pt idx="3">
                  <c:v>31.201087999999999</c:v>
                </c:pt>
                <c:pt idx="4">
                  <c:v>48.135339999999999</c:v>
                </c:pt>
                <c:pt idx="5">
                  <c:v>39.439261999999999</c:v>
                </c:pt>
                <c:pt idx="6">
                  <c:v>48.047037000000003</c:v>
                </c:pt>
                <c:pt idx="7">
                  <c:v>45.724513999999999</c:v>
                </c:pt>
                <c:pt idx="8">
                  <c:v>36.755218999999997</c:v>
                </c:pt>
                <c:pt idx="9">
                  <c:v>53.754595000000002</c:v>
                </c:pt>
                <c:pt idx="10">
                  <c:v>62.465704000000002</c:v>
                </c:pt>
                <c:pt idx="11">
                  <c:v>31.104752999999999</c:v>
                </c:pt>
                <c:pt idx="12">
                  <c:v>45.569164000000001</c:v>
                </c:pt>
              </c:numCache>
            </c:numRef>
          </c:val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oct.-17</c:v>
                </c:pt>
                <c:pt idx="1">
                  <c:v>nov.-17</c:v>
                </c:pt>
                <c:pt idx="2">
                  <c:v>dic.-17</c:v>
                </c:pt>
                <c:pt idx="3">
                  <c:v>ene.-18</c:v>
                </c:pt>
                <c:pt idx="4">
                  <c:v>feb.-18</c:v>
                </c:pt>
                <c:pt idx="5">
                  <c:v>mar.-18</c:v>
                </c:pt>
                <c:pt idx="6">
                  <c:v>abr.-18</c:v>
                </c:pt>
                <c:pt idx="7">
                  <c:v>may.-18</c:v>
                </c:pt>
                <c:pt idx="8">
                  <c:v>jun.-18</c:v>
                </c:pt>
                <c:pt idx="9">
                  <c:v>jul.-18</c:v>
                </c:pt>
                <c:pt idx="10">
                  <c:v>ago.-18</c:v>
                </c:pt>
                <c:pt idx="11">
                  <c:v>sep.-18</c:v>
                </c:pt>
                <c:pt idx="12">
                  <c:v>oct.-18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0.19457099999999999</c:v>
                </c:pt>
                <c:pt idx="1">
                  <c:v>0.342941</c:v>
                </c:pt>
                <c:pt idx="2">
                  <c:v>0.382324</c:v>
                </c:pt>
                <c:pt idx="3">
                  <c:v>0.25263999999999998</c:v>
                </c:pt>
                <c:pt idx="4">
                  <c:v>0.32401200000000002</c:v>
                </c:pt>
                <c:pt idx="5">
                  <c:v>0.40592400000000001</c:v>
                </c:pt>
                <c:pt idx="6">
                  <c:v>0.28265000000000001</c:v>
                </c:pt>
                <c:pt idx="7">
                  <c:v>0.22889300000000001</c:v>
                </c:pt>
                <c:pt idx="8">
                  <c:v>0.138682</c:v>
                </c:pt>
                <c:pt idx="9">
                  <c:v>0.13932900000000001</c:v>
                </c:pt>
                <c:pt idx="10">
                  <c:v>0.19220799999999999</c:v>
                </c:pt>
                <c:pt idx="11">
                  <c:v>0.19817599999999999</c:v>
                </c:pt>
                <c:pt idx="12">
                  <c:v>0.620313</c:v>
                </c:pt>
              </c:numCache>
            </c:numRef>
          </c:val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oct.-17</c:v>
                </c:pt>
                <c:pt idx="1">
                  <c:v>nov.-17</c:v>
                </c:pt>
                <c:pt idx="2">
                  <c:v>dic.-17</c:v>
                </c:pt>
                <c:pt idx="3">
                  <c:v>ene.-18</c:v>
                </c:pt>
                <c:pt idx="4">
                  <c:v>feb.-18</c:v>
                </c:pt>
                <c:pt idx="5">
                  <c:v>mar.-18</c:v>
                </c:pt>
                <c:pt idx="6">
                  <c:v>abr.-18</c:v>
                </c:pt>
                <c:pt idx="7">
                  <c:v>may.-18</c:v>
                </c:pt>
                <c:pt idx="8">
                  <c:v>jun.-18</c:v>
                </c:pt>
                <c:pt idx="9">
                  <c:v>jul.-18</c:v>
                </c:pt>
                <c:pt idx="10">
                  <c:v>ago.-18</c:v>
                </c:pt>
                <c:pt idx="11">
                  <c:v>sep.-18</c:v>
                </c:pt>
                <c:pt idx="12">
                  <c:v>oct.-18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9.7189460000000008</c:v>
                </c:pt>
                <c:pt idx="1">
                  <c:v>7.2582560000000003</c:v>
                </c:pt>
                <c:pt idx="2">
                  <c:v>5.556832</c:v>
                </c:pt>
                <c:pt idx="3">
                  <c:v>7.038017</c:v>
                </c:pt>
                <c:pt idx="4">
                  <c:v>5.3295399999999997</c:v>
                </c:pt>
                <c:pt idx="5">
                  <c:v>10.194158</c:v>
                </c:pt>
                <c:pt idx="6">
                  <c:v>11.476927999999999</c:v>
                </c:pt>
                <c:pt idx="7">
                  <c:v>11.838782</c:v>
                </c:pt>
                <c:pt idx="8">
                  <c:v>12.382847999999999</c:v>
                </c:pt>
                <c:pt idx="9">
                  <c:v>13.341704</c:v>
                </c:pt>
                <c:pt idx="10">
                  <c:v>11.261585</c:v>
                </c:pt>
                <c:pt idx="11">
                  <c:v>9.0458339999999993</c:v>
                </c:pt>
                <c:pt idx="12">
                  <c:v>7.8414849999999996</c:v>
                </c:pt>
              </c:numCache>
            </c:numRef>
          </c:val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oct.-17</c:v>
                </c:pt>
                <c:pt idx="1">
                  <c:v>nov.-17</c:v>
                </c:pt>
                <c:pt idx="2">
                  <c:v>dic.-17</c:v>
                </c:pt>
                <c:pt idx="3">
                  <c:v>ene.-18</c:v>
                </c:pt>
                <c:pt idx="4">
                  <c:v>feb.-18</c:v>
                </c:pt>
                <c:pt idx="5">
                  <c:v>mar.-18</c:v>
                </c:pt>
                <c:pt idx="6">
                  <c:v>abr.-18</c:v>
                </c:pt>
                <c:pt idx="7">
                  <c:v>may.-18</c:v>
                </c:pt>
                <c:pt idx="8">
                  <c:v>jun.-18</c:v>
                </c:pt>
                <c:pt idx="9">
                  <c:v>jul.-18</c:v>
                </c:pt>
                <c:pt idx="10">
                  <c:v>ago.-18</c:v>
                </c:pt>
                <c:pt idx="11">
                  <c:v>sep.-18</c:v>
                </c:pt>
                <c:pt idx="12">
                  <c:v>oct.-18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0.106123</c:v>
                </c:pt>
                <c:pt idx="1">
                  <c:v>0.12698499999999999</c:v>
                </c:pt>
                <c:pt idx="2">
                  <c:v>0.136794</c:v>
                </c:pt>
                <c:pt idx="3">
                  <c:v>0.219363</c:v>
                </c:pt>
                <c:pt idx="4">
                  <c:v>0.16624</c:v>
                </c:pt>
                <c:pt idx="5">
                  <c:v>0.184165</c:v>
                </c:pt>
                <c:pt idx="6">
                  <c:v>0.130801</c:v>
                </c:pt>
                <c:pt idx="7">
                  <c:v>0.12767999999999999</c:v>
                </c:pt>
                <c:pt idx="8">
                  <c:v>0.110028</c:v>
                </c:pt>
                <c:pt idx="9">
                  <c:v>5.7736999999999997E-2</c:v>
                </c:pt>
                <c:pt idx="10">
                  <c:v>5.6852E-2</c:v>
                </c:pt>
                <c:pt idx="11">
                  <c:v>1.917E-2</c:v>
                </c:pt>
                <c:pt idx="12">
                  <c:v>6.0415000000000003E-2</c:v>
                </c:pt>
              </c:numCache>
            </c:numRef>
          </c:val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oct.-17</c:v>
                </c:pt>
                <c:pt idx="1">
                  <c:v>nov.-17</c:v>
                </c:pt>
                <c:pt idx="2">
                  <c:v>dic.-17</c:v>
                </c:pt>
                <c:pt idx="3">
                  <c:v>ene.-18</c:v>
                </c:pt>
                <c:pt idx="4">
                  <c:v>feb.-18</c:v>
                </c:pt>
                <c:pt idx="5">
                  <c:v>mar.-18</c:v>
                </c:pt>
                <c:pt idx="6">
                  <c:v>abr.-18</c:v>
                </c:pt>
                <c:pt idx="7">
                  <c:v>may.-18</c:v>
                </c:pt>
                <c:pt idx="8">
                  <c:v>jun.-18</c:v>
                </c:pt>
                <c:pt idx="9">
                  <c:v>jul.-18</c:v>
                </c:pt>
                <c:pt idx="10">
                  <c:v>ago.-18</c:v>
                </c:pt>
                <c:pt idx="11">
                  <c:v>sep.-18</c:v>
                </c:pt>
                <c:pt idx="12">
                  <c:v>oct.-18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3.3496130000000002</c:v>
                </c:pt>
                <c:pt idx="1">
                  <c:v>3.098652</c:v>
                </c:pt>
                <c:pt idx="2">
                  <c:v>3.6001650000000001</c:v>
                </c:pt>
                <c:pt idx="3">
                  <c:v>3.1829869999999998</c:v>
                </c:pt>
                <c:pt idx="4">
                  <c:v>3.0836540000000001</c:v>
                </c:pt>
                <c:pt idx="5">
                  <c:v>2.2946849999999999</c:v>
                </c:pt>
                <c:pt idx="6">
                  <c:v>1.9821660000000001</c:v>
                </c:pt>
                <c:pt idx="7">
                  <c:v>2.5785749999999998</c:v>
                </c:pt>
                <c:pt idx="8">
                  <c:v>3.3572419999999998</c:v>
                </c:pt>
                <c:pt idx="9">
                  <c:v>3.5655640000000002</c:v>
                </c:pt>
                <c:pt idx="10">
                  <c:v>3.5154580000000002</c:v>
                </c:pt>
                <c:pt idx="11">
                  <c:v>2.43655</c:v>
                </c:pt>
                <c:pt idx="12">
                  <c:v>2.5715089999999998</c:v>
                </c:pt>
              </c:numCache>
            </c:numRef>
          </c:val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oct.-17</c:v>
                </c:pt>
                <c:pt idx="1">
                  <c:v>nov.-17</c:v>
                </c:pt>
                <c:pt idx="2">
                  <c:v>dic.-17</c:v>
                </c:pt>
                <c:pt idx="3">
                  <c:v>ene.-18</c:v>
                </c:pt>
                <c:pt idx="4">
                  <c:v>feb.-18</c:v>
                </c:pt>
                <c:pt idx="5">
                  <c:v>mar.-18</c:v>
                </c:pt>
                <c:pt idx="6">
                  <c:v>abr.-18</c:v>
                </c:pt>
                <c:pt idx="7">
                  <c:v>may.-18</c:v>
                </c:pt>
                <c:pt idx="8">
                  <c:v>jun.-18</c:v>
                </c:pt>
                <c:pt idx="9">
                  <c:v>jul.-18</c:v>
                </c:pt>
                <c:pt idx="10">
                  <c:v>ago.-18</c:v>
                </c:pt>
                <c:pt idx="11">
                  <c:v>sep.-18</c:v>
                </c:pt>
                <c:pt idx="12">
                  <c:v>oct.-18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13.9829895</c:v>
                </c:pt>
                <c:pt idx="1">
                  <c:v>11.279227499999999</c:v>
                </c:pt>
                <c:pt idx="2">
                  <c:v>9.9819964999999993</c:v>
                </c:pt>
                <c:pt idx="3">
                  <c:v>7.4814245000000001</c:v>
                </c:pt>
                <c:pt idx="4">
                  <c:v>4.4559544999999998</c:v>
                </c:pt>
                <c:pt idx="5">
                  <c:v>11.199851499999999</c:v>
                </c:pt>
                <c:pt idx="6">
                  <c:v>10.4867385</c:v>
                </c:pt>
                <c:pt idx="7">
                  <c:v>10.524592</c:v>
                </c:pt>
                <c:pt idx="8">
                  <c:v>14.7091545</c:v>
                </c:pt>
                <c:pt idx="9">
                  <c:v>14.429119</c:v>
                </c:pt>
                <c:pt idx="10">
                  <c:v>14.9613625</c:v>
                </c:pt>
                <c:pt idx="11">
                  <c:v>13.4535695</c:v>
                </c:pt>
                <c:pt idx="12">
                  <c:v>13.8976735</c:v>
                </c:pt>
              </c:numCache>
            </c:numRef>
          </c:val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13.9829895</c:v>
                </c:pt>
                <c:pt idx="1">
                  <c:v>11.279227499999999</c:v>
                </c:pt>
                <c:pt idx="2">
                  <c:v>9.9819964999999993</c:v>
                </c:pt>
                <c:pt idx="3">
                  <c:v>7.4814245000000001</c:v>
                </c:pt>
                <c:pt idx="4">
                  <c:v>4.4559544999999998</c:v>
                </c:pt>
                <c:pt idx="5">
                  <c:v>11.199851499999999</c:v>
                </c:pt>
                <c:pt idx="6">
                  <c:v>10.4867385</c:v>
                </c:pt>
                <c:pt idx="7">
                  <c:v>10.524592</c:v>
                </c:pt>
                <c:pt idx="8">
                  <c:v>14.7091545</c:v>
                </c:pt>
                <c:pt idx="9">
                  <c:v>14.429119</c:v>
                </c:pt>
                <c:pt idx="10">
                  <c:v>14.9613625</c:v>
                </c:pt>
                <c:pt idx="11">
                  <c:v>13.4535695</c:v>
                </c:pt>
                <c:pt idx="12">
                  <c:v>13.8976735</c:v>
                </c:pt>
              </c:numCache>
            </c:numRef>
          </c:val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oct.-17</c:v>
                </c:pt>
                <c:pt idx="1">
                  <c:v>nov.-17</c:v>
                </c:pt>
                <c:pt idx="2">
                  <c:v>dic.-17</c:v>
                </c:pt>
                <c:pt idx="3">
                  <c:v>ene.-18</c:v>
                </c:pt>
                <c:pt idx="4">
                  <c:v>feb.-18</c:v>
                </c:pt>
                <c:pt idx="5">
                  <c:v>mar.-18</c:v>
                </c:pt>
                <c:pt idx="6">
                  <c:v>abr.-18</c:v>
                </c:pt>
                <c:pt idx="7">
                  <c:v>may.-18</c:v>
                </c:pt>
                <c:pt idx="8">
                  <c:v>jun.-18</c:v>
                </c:pt>
                <c:pt idx="9">
                  <c:v>jul.-18</c:v>
                </c:pt>
                <c:pt idx="10">
                  <c:v>ago.-18</c:v>
                </c:pt>
                <c:pt idx="11">
                  <c:v>sep.-18</c:v>
                </c:pt>
                <c:pt idx="12">
                  <c:v>oct.-18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93.286300999999995</c:v>
                </c:pt>
                <c:pt idx="1">
                  <c:v>70.161934000000002</c:v>
                </c:pt>
                <c:pt idx="2">
                  <c:v>91.766864999999996</c:v>
                </c:pt>
                <c:pt idx="3">
                  <c:v>86.203828999999999</c:v>
                </c:pt>
                <c:pt idx="4">
                  <c:v>99.993398999999997</c:v>
                </c:pt>
                <c:pt idx="5">
                  <c:v>89.996875000000003</c:v>
                </c:pt>
                <c:pt idx="6">
                  <c:v>66.467519999999993</c:v>
                </c:pt>
                <c:pt idx="7">
                  <c:v>89.565090999999995</c:v>
                </c:pt>
                <c:pt idx="8">
                  <c:v>108.62363499999999</c:v>
                </c:pt>
                <c:pt idx="9">
                  <c:v>161.79160300000001</c:v>
                </c:pt>
                <c:pt idx="10">
                  <c:v>153.133589</c:v>
                </c:pt>
                <c:pt idx="11">
                  <c:v>107.931268</c:v>
                </c:pt>
                <c:pt idx="12">
                  <c:v>92.007576999999998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26708760"/>
        <c:axId val="326831560"/>
      </c:barChart>
      <c:catAx>
        <c:axId val="326708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6831560"/>
        <c:crosses val="autoZero"/>
        <c:auto val="1"/>
        <c:lblAlgn val="ctr"/>
        <c:lblOffset val="100"/>
        <c:noMultiLvlLbl val="1"/>
      </c:catAx>
      <c:valAx>
        <c:axId val="326831560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6708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CCFF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9837398373983742"/>
                  <c:y val="7.3529411764705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17.399999999999999</c:v>
                </c:pt>
                <c:pt idx="1">
                  <c:v>19.5</c:v>
                </c:pt>
                <c:pt idx="2">
                  <c:v>16.899999999999999</c:v>
                </c:pt>
                <c:pt idx="3">
                  <c:v>30.300000000000011</c:v>
                </c:pt>
                <c:pt idx="4">
                  <c:v>0</c:v>
                </c:pt>
                <c:pt idx="5">
                  <c:v>0.1</c:v>
                </c:pt>
                <c:pt idx="6">
                  <c:v>0.4</c:v>
                </c:pt>
                <c:pt idx="7">
                  <c:v>9.4</c:v>
                </c:pt>
                <c:pt idx="8">
                  <c:v>5.9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934959349593497"/>
                  <c:y val="0.132352941176470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382126624415839"/>
                  <c:y val="0.176470588235294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20813008130081301"/>
                  <c:y val="-3.4313725490196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1056910569105691"/>
                  <c:y val="-0.10294117647058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715459957749183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0731707317073171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24.5</c:v>
                </c:pt>
                <c:pt idx="1">
                  <c:v>3.2</c:v>
                </c:pt>
                <c:pt idx="2">
                  <c:v>25.9</c:v>
                </c:pt>
                <c:pt idx="3">
                  <c:v>40.800000000000004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2.9</c:v>
                </c:pt>
                <c:pt idx="8">
                  <c:v>2.5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oct.-17</c:v>
                </c:pt>
                <c:pt idx="1">
                  <c:v>nov.-17</c:v>
                </c:pt>
                <c:pt idx="2">
                  <c:v>dic.-17</c:v>
                </c:pt>
                <c:pt idx="3">
                  <c:v>ene.-18</c:v>
                </c:pt>
                <c:pt idx="4">
                  <c:v>feb.-18</c:v>
                </c:pt>
                <c:pt idx="5">
                  <c:v>mar.-18</c:v>
                </c:pt>
                <c:pt idx="6">
                  <c:v>abr.-18</c:v>
                </c:pt>
                <c:pt idx="7">
                  <c:v>may.-18</c:v>
                </c:pt>
                <c:pt idx="8">
                  <c:v>jun.-18</c:v>
                </c:pt>
                <c:pt idx="9">
                  <c:v>jul.-18</c:v>
                </c:pt>
                <c:pt idx="10">
                  <c:v>ago.-18</c:v>
                </c:pt>
                <c:pt idx="11">
                  <c:v>sep.-18</c:v>
                </c:pt>
                <c:pt idx="12">
                  <c:v>oct.-18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0.29359800000000003</c:v>
                </c:pt>
                <c:pt idx="1">
                  <c:v>0.27379399999999998</c:v>
                </c:pt>
                <c:pt idx="2">
                  <c:v>0.31142900000000001</c:v>
                </c:pt>
                <c:pt idx="3">
                  <c:v>0.27943200000000001</c:v>
                </c:pt>
                <c:pt idx="4">
                  <c:v>3.4173000000000002E-2</c:v>
                </c:pt>
                <c:pt idx="5">
                  <c:v>0.309946</c:v>
                </c:pt>
                <c:pt idx="6">
                  <c:v>0.27612300000000001</c:v>
                </c:pt>
                <c:pt idx="7">
                  <c:v>0.308334</c:v>
                </c:pt>
                <c:pt idx="8">
                  <c:v>0.29448200000000002</c:v>
                </c:pt>
                <c:pt idx="9">
                  <c:v>0.29559600000000003</c:v>
                </c:pt>
                <c:pt idx="10">
                  <c:v>0.30764000000000002</c:v>
                </c:pt>
                <c:pt idx="11">
                  <c:v>0.28839900000000002</c:v>
                </c:pt>
                <c:pt idx="12">
                  <c:v>0.29697000000000001</c:v>
                </c:pt>
              </c:numCache>
            </c:numRef>
          </c:val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oct.-17</c:v>
                </c:pt>
                <c:pt idx="1">
                  <c:v>nov.-17</c:v>
                </c:pt>
                <c:pt idx="2">
                  <c:v>dic.-17</c:v>
                </c:pt>
                <c:pt idx="3">
                  <c:v>ene.-18</c:v>
                </c:pt>
                <c:pt idx="4">
                  <c:v>feb.-18</c:v>
                </c:pt>
                <c:pt idx="5">
                  <c:v>mar.-18</c:v>
                </c:pt>
                <c:pt idx="6">
                  <c:v>abr.-18</c:v>
                </c:pt>
                <c:pt idx="7">
                  <c:v>may.-18</c:v>
                </c:pt>
                <c:pt idx="8">
                  <c:v>jun.-18</c:v>
                </c:pt>
                <c:pt idx="9">
                  <c:v>jul.-18</c:v>
                </c:pt>
                <c:pt idx="10">
                  <c:v>ago.-18</c:v>
                </c:pt>
                <c:pt idx="11">
                  <c:v>sep.-18</c:v>
                </c:pt>
                <c:pt idx="12">
                  <c:v>oct.-18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457.68957799999998</c:v>
                </c:pt>
                <c:pt idx="1">
                  <c:v>420.43623600000001</c:v>
                </c:pt>
                <c:pt idx="2">
                  <c:v>436.048067</c:v>
                </c:pt>
                <c:pt idx="3">
                  <c:v>442.10487999999998</c:v>
                </c:pt>
                <c:pt idx="4">
                  <c:v>400.67938400000003</c:v>
                </c:pt>
                <c:pt idx="5">
                  <c:v>390.68041399999998</c:v>
                </c:pt>
                <c:pt idx="6">
                  <c:v>383.04386799999997</c:v>
                </c:pt>
                <c:pt idx="7">
                  <c:v>385.79396700000001</c:v>
                </c:pt>
                <c:pt idx="8">
                  <c:v>386.90275799999995</c:v>
                </c:pt>
                <c:pt idx="9">
                  <c:v>399.57809199999997</c:v>
                </c:pt>
                <c:pt idx="10">
                  <c:v>433.84668299999998</c:v>
                </c:pt>
                <c:pt idx="11">
                  <c:v>404.23612300000002</c:v>
                </c:pt>
                <c:pt idx="12">
                  <c:v>417.76272399999999</c:v>
                </c:pt>
              </c:numCache>
            </c:numRef>
          </c:val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oct.-17</c:v>
                </c:pt>
                <c:pt idx="1">
                  <c:v>nov.-17</c:v>
                </c:pt>
                <c:pt idx="2">
                  <c:v>dic.-17</c:v>
                </c:pt>
                <c:pt idx="3">
                  <c:v>ene.-18</c:v>
                </c:pt>
                <c:pt idx="4">
                  <c:v>feb.-18</c:v>
                </c:pt>
                <c:pt idx="5">
                  <c:v>mar.-18</c:v>
                </c:pt>
                <c:pt idx="6">
                  <c:v>abr.-18</c:v>
                </c:pt>
                <c:pt idx="7">
                  <c:v>may.-18</c:v>
                </c:pt>
                <c:pt idx="8">
                  <c:v>jun.-18</c:v>
                </c:pt>
                <c:pt idx="9">
                  <c:v>jul.-18</c:v>
                </c:pt>
                <c:pt idx="10">
                  <c:v>ago.-18</c:v>
                </c:pt>
                <c:pt idx="11">
                  <c:v>sep.-18</c:v>
                </c:pt>
                <c:pt idx="12">
                  <c:v>oct.-18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288.99075399999998</c:v>
                </c:pt>
                <c:pt idx="1">
                  <c:v>280.93736200000001</c:v>
                </c:pt>
                <c:pt idx="2">
                  <c:v>253.67039800000001</c:v>
                </c:pt>
                <c:pt idx="3">
                  <c:v>233.901625</c:v>
                </c:pt>
                <c:pt idx="4">
                  <c:v>215.21677199999999</c:v>
                </c:pt>
                <c:pt idx="5">
                  <c:v>260.839181</c:v>
                </c:pt>
                <c:pt idx="6">
                  <c:v>246.337683</c:v>
                </c:pt>
                <c:pt idx="7">
                  <c:v>248.61678900000001</c:v>
                </c:pt>
                <c:pt idx="8">
                  <c:v>234.94823600000001</c:v>
                </c:pt>
                <c:pt idx="9">
                  <c:v>230.14559600000001</c:v>
                </c:pt>
                <c:pt idx="10">
                  <c:v>251.789052</c:v>
                </c:pt>
                <c:pt idx="11">
                  <c:v>281.47467399999999</c:v>
                </c:pt>
                <c:pt idx="12">
                  <c:v>317.069143</c:v>
                </c:pt>
              </c:numCache>
            </c:numRef>
          </c:val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oct.-17</c:v>
                </c:pt>
                <c:pt idx="1">
                  <c:v>nov.-17</c:v>
                </c:pt>
                <c:pt idx="2">
                  <c:v>dic.-17</c:v>
                </c:pt>
                <c:pt idx="3">
                  <c:v>ene.-18</c:v>
                </c:pt>
                <c:pt idx="4">
                  <c:v>feb.-18</c:v>
                </c:pt>
                <c:pt idx="5">
                  <c:v>mar.-18</c:v>
                </c:pt>
                <c:pt idx="6">
                  <c:v>abr.-18</c:v>
                </c:pt>
                <c:pt idx="7">
                  <c:v>may.-18</c:v>
                </c:pt>
                <c:pt idx="8">
                  <c:v>jun.-18</c:v>
                </c:pt>
                <c:pt idx="9">
                  <c:v>jul.-18</c:v>
                </c:pt>
                <c:pt idx="10">
                  <c:v>ago.-18</c:v>
                </c:pt>
                <c:pt idx="11">
                  <c:v>sep.-18</c:v>
                </c:pt>
                <c:pt idx="12">
                  <c:v>oct.-18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0.97127600000000003</c:v>
                </c:pt>
                <c:pt idx="1">
                  <c:v>0.790825</c:v>
                </c:pt>
                <c:pt idx="2">
                  <c:v>1.2860210000000001</c:v>
                </c:pt>
                <c:pt idx="3">
                  <c:v>2.2577669999999999</c:v>
                </c:pt>
                <c:pt idx="4">
                  <c:v>1.754305</c:v>
                </c:pt>
                <c:pt idx="5">
                  <c:v>1.5995220000000001</c:v>
                </c:pt>
                <c:pt idx="6">
                  <c:v>2.2626460000000002</c:v>
                </c:pt>
                <c:pt idx="7">
                  <c:v>2.0342030000000002</c:v>
                </c:pt>
                <c:pt idx="8">
                  <c:v>2.3218040000000002</c:v>
                </c:pt>
                <c:pt idx="9">
                  <c:v>3.7162829999999998</c:v>
                </c:pt>
                <c:pt idx="10">
                  <c:v>2.859321</c:v>
                </c:pt>
                <c:pt idx="11">
                  <c:v>2.165861</c:v>
                </c:pt>
                <c:pt idx="12">
                  <c:v>0.87331099999999995</c:v>
                </c:pt>
              </c:numCache>
            </c:numRef>
          </c:val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oct.-17</c:v>
                </c:pt>
                <c:pt idx="1">
                  <c:v>nov.-17</c:v>
                </c:pt>
                <c:pt idx="2">
                  <c:v>dic.-17</c:v>
                </c:pt>
                <c:pt idx="3">
                  <c:v>ene.-18</c:v>
                </c:pt>
                <c:pt idx="4">
                  <c:v>feb.-18</c:v>
                </c:pt>
                <c:pt idx="5">
                  <c:v>mar.-18</c:v>
                </c:pt>
                <c:pt idx="6">
                  <c:v>abr.-18</c:v>
                </c:pt>
                <c:pt idx="7">
                  <c:v>may.-18</c:v>
                </c:pt>
                <c:pt idx="8">
                  <c:v>jun.-18</c:v>
                </c:pt>
                <c:pt idx="9">
                  <c:v>jul.-18</c:v>
                </c:pt>
                <c:pt idx="10">
                  <c:v>ago.-18</c:v>
                </c:pt>
                <c:pt idx="11">
                  <c:v>sep.-18</c:v>
                </c:pt>
                <c:pt idx="12">
                  <c:v>oct.-18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21.330209</c:v>
                </c:pt>
                <c:pt idx="1">
                  <c:v>24.032088999999999</c:v>
                </c:pt>
                <c:pt idx="2">
                  <c:v>39.810132000000003</c:v>
                </c:pt>
                <c:pt idx="3">
                  <c:v>56.908338999999998</c:v>
                </c:pt>
                <c:pt idx="4">
                  <c:v>46.207472000000003</c:v>
                </c:pt>
                <c:pt idx="5">
                  <c:v>50.516177999999996</c:v>
                </c:pt>
                <c:pt idx="6">
                  <c:v>45.548924999999997</c:v>
                </c:pt>
                <c:pt idx="7">
                  <c:v>55.351942000000001</c:v>
                </c:pt>
                <c:pt idx="8">
                  <c:v>56.421117000000002</c:v>
                </c:pt>
                <c:pt idx="9">
                  <c:v>95.158366999999998</c:v>
                </c:pt>
                <c:pt idx="10">
                  <c:v>65.077771999999996</c:v>
                </c:pt>
                <c:pt idx="11">
                  <c:v>51.688220999999999</c:v>
                </c:pt>
                <c:pt idx="12">
                  <c:v>22.335968000000001</c:v>
                </c:pt>
              </c:numCache>
            </c:numRef>
          </c:val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oct.-17</c:v>
                </c:pt>
                <c:pt idx="1">
                  <c:v>nov.-17</c:v>
                </c:pt>
                <c:pt idx="2">
                  <c:v>dic.-17</c:v>
                </c:pt>
                <c:pt idx="3">
                  <c:v>ene.-18</c:v>
                </c:pt>
                <c:pt idx="4">
                  <c:v>feb.-18</c:v>
                </c:pt>
                <c:pt idx="5">
                  <c:v>mar.-18</c:v>
                </c:pt>
                <c:pt idx="6">
                  <c:v>abr.-18</c:v>
                </c:pt>
                <c:pt idx="7">
                  <c:v>may.-18</c:v>
                </c:pt>
                <c:pt idx="8">
                  <c:v>jun.-18</c:v>
                </c:pt>
                <c:pt idx="9">
                  <c:v>jul.-18</c:v>
                </c:pt>
                <c:pt idx="10">
                  <c:v>ago.-18</c:v>
                </c:pt>
                <c:pt idx="11">
                  <c:v>sep.-18</c:v>
                </c:pt>
                <c:pt idx="12">
                  <c:v>oct.-18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19.754670999999998</c:v>
                </c:pt>
                <c:pt idx="1">
                  <c:v>16.487777000000001</c:v>
                </c:pt>
                <c:pt idx="2">
                  <c:v>17.53989</c:v>
                </c:pt>
                <c:pt idx="3">
                  <c:v>19.063385</c:v>
                </c:pt>
                <c:pt idx="4">
                  <c:v>17.866654</c:v>
                </c:pt>
                <c:pt idx="5">
                  <c:v>25.105015000000002</c:v>
                </c:pt>
                <c:pt idx="6">
                  <c:v>25.190729999999999</c:v>
                </c:pt>
                <c:pt idx="7">
                  <c:v>23.051193999999999</c:v>
                </c:pt>
                <c:pt idx="8">
                  <c:v>25.992826000000001</c:v>
                </c:pt>
                <c:pt idx="9">
                  <c:v>29.45045</c:v>
                </c:pt>
                <c:pt idx="10">
                  <c:v>27.841747000000002</c:v>
                </c:pt>
                <c:pt idx="11">
                  <c:v>24.190496</c:v>
                </c:pt>
                <c:pt idx="12">
                  <c:v>19.456084000000001</c:v>
                </c:pt>
              </c:numCache>
            </c:numRef>
          </c:val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oct.-17</c:v>
                </c:pt>
                <c:pt idx="1">
                  <c:v>nov.-17</c:v>
                </c:pt>
                <c:pt idx="2">
                  <c:v>dic.-17</c:v>
                </c:pt>
                <c:pt idx="3">
                  <c:v>ene.-18</c:v>
                </c:pt>
                <c:pt idx="4">
                  <c:v>feb.-18</c:v>
                </c:pt>
                <c:pt idx="5">
                  <c:v>mar.-18</c:v>
                </c:pt>
                <c:pt idx="6">
                  <c:v>abr.-18</c:v>
                </c:pt>
                <c:pt idx="7">
                  <c:v>may.-18</c:v>
                </c:pt>
                <c:pt idx="8">
                  <c:v>jun.-18</c:v>
                </c:pt>
                <c:pt idx="9">
                  <c:v>jul.-18</c:v>
                </c:pt>
                <c:pt idx="10">
                  <c:v>ago.-18</c:v>
                </c:pt>
                <c:pt idx="11">
                  <c:v>sep.-18</c:v>
                </c:pt>
                <c:pt idx="12">
                  <c:v>oct.-18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0.83137799999999995</c:v>
                </c:pt>
                <c:pt idx="1">
                  <c:v>0.80323999999999995</c:v>
                </c:pt>
                <c:pt idx="2">
                  <c:v>0.78173599999999999</c:v>
                </c:pt>
                <c:pt idx="3">
                  <c:v>0.76242299999999996</c:v>
                </c:pt>
                <c:pt idx="4">
                  <c:v>0.64657299999999995</c:v>
                </c:pt>
                <c:pt idx="5">
                  <c:v>0.83729399999999998</c:v>
                </c:pt>
                <c:pt idx="6">
                  <c:v>0.53889699999999996</c:v>
                </c:pt>
                <c:pt idx="7">
                  <c:v>0.75060099999999996</c:v>
                </c:pt>
                <c:pt idx="8">
                  <c:v>0.53101500000000001</c:v>
                </c:pt>
                <c:pt idx="9">
                  <c:v>0.70239399999999996</c:v>
                </c:pt>
                <c:pt idx="10">
                  <c:v>0.81645199999999996</c:v>
                </c:pt>
                <c:pt idx="11">
                  <c:v>0.78290899999999997</c:v>
                </c:pt>
                <c:pt idx="12">
                  <c:v>0.813334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29477488"/>
        <c:axId val="329584896"/>
      </c:barChart>
      <c:catAx>
        <c:axId val="329477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9584896"/>
        <c:crosses val="autoZero"/>
        <c:auto val="1"/>
        <c:lblAlgn val="ctr"/>
        <c:lblOffset val="100"/>
        <c:noMultiLvlLbl val="1"/>
      </c:catAx>
      <c:valAx>
        <c:axId val="32958489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9477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/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26" sqref="E26"/>
    </sheetView>
  </sheetViews>
  <sheetFormatPr baseColWidth="10" defaultColWidth="11.42578125" defaultRowHeight="12.75"/>
  <cols>
    <col min="1" max="1" width="0.140625" style="96" customWidth="1"/>
    <col min="2" max="2" width="2.7109375" style="96" customWidth="1"/>
    <col min="3" max="3" width="16.42578125" style="96" customWidth="1"/>
    <col min="4" max="4" width="4.7109375" style="96" customWidth="1"/>
    <col min="5" max="5" width="95.7109375" style="96" customWidth="1"/>
    <col min="6" max="16384" width="11.42578125" style="96"/>
  </cols>
  <sheetData>
    <row r="1" spans="2:15" ht="0.75" customHeight="1"/>
    <row r="2" spans="2:15" ht="21" customHeight="1">
      <c r="B2" s="96" t="s">
        <v>55</v>
      </c>
      <c r="C2" s="97"/>
      <c r="D2" s="97"/>
      <c r="E2" s="38" t="s">
        <v>24</v>
      </c>
    </row>
    <row r="3" spans="2:15" ht="15" customHeight="1">
      <c r="C3" s="97"/>
      <c r="D3" s="97"/>
      <c r="E3" s="55" t="str">
        <f>Dat_01!A2</f>
        <v>Octubre 2018</v>
      </c>
    </row>
    <row r="4" spans="2:15" s="99" customFormat="1" ht="20.25" customHeight="1">
      <c r="B4" s="98"/>
      <c r="C4" s="36" t="s">
        <v>51</v>
      </c>
    </row>
    <row r="5" spans="2:15" s="99" customFormat="1" ht="8.25" customHeight="1">
      <c r="B5" s="98"/>
      <c r="C5" s="100"/>
    </row>
    <row r="6" spans="2:15" s="99" customFormat="1" ht="3" customHeight="1">
      <c r="B6" s="98"/>
      <c r="C6" s="100"/>
    </row>
    <row r="7" spans="2:15" s="99" customFormat="1" ht="7.5" customHeight="1">
      <c r="B7" s="98"/>
      <c r="C7" s="101"/>
      <c r="D7" s="102"/>
      <c r="E7" s="102"/>
    </row>
    <row r="8" spans="2:15" ht="12.6" customHeight="1">
      <c r="D8" s="103" t="s">
        <v>56</v>
      </c>
      <c r="E8" s="104" t="str">
        <f>'SN1'!C7</f>
        <v>Componentes de la variación de la demanda Islas Baleares</v>
      </c>
    </row>
    <row r="9" spans="2:15" s="99" customFormat="1" ht="12.6" customHeight="1">
      <c r="B9" s="98"/>
      <c r="C9" s="105"/>
      <c r="D9" s="103" t="s">
        <v>56</v>
      </c>
      <c r="E9" s="104" t="str">
        <f>'SN2'!C7</f>
        <v>Componentes de la variación de la demanda Islas Canarias</v>
      </c>
      <c r="F9" s="106"/>
      <c r="G9" s="106"/>
      <c r="H9" s="106"/>
      <c r="I9" s="106"/>
      <c r="J9" s="106"/>
      <c r="K9" s="106"/>
      <c r="L9" s="106"/>
      <c r="M9" s="106"/>
      <c r="N9" s="106"/>
      <c r="O9" s="106"/>
    </row>
    <row r="10" spans="2:15" s="99" customFormat="1" ht="12.6" customHeight="1">
      <c r="B10" s="98"/>
      <c r="C10" s="105"/>
      <c r="D10" s="103" t="s">
        <v>56</v>
      </c>
      <c r="E10" s="104" t="s">
        <v>60</v>
      </c>
      <c r="F10" s="96"/>
      <c r="G10" s="106"/>
      <c r="H10" s="106"/>
      <c r="I10" s="106"/>
      <c r="J10" s="106"/>
      <c r="K10" s="106"/>
      <c r="L10" s="106"/>
      <c r="M10" s="106"/>
      <c r="N10" s="106"/>
      <c r="O10" s="106"/>
    </row>
    <row r="11" spans="2:15" ht="12.6" customHeight="1">
      <c r="D11" s="103" t="s">
        <v>56</v>
      </c>
      <c r="E11" s="104" t="str">
        <f>'SN4'!C7</f>
        <v>Estructura de potencia instalada Islas Baleares</v>
      </c>
      <c r="F11" s="106"/>
    </row>
    <row r="12" spans="2:15" ht="12.6" customHeight="1">
      <c r="D12" s="103" t="s">
        <v>56</v>
      </c>
      <c r="E12" s="104" t="str">
        <f>'SN4'!C24</f>
        <v>Cobertura de la demanda mensual Islas Baleares</v>
      </c>
      <c r="F12" s="106"/>
    </row>
    <row r="13" spans="2:15" ht="12.6" customHeight="1">
      <c r="D13" s="103" t="s">
        <v>56</v>
      </c>
      <c r="E13" s="104" t="str">
        <f>'SN5'!C7</f>
        <v xml:space="preserve">Evolución de la cobertura de la demanda de las Islas Baleares
</v>
      </c>
    </row>
    <row r="14" spans="2:15" ht="12.6" customHeight="1">
      <c r="D14" s="103" t="s">
        <v>56</v>
      </c>
      <c r="E14" s="104" t="str">
        <f>'SN6'!C7</f>
        <v>Estructura de potencia instalada Islas Canarias</v>
      </c>
    </row>
    <row r="15" spans="2:15" ht="12.6" customHeight="1">
      <c r="D15" s="103" t="s">
        <v>56</v>
      </c>
      <c r="E15" s="104" t="str">
        <f>'SN6'!C24</f>
        <v>Cobertura de la demanda mensual Islas Canarias</v>
      </c>
    </row>
    <row r="16" spans="2:15" ht="12.75" customHeight="1">
      <c r="D16" s="103" t="s">
        <v>56</v>
      </c>
      <c r="E16" s="104" t="str">
        <f>'SN7'!C7</f>
        <v xml:space="preserve">Evolución de la cobertura de la demanda de las Islas Canarias
</v>
      </c>
      <c r="F16" s="106"/>
    </row>
    <row r="17" spans="2:5" s="99" customFormat="1" ht="7.5" customHeight="1">
      <c r="B17" s="98"/>
      <c r="C17" s="101"/>
      <c r="D17" s="102"/>
      <c r="E17" s="102"/>
    </row>
    <row r="18" spans="2:5" ht="12.75" customHeight="1"/>
  </sheetData>
  <hyperlinks>
    <hyperlink ref="E10" location="'SN3'!A1" display="'SN3'!A1"/>
    <hyperlink ref="E13" location="'SN5'!A1" display="'SN5'!A1"/>
    <hyperlink ref="E11" location="'SN4'!A1" display="'SN4'!A1"/>
    <hyperlink ref="E9" location="'SN2'!A1" display="'SN2'!A1"/>
    <hyperlink ref="E8" location="'SN1'!A1" display="'SN1'!A1"/>
    <hyperlink ref="E16" location="'SN7 A'!A1" display="'SN7 A'!A1"/>
    <hyperlink ref="E12" location="'SN4'!A1" display="'SN4'!A1"/>
    <hyperlink ref="E14" location="'SN6'!A1" display="'SN6'!A1"/>
    <hyperlink ref="E15" location="'SN6'!A1" display="'SN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6"/>
  <sheetViews>
    <sheetView zoomScaleNormal="100" workbookViewId="0">
      <pane xSplit="1" ySplit="1" topLeftCell="B39" activePane="bottomRight" state="frozen"/>
      <selection pane="topRight" activeCell="B1" sqref="B1"/>
      <selection pane="bottomLeft" activeCell="A2" sqref="A2"/>
      <selection pane="bottomRight" activeCell="B63" sqref="B63"/>
    </sheetView>
  </sheetViews>
  <sheetFormatPr baseColWidth="10" defaultColWidth="11.42578125" defaultRowHeight="12"/>
  <cols>
    <col min="1" max="1" width="31.5703125" style="115" customWidth="1"/>
    <col min="2" max="33" width="14.7109375" style="115" customWidth="1"/>
    <col min="34" max="16384" width="11.42578125" style="115"/>
  </cols>
  <sheetData>
    <row r="1" spans="1:33">
      <c r="A1" s="147" t="s">
        <v>77</v>
      </c>
      <c r="B1" s="147" t="s">
        <v>81</v>
      </c>
    </row>
    <row r="2" spans="1:33">
      <c r="A2" s="148" t="s">
        <v>112</v>
      </c>
      <c r="B2" s="148" t="s">
        <v>113</v>
      </c>
    </row>
    <row r="4" spans="1:33" ht="15">
      <c r="A4" s="149" t="s">
        <v>77</v>
      </c>
      <c r="B4" s="210" t="s">
        <v>112</v>
      </c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</row>
    <row r="5" spans="1:33" ht="15">
      <c r="A5" s="149" t="s">
        <v>78</v>
      </c>
      <c r="B5" s="212" t="s">
        <v>20</v>
      </c>
      <c r="C5" s="213"/>
      <c r="D5" s="213"/>
      <c r="E5" s="213"/>
      <c r="F5" s="213"/>
      <c r="G5" s="213"/>
      <c r="H5" s="213"/>
      <c r="I5" s="214"/>
      <c r="J5" s="212" t="s">
        <v>19</v>
      </c>
      <c r="K5" s="213"/>
      <c r="L5" s="213"/>
      <c r="M5" s="213"/>
      <c r="N5" s="213"/>
      <c r="O5" s="213"/>
      <c r="P5" s="213"/>
      <c r="Q5" s="214"/>
      <c r="R5" s="212" t="s">
        <v>67</v>
      </c>
      <c r="S5" s="213"/>
      <c r="T5" s="213"/>
      <c r="U5" s="213"/>
      <c r="V5" s="213"/>
      <c r="W5" s="213"/>
      <c r="X5" s="213"/>
      <c r="Y5" s="214"/>
      <c r="Z5" s="212" t="s">
        <v>68</v>
      </c>
      <c r="AA5" s="213"/>
      <c r="AB5" s="213"/>
      <c r="AC5" s="213"/>
      <c r="AD5" s="213"/>
      <c r="AE5" s="213"/>
      <c r="AF5" s="213"/>
      <c r="AG5" s="213"/>
    </row>
    <row r="6" spans="1:33">
      <c r="A6" s="149" t="s">
        <v>79</v>
      </c>
      <c r="B6" s="187" t="s">
        <v>69</v>
      </c>
      <c r="C6" s="187" t="s">
        <v>70</v>
      </c>
      <c r="D6" s="187" t="s">
        <v>71</v>
      </c>
      <c r="E6" s="187" t="s">
        <v>72</v>
      </c>
      <c r="F6" s="187" t="s">
        <v>73</v>
      </c>
      <c r="G6" s="187" t="s">
        <v>74</v>
      </c>
      <c r="H6" s="187" t="s">
        <v>75</v>
      </c>
      <c r="I6" s="187" t="s">
        <v>76</v>
      </c>
      <c r="J6" s="187" t="s">
        <v>69</v>
      </c>
      <c r="K6" s="187" t="s">
        <v>70</v>
      </c>
      <c r="L6" s="187" t="s">
        <v>71</v>
      </c>
      <c r="M6" s="187" t="s">
        <v>72</v>
      </c>
      <c r="N6" s="187" t="s">
        <v>73</v>
      </c>
      <c r="O6" s="187" t="s">
        <v>74</v>
      </c>
      <c r="P6" s="187" t="s">
        <v>75</v>
      </c>
      <c r="Q6" s="187" t="s">
        <v>76</v>
      </c>
      <c r="R6" s="187" t="s">
        <v>69</v>
      </c>
      <c r="S6" s="187" t="s">
        <v>70</v>
      </c>
      <c r="T6" s="187" t="s">
        <v>71</v>
      </c>
      <c r="U6" s="187" t="s">
        <v>72</v>
      </c>
      <c r="V6" s="187" t="s">
        <v>73</v>
      </c>
      <c r="W6" s="187" t="s">
        <v>74</v>
      </c>
      <c r="X6" s="187" t="s">
        <v>75</v>
      </c>
      <c r="Y6" s="187" t="s">
        <v>76</v>
      </c>
      <c r="Z6" s="187" t="s">
        <v>69</v>
      </c>
      <c r="AA6" s="187" t="s">
        <v>70</v>
      </c>
      <c r="AB6" s="187" t="s">
        <v>71</v>
      </c>
      <c r="AC6" s="187" t="s">
        <v>72</v>
      </c>
      <c r="AD6" s="187" t="s">
        <v>73</v>
      </c>
      <c r="AE6" s="187" t="s">
        <v>74</v>
      </c>
      <c r="AF6" s="187" t="s">
        <v>75</v>
      </c>
      <c r="AG6" s="187" t="s">
        <v>76</v>
      </c>
    </row>
    <row r="7" spans="1:33">
      <c r="A7" s="149" t="s">
        <v>80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</row>
    <row r="8" spans="1:33">
      <c r="A8" s="148" t="s">
        <v>17</v>
      </c>
      <c r="B8" s="162">
        <v>0</v>
      </c>
      <c r="C8" s="162">
        <v>0</v>
      </c>
      <c r="D8" s="155">
        <v>0</v>
      </c>
      <c r="E8" s="162">
        <v>0</v>
      </c>
      <c r="F8" s="162">
        <v>0</v>
      </c>
      <c r="G8" s="155">
        <v>0</v>
      </c>
      <c r="H8" s="162">
        <v>0</v>
      </c>
      <c r="I8" s="155">
        <v>0</v>
      </c>
      <c r="J8" s="162">
        <v>0</v>
      </c>
      <c r="K8" s="162">
        <v>0</v>
      </c>
      <c r="L8" s="155">
        <v>0</v>
      </c>
      <c r="M8" s="162">
        <v>0</v>
      </c>
      <c r="N8" s="162">
        <v>0</v>
      </c>
      <c r="O8" s="155">
        <v>0</v>
      </c>
      <c r="P8" s="162">
        <v>0</v>
      </c>
      <c r="Q8" s="155">
        <v>0</v>
      </c>
      <c r="R8" s="162">
        <v>0</v>
      </c>
      <c r="S8" s="162">
        <v>0</v>
      </c>
      <c r="T8" s="155">
        <v>0</v>
      </c>
      <c r="U8" s="162">
        <v>0</v>
      </c>
      <c r="V8" s="162">
        <v>0</v>
      </c>
      <c r="W8" s="155">
        <v>0</v>
      </c>
      <c r="X8" s="162">
        <v>0</v>
      </c>
      <c r="Y8" s="155">
        <v>0</v>
      </c>
      <c r="Z8" s="162">
        <v>296.97000000000003</v>
      </c>
      <c r="AA8" s="162">
        <v>293.59800000000001</v>
      </c>
      <c r="AB8" s="155">
        <v>1.1485091899999999E-2</v>
      </c>
      <c r="AC8" s="162">
        <v>2691.0949999999998</v>
      </c>
      <c r="AD8" s="162">
        <v>2686.7559999999999</v>
      </c>
      <c r="AE8" s="155">
        <v>1.6149586999999999E-3</v>
      </c>
      <c r="AF8" s="162">
        <v>3276.3180000000002</v>
      </c>
      <c r="AG8" s="155">
        <v>1.93790792E-2</v>
      </c>
    </row>
    <row r="9" spans="1:33">
      <c r="A9" s="148" t="s">
        <v>16</v>
      </c>
      <c r="B9" s="162">
        <v>0</v>
      </c>
      <c r="C9" s="162">
        <v>0</v>
      </c>
      <c r="D9" s="155">
        <v>0</v>
      </c>
      <c r="E9" s="162">
        <v>0</v>
      </c>
      <c r="F9" s="162">
        <v>0</v>
      </c>
      <c r="G9" s="155">
        <v>0</v>
      </c>
      <c r="H9" s="162">
        <v>0</v>
      </c>
      <c r="I9" s="155">
        <v>0</v>
      </c>
      <c r="J9" s="162">
        <v>0</v>
      </c>
      <c r="K9" s="162">
        <v>0</v>
      </c>
      <c r="L9" s="155">
        <v>0</v>
      </c>
      <c r="M9" s="162">
        <v>0</v>
      </c>
      <c r="N9" s="162">
        <v>0</v>
      </c>
      <c r="O9" s="155">
        <v>0</v>
      </c>
      <c r="P9" s="162">
        <v>0</v>
      </c>
      <c r="Q9" s="155">
        <v>0</v>
      </c>
      <c r="R9" s="162">
        <v>186346.34299999999</v>
      </c>
      <c r="S9" s="162">
        <v>196316.93400000001</v>
      </c>
      <c r="T9" s="155">
        <v>-5.0788237100000001E-2</v>
      </c>
      <c r="U9" s="162">
        <v>2100793.6349999998</v>
      </c>
      <c r="V9" s="162">
        <v>2241139.571</v>
      </c>
      <c r="W9" s="155">
        <v>-6.2622577299999996E-2</v>
      </c>
      <c r="X9" s="162">
        <v>2457185.9010000001</v>
      </c>
      <c r="Y9" s="155">
        <v>-6.1436227900000001E-2</v>
      </c>
      <c r="Z9" s="162">
        <v>0</v>
      </c>
      <c r="AA9" s="162">
        <v>0</v>
      </c>
      <c r="AB9" s="155">
        <v>0</v>
      </c>
      <c r="AC9" s="162">
        <v>0</v>
      </c>
      <c r="AD9" s="162">
        <v>0</v>
      </c>
      <c r="AE9" s="155">
        <v>0</v>
      </c>
      <c r="AF9" s="162">
        <v>0</v>
      </c>
      <c r="AG9" s="155">
        <v>0</v>
      </c>
    </row>
    <row r="10" spans="1:33">
      <c r="A10" s="148" t="s">
        <v>105</v>
      </c>
      <c r="B10" s="162">
        <v>17758.571</v>
      </c>
      <c r="C10" s="162">
        <v>15956.772999999999</v>
      </c>
      <c r="D10" s="155">
        <v>0.1129174426</v>
      </c>
      <c r="E10" s="162">
        <v>172557.36799999999</v>
      </c>
      <c r="F10" s="162">
        <v>168457.698</v>
      </c>
      <c r="G10" s="155">
        <v>2.4336495400000002E-2</v>
      </c>
      <c r="H10" s="162">
        <v>206748.005</v>
      </c>
      <c r="I10" s="155">
        <v>1.2681411300000001E-2</v>
      </c>
      <c r="J10" s="162">
        <v>16831.804</v>
      </c>
      <c r="K10" s="162">
        <v>16473.509999999998</v>
      </c>
      <c r="L10" s="155">
        <v>2.1749706000000001E-2</v>
      </c>
      <c r="M10" s="162">
        <v>169472.079</v>
      </c>
      <c r="N10" s="162">
        <v>167230.76500000001</v>
      </c>
      <c r="O10" s="155">
        <v>1.3402522E-2</v>
      </c>
      <c r="P10" s="162">
        <v>202558.27799999999</v>
      </c>
      <c r="Q10" s="155">
        <v>1.4771915300000001E-2</v>
      </c>
      <c r="R10" s="162">
        <v>57770.247000000003</v>
      </c>
      <c r="S10" s="162">
        <v>26871.201000000001</v>
      </c>
      <c r="T10" s="155">
        <v>1.1498944911</v>
      </c>
      <c r="U10" s="162">
        <v>559900.97600000002</v>
      </c>
      <c r="V10" s="162">
        <v>738211.93200000003</v>
      </c>
      <c r="W10" s="155">
        <v>-0.24154439699999999</v>
      </c>
      <c r="X10" s="162">
        <v>617676.60400000005</v>
      </c>
      <c r="Y10" s="155">
        <v>-0.29062388249999999</v>
      </c>
      <c r="Z10" s="162">
        <v>190675.11799999999</v>
      </c>
      <c r="AA10" s="162">
        <v>205566.42600000001</v>
      </c>
      <c r="AB10" s="155">
        <v>-7.2440370200000007E-2</v>
      </c>
      <c r="AC10" s="162">
        <v>1780656.5519999999</v>
      </c>
      <c r="AD10" s="162">
        <v>1871332.227</v>
      </c>
      <c r="AE10" s="155">
        <v>-4.8455145300000002E-2</v>
      </c>
      <c r="AF10" s="162">
        <v>2151648.5529999998</v>
      </c>
      <c r="AG10" s="155">
        <v>-4.0899354800000003E-2</v>
      </c>
    </row>
    <row r="11" spans="1:33">
      <c r="A11" s="148" t="s">
        <v>14</v>
      </c>
      <c r="B11" s="162">
        <v>95.56</v>
      </c>
      <c r="C11" s="162">
        <v>7.819</v>
      </c>
      <c r="D11" s="155">
        <v>11.221511702300001</v>
      </c>
      <c r="E11" s="162">
        <v>118.952</v>
      </c>
      <c r="F11" s="162">
        <v>168.13200000000001</v>
      </c>
      <c r="G11" s="155">
        <v>-0.29250826730000001</v>
      </c>
      <c r="H11" s="162">
        <v>163.315</v>
      </c>
      <c r="I11" s="155">
        <v>-0.1191920826</v>
      </c>
      <c r="J11" s="162">
        <v>0</v>
      </c>
      <c r="K11" s="162">
        <v>0</v>
      </c>
      <c r="L11" s="155">
        <v>0</v>
      </c>
      <c r="M11" s="162">
        <v>66.391000000000005</v>
      </c>
      <c r="N11" s="162">
        <v>4.6760000000000002</v>
      </c>
      <c r="O11" s="155">
        <v>13.198246364399999</v>
      </c>
      <c r="P11" s="162">
        <v>138.988</v>
      </c>
      <c r="Q11" s="155">
        <v>17.123353761899999</v>
      </c>
      <c r="R11" s="162">
        <v>54458.813000000002</v>
      </c>
      <c r="S11" s="162">
        <v>75211.865999999995</v>
      </c>
      <c r="T11" s="155">
        <v>-0.27592791010000001</v>
      </c>
      <c r="U11" s="162">
        <v>697701.71499999997</v>
      </c>
      <c r="V11" s="162">
        <v>429062.31900000002</v>
      </c>
      <c r="W11" s="155">
        <v>0.62610810620000001</v>
      </c>
      <c r="X11" s="162">
        <v>825163.97</v>
      </c>
      <c r="Y11" s="155">
        <v>0.78286698089999995</v>
      </c>
      <c r="Z11" s="162">
        <v>25162.983</v>
      </c>
      <c r="AA11" s="162">
        <v>30160.977999999999</v>
      </c>
      <c r="AB11" s="155">
        <v>-0.1657106411</v>
      </c>
      <c r="AC11" s="162">
        <v>239809.054</v>
      </c>
      <c r="AD11" s="162">
        <v>262956.09399999998</v>
      </c>
      <c r="AE11" s="155">
        <v>-8.8026254299999995E-2</v>
      </c>
      <c r="AF11" s="162">
        <v>291198.66600000003</v>
      </c>
      <c r="AG11" s="155">
        <v>-8.4975922699999998E-2</v>
      </c>
    </row>
    <row r="12" spans="1:33">
      <c r="A12" s="148" t="s">
        <v>13</v>
      </c>
      <c r="B12" s="162">
        <v>0</v>
      </c>
      <c r="C12" s="162">
        <v>0</v>
      </c>
      <c r="D12" s="155">
        <v>0</v>
      </c>
      <c r="E12" s="162">
        <v>0</v>
      </c>
      <c r="F12" s="162">
        <v>0</v>
      </c>
      <c r="G12" s="155">
        <v>0</v>
      </c>
      <c r="H12" s="162">
        <v>0</v>
      </c>
      <c r="I12" s="155">
        <v>0</v>
      </c>
      <c r="J12" s="162">
        <v>0</v>
      </c>
      <c r="K12" s="162">
        <v>0</v>
      </c>
      <c r="L12" s="155">
        <v>0</v>
      </c>
      <c r="M12" s="162">
        <v>0</v>
      </c>
      <c r="N12" s="162">
        <v>0</v>
      </c>
      <c r="O12" s="155">
        <v>0</v>
      </c>
      <c r="P12" s="162">
        <v>0</v>
      </c>
      <c r="Q12" s="155">
        <v>0</v>
      </c>
      <c r="R12" s="162">
        <v>0</v>
      </c>
      <c r="S12" s="162">
        <v>0</v>
      </c>
      <c r="T12" s="155">
        <v>0</v>
      </c>
      <c r="U12" s="162">
        <v>0</v>
      </c>
      <c r="V12" s="162">
        <v>0</v>
      </c>
      <c r="W12" s="155">
        <v>0</v>
      </c>
      <c r="X12" s="162">
        <v>0</v>
      </c>
      <c r="Y12" s="155">
        <v>0</v>
      </c>
      <c r="Z12" s="162">
        <v>201924.62299999999</v>
      </c>
      <c r="AA12" s="162">
        <v>221962.174</v>
      </c>
      <c r="AB12" s="155">
        <v>-9.0274620400000005E-2</v>
      </c>
      <c r="AC12" s="162">
        <v>2024163.287</v>
      </c>
      <c r="AD12" s="162">
        <v>2240291.16</v>
      </c>
      <c r="AE12" s="155">
        <v>-9.6473117799999994E-2</v>
      </c>
      <c r="AF12" s="162">
        <v>2458265.977</v>
      </c>
      <c r="AG12" s="155">
        <v>-7.5287930000000003E-2</v>
      </c>
    </row>
    <row r="13" spans="1:33">
      <c r="A13" s="148" t="s">
        <v>30</v>
      </c>
      <c r="B13" s="162">
        <v>0</v>
      </c>
      <c r="C13" s="162">
        <v>0</v>
      </c>
      <c r="D13" s="155">
        <v>0</v>
      </c>
      <c r="E13" s="162">
        <v>0</v>
      </c>
      <c r="F13" s="162">
        <v>0</v>
      </c>
      <c r="G13" s="155">
        <v>0</v>
      </c>
      <c r="H13" s="162">
        <v>0</v>
      </c>
      <c r="I13" s="155">
        <v>0</v>
      </c>
      <c r="J13" s="162">
        <v>0</v>
      </c>
      <c r="K13" s="162">
        <v>0</v>
      </c>
      <c r="L13" s="155">
        <v>0</v>
      </c>
      <c r="M13" s="162">
        <v>0</v>
      </c>
      <c r="N13" s="162">
        <v>0</v>
      </c>
      <c r="O13" s="155">
        <v>0</v>
      </c>
      <c r="P13" s="162">
        <v>0</v>
      </c>
      <c r="Q13" s="155">
        <v>0</v>
      </c>
      <c r="R13" s="162">
        <v>45569.163999999997</v>
      </c>
      <c r="S13" s="162">
        <v>40379.856</v>
      </c>
      <c r="T13" s="155">
        <v>0.12851229580000001</v>
      </c>
      <c r="U13" s="162">
        <v>442196.67599999998</v>
      </c>
      <c r="V13" s="162">
        <v>324367.00400000002</v>
      </c>
      <c r="W13" s="155">
        <v>0.36326035179999999</v>
      </c>
      <c r="X13" s="162">
        <v>538259.02800000005</v>
      </c>
      <c r="Y13" s="155">
        <v>0.39510637189999998</v>
      </c>
      <c r="Z13" s="162">
        <v>317069.14299999998</v>
      </c>
      <c r="AA13" s="162">
        <v>288990.75400000002</v>
      </c>
      <c r="AB13" s="155">
        <v>9.7160163800000005E-2</v>
      </c>
      <c r="AC13" s="162">
        <v>2520338.7510000002</v>
      </c>
      <c r="AD13" s="162">
        <v>2462769.1880000001</v>
      </c>
      <c r="AE13" s="155">
        <v>2.3375947399999999E-2</v>
      </c>
      <c r="AF13" s="162">
        <v>3054946.5109999999</v>
      </c>
      <c r="AG13" s="155">
        <v>1.41641606E-2</v>
      </c>
    </row>
    <row r="14" spans="1:33">
      <c r="A14" s="148" t="s">
        <v>29</v>
      </c>
      <c r="B14" s="162">
        <v>0</v>
      </c>
      <c r="C14" s="162">
        <v>0</v>
      </c>
      <c r="D14" s="155">
        <v>0</v>
      </c>
      <c r="E14" s="162">
        <v>0</v>
      </c>
      <c r="F14" s="162">
        <v>0</v>
      </c>
      <c r="G14" s="155">
        <v>0</v>
      </c>
      <c r="H14" s="162">
        <v>0</v>
      </c>
      <c r="I14" s="155">
        <v>0</v>
      </c>
      <c r="J14" s="162">
        <v>0</v>
      </c>
      <c r="K14" s="162">
        <v>0</v>
      </c>
      <c r="L14" s="155">
        <v>0</v>
      </c>
      <c r="M14" s="162">
        <v>0</v>
      </c>
      <c r="N14" s="162">
        <v>0</v>
      </c>
      <c r="O14" s="155">
        <v>0</v>
      </c>
      <c r="P14" s="162">
        <v>0</v>
      </c>
      <c r="Q14" s="155">
        <v>0</v>
      </c>
      <c r="R14" s="162">
        <v>278.495</v>
      </c>
      <c r="S14" s="162">
        <v>1642.048</v>
      </c>
      <c r="T14" s="155">
        <v>-0.83039777159999995</v>
      </c>
      <c r="U14" s="162">
        <v>12813.724</v>
      </c>
      <c r="V14" s="162">
        <v>14746.465</v>
      </c>
      <c r="W14" s="155">
        <v>-0.1310646992</v>
      </c>
      <c r="X14" s="162">
        <v>12813.724</v>
      </c>
      <c r="Y14" s="155">
        <v>-0.1310646992</v>
      </c>
      <c r="Z14" s="162">
        <v>0</v>
      </c>
      <c r="AA14" s="162">
        <v>0</v>
      </c>
      <c r="AB14" s="155">
        <v>0</v>
      </c>
      <c r="AC14" s="162">
        <v>0</v>
      </c>
      <c r="AD14" s="162">
        <v>0</v>
      </c>
      <c r="AE14" s="155">
        <v>0</v>
      </c>
      <c r="AF14" s="162">
        <v>0</v>
      </c>
      <c r="AG14" s="155">
        <v>0</v>
      </c>
    </row>
    <row r="15" spans="1:33">
      <c r="A15" s="148" t="s">
        <v>9</v>
      </c>
      <c r="B15" s="162">
        <v>0</v>
      </c>
      <c r="C15" s="162">
        <v>0</v>
      </c>
      <c r="D15" s="155">
        <v>0</v>
      </c>
      <c r="E15" s="162">
        <v>0</v>
      </c>
      <c r="F15" s="162">
        <v>0</v>
      </c>
      <c r="G15" s="155">
        <v>0</v>
      </c>
      <c r="H15" s="162">
        <v>0</v>
      </c>
      <c r="I15" s="155">
        <v>0</v>
      </c>
      <c r="J15" s="162">
        <v>0</v>
      </c>
      <c r="K15" s="162">
        <v>0</v>
      </c>
      <c r="L15" s="155">
        <v>0</v>
      </c>
      <c r="M15" s="162">
        <v>0</v>
      </c>
      <c r="N15" s="162">
        <v>0</v>
      </c>
      <c r="O15" s="155">
        <v>0</v>
      </c>
      <c r="P15" s="162">
        <v>0</v>
      </c>
      <c r="Q15" s="155">
        <v>0</v>
      </c>
      <c r="R15" s="162">
        <v>0</v>
      </c>
      <c r="S15" s="162">
        <v>0</v>
      </c>
      <c r="T15" s="155">
        <v>0</v>
      </c>
      <c r="U15" s="162">
        <v>0</v>
      </c>
      <c r="V15" s="162">
        <v>0</v>
      </c>
      <c r="W15" s="155">
        <v>0</v>
      </c>
      <c r="X15" s="162">
        <v>0</v>
      </c>
      <c r="Y15" s="155">
        <v>0</v>
      </c>
      <c r="Z15" s="162">
        <v>873.31100000000004</v>
      </c>
      <c r="AA15" s="162">
        <v>971.27599999999995</v>
      </c>
      <c r="AB15" s="155">
        <v>-0.1008621648</v>
      </c>
      <c r="AC15" s="162">
        <v>21845.023000000001</v>
      </c>
      <c r="AD15" s="162">
        <v>18156.210999999999</v>
      </c>
      <c r="AE15" s="155">
        <v>0.20317080470000001</v>
      </c>
      <c r="AF15" s="162">
        <v>23921.868999999999</v>
      </c>
      <c r="AG15" s="155">
        <v>0.1864409226</v>
      </c>
    </row>
    <row r="16" spans="1:33">
      <c r="A16" s="148" t="s">
        <v>8</v>
      </c>
      <c r="B16" s="162">
        <v>0</v>
      </c>
      <c r="C16" s="162">
        <v>0</v>
      </c>
      <c r="D16" s="155">
        <v>0</v>
      </c>
      <c r="E16" s="162">
        <v>0</v>
      </c>
      <c r="F16" s="162">
        <v>0</v>
      </c>
      <c r="G16" s="155">
        <v>0</v>
      </c>
      <c r="H16" s="162">
        <v>0</v>
      </c>
      <c r="I16" s="155">
        <v>0</v>
      </c>
      <c r="J16" s="162">
        <v>0</v>
      </c>
      <c r="K16" s="162">
        <v>0</v>
      </c>
      <c r="L16" s="155">
        <v>0</v>
      </c>
      <c r="M16" s="162">
        <v>0</v>
      </c>
      <c r="N16" s="162">
        <v>0</v>
      </c>
      <c r="O16" s="155">
        <v>0</v>
      </c>
      <c r="P16" s="162">
        <v>0</v>
      </c>
      <c r="Q16" s="155">
        <v>0</v>
      </c>
      <c r="R16" s="162">
        <v>620.31299999999999</v>
      </c>
      <c r="S16" s="162">
        <v>194.571</v>
      </c>
      <c r="T16" s="155">
        <v>2.1881061412</v>
      </c>
      <c r="U16" s="162">
        <v>2782.8270000000002</v>
      </c>
      <c r="V16" s="162">
        <v>2199.011</v>
      </c>
      <c r="W16" s="155">
        <v>0.26549025900000001</v>
      </c>
      <c r="X16" s="162">
        <v>3508.0920000000001</v>
      </c>
      <c r="Y16" s="155">
        <v>0.22602216219999999</v>
      </c>
      <c r="Z16" s="162">
        <v>22335.968000000001</v>
      </c>
      <c r="AA16" s="162">
        <v>21330.208999999999</v>
      </c>
      <c r="AB16" s="155">
        <v>4.71518587E-2</v>
      </c>
      <c r="AC16" s="162">
        <v>545214.30099999998</v>
      </c>
      <c r="AD16" s="162">
        <v>332083.11200000002</v>
      </c>
      <c r="AE16" s="155">
        <v>0.64180074600000003</v>
      </c>
      <c r="AF16" s="162">
        <v>609056.522</v>
      </c>
      <c r="AG16" s="155">
        <v>0.66637361090000002</v>
      </c>
    </row>
    <row r="17" spans="1:33">
      <c r="A17" s="148" t="s">
        <v>7</v>
      </c>
      <c r="B17" s="162">
        <v>0</v>
      </c>
      <c r="C17" s="162">
        <v>0</v>
      </c>
      <c r="D17" s="155">
        <v>0</v>
      </c>
      <c r="E17" s="162">
        <v>0</v>
      </c>
      <c r="F17" s="162">
        <v>0</v>
      </c>
      <c r="G17" s="155">
        <v>0</v>
      </c>
      <c r="H17" s="162">
        <v>0</v>
      </c>
      <c r="I17" s="155">
        <v>0</v>
      </c>
      <c r="J17" s="162">
        <v>6.0419999999999998</v>
      </c>
      <c r="K17" s="162">
        <v>6.5469999999999997</v>
      </c>
      <c r="L17" s="155">
        <v>-7.7134565399999994E-2</v>
      </c>
      <c r="M17" s="162">
        <v>65.796000000000006</v>
      </c>
      <c r="N17" s="162">
        <v>67.965999999999994</v>
      </c>
      <c r="O17" s="155">
        <v>-3.1927728599999997E-2</v>
      </c>
      <c r="P17" s="162">
        <v>74.698999999999998</v>
      </c>
      <c r="Q17" s="155">
        <v>-1.93378144E-2</v>
      </c>
      <c r="R17" s="162">
        <v>7841.4849999999997</v>
      </c>
      <c r="S17" s="162">
        <v>9718.9459999999999</v>
      </c>
      <c r="T17" s="155">
        <v>-0.19317537109999999</v>
      </c>
      <c r="U17" s="162">
        <v>99750.880999999994</v>
      </c>
      <c r="V17" s="162">
        <v>110521.90700000001</v>
      </c>
      <c r="W17" s="155">
        <v>-9.7456027400000006E-2</v>
      </c>
      <c r="X17" s="162">
        <v>112565.969</v>
      </c>
      <c r="Y17" s="155">
        <v>-8.3496604000000002E-2</v>
      </c>
      <c r="Z17" s="162">
        <v>19456.083999999999</v>
      </c>
      <c r="AA17" s="162">
        <v>19754.670999999998</v>
      </c>
      <c r="AB17" s="155">
        <v>-1.5114754399999999E-2</v>
      </c>
      <c r="AC17" s="162">
        <v>237208.58100000001</v>
      </c>
      <c r="AD17" s="162">
        <v>239598.99799999999</v>
      </c>
      <c r="AE17" s="155">
        <v>-9.9767403999999997E-3</v>
      </c>
      <c r="AF17" s="162">
        <v>271236.24800000002</v>
      </c>
      <c r="AG17" s="155">
        <v>-3.9830177E-3</v>
      </c>
    </row>
    <row r="18" spans="1:33">
      <c r="A18" s="148" t="s">
        <v>27</v>
      </c>
      <c r="B18" s="162">
        <v>0</v>
      </c>
      <c r="C18" s="162">
        <v>0</v>
      </c>
      <c r="D18" s="155">
        <v>0</v>
      </c>
      <c r="E18" s="162">
        <v>0</v>
      </c>
      <c r="F18" s="162">
        <v>0</v>
      </c>
      <c r="G18" s="155">
        <v>0</v>
      </c>
      <c r="H18" s="162">
        <v>0</v>
      </c>
      <c r="I18" s="155">
        <v>0</v>
      </c>
      <c r="J18" s="162">
        <v>0</v>
      </c>
      <c r="K18" s="162">
        <v>0</v>
      </c>
      <c r="L18" s="155">
        <v>0</v>
      </c>
      <c r="M18" s="162">
        <v>0</v>
      </c>
      <c r="N18" s="162">
        <v>0</v>
      </c>
      <c r="O18" s="155">
        <v>0</v>
      </c>
      <c r="P18" s="162">
        <v>0</v>
      </c>
      <c r="Q18" s="155">
        <v>0</v>
      </c>
      <c r="R18" s="162">
        <v>60.414999999999999</v>
      </c>
      <c r="S18" s="162">
        <v>106.123</v>
      </c>
      <c r="T18" s="155">
        <v>-0.43070776360000002</v>
      </c>
      <c r="U18" s="162">
        <v>1132.451</v>
      </c>
      <c r="V18" s="162">
        <v>1362.962</v>
      </c>
      <c r="W18" s="155">
        <v>-0.16912503800000001</v>
      </c>
      <c r="X18" s="162">
        <v>1396.23</v>
      </c>
      <c r="Y18" s="155">
        <v>-0.14858780939999999</v>
      </c>
      <c r="Z18" s="162">
        <v>813.33399999999995</v>
      </c>
      <c r="AA18" s="162">
        <v>831.37800000000004</v>
      </c>
      <c r="AB18" s="155">
        <v>-2.1703725600000001E-2</v>
      </c>
      <c r="AC18" s="162">
        <v>7181.8919999999998</v>
      </c>
      <c r="AD18" s="162">
        <v>7980.2830000000004</v>
      </c>
      <c r="AE18" s="155">
        <v>-0.10004544949999999</v>
      </c>
      <c r="AF18" s="162">
        <v>8766.8680000000004</v>
      </c>
      <c r="AG18" s="155">
        <v>-8.0473663400000006E-2</v>
      </c>
    </row>
    <row r="19" spans="1:33">
      <c r="A19" s="148" t="s">
        <v>28</v>
      </c>
      <c r="B19" s="162">
        <v>0</v>
      </c>
      <c r="C19" s="162">
        <v>0</v>
      </c>
      <c r="D19" s="155">
        <v>0</v>
      </c>
      <c r="E19" s="162">
        <v>0</v>
      </c>
      <c r="F19" s="162">
        <v>0</v>
      </c>
      <c r="G19" s="155">
        <v>0</v>
      </c>
      <c r="H19" s="162">
        <v>0</v>
      </c>
      <c r="I19" s="155">
        <v>0</v>
      </c>
      <c r="J19" s="162">
        <v>0</v>
      </c>
      <c r="K19" s="162">
        <v>0</v>
      </c>
      <c r="L19" s="155">
        <v>0</v>
      </c>
      <c r="M19" s="162">
        <v>0</v>
      </c>
      <c r="N19" s="162">
        <v>0</v>
      </c>
      <c r="O19" s="155">
        <v>0</v>
      </c>
      <c r="P19" s="162">
        <v>0</v>
      </c>
      <c r="Q19" s="155">
        <v>0</v>
      </c>
      <c r="R19" s="162">
        <v>2571.509</v>
      </c>
      <c r="S19" s="162">
        <v>3349.6129999999998</v>
      </c>
      <c r="T19" s="155">
        <v>-0.23229668619999999</v>
      </c>
      <c r="U19" s="162">
        <v>28568.39</v>
      </c>
      <c r="V19" s="162">
        <v>29545.417000000001</v>
      </c>
      <c r="W19" s="155">
        <v>-3.3068648200000002E-2</v>
      </c>
      <c r="X19" s="162">
        <v>35267.207000000002</v>
      </c>
      <c r="Y19" s="155">
        <v>1.9133485299999999E-2</v>
      </c>
      <c r="Z19" s="162">
        <v>0</v>
      </c>
      <c r="AA19" s="162">
        <v>0</v>
      </c>
      <c r="AB19" s="155">
        <v>0</v>
      </c>
      <c r="AC19" s="162">
        <v>0</v>
      </c>
      <c r="AD19" s="162">
        <v>0</v>
      </c>
      <c r="AE19" s="155">
        <v>0</v>
      </c>
      <c r="AF19" s="162">
        <v>0</v>
      </c>
      <c r="AG19" s="155">
        <v>0</v>
      </c>
    </row>
    <row r="20" spans="1:33">
      <c r="A20" s="148" t="s">
        <v>61</v>
      </c>
      <c r="B20" s="162">
        <v>0</v>
      </c>
      <c r="C20" s="162">
        <v>0</v>
      </c>
      <c r="D20" s="155">
        <v>0</v>
      </c>
      <c r="E20" s="162">
        <v>0</v>
      </c>
      <c r="F20" s="162">
        <v>0</v>
      </c>
      <c r="G20" s="155">
        <v>0</v>
      </c>
      <c r="H20" s="162">
        <v>0</v>
      </c>
      <c r="I20" s="155">
        <v>0</v>
      </c>
      <c r="J20" s="162">
        <v>414.20150000000001</v>
      </c>
      <c r="K20" s="162">
        <v>497.26049999999998</v>
      </c>
      <c r="L20" s="155">
        <v>-0.16703317479999999</v>
      </c>
      <c r="M20" s="162">
        <v>4660.3204999999998</v>
      </c>
      <c r="N20" s="162">
        <v>4334.6405000000004</v>
      </c>
      <c r="O20" s="155">
        <v>7.5134258499999995E-2</v>
      </c>
      <c r="P20" s="162">
        <v>5302.6660000000002</v>
      </c>
      <c r="Q20" s="155">
        <v>7.0778191599999998E-2</v>
      </c>
      <c r="R20" s="162">
        <v>13897.673500000001</v>
      </c>
      <c r="S20" s="162">
        <v>13982.9895</v>
      </c>
      <c r="T20" s="155">
        <v>-6.1014134000000001E-3</v>
      </c>
      <c r="U20" s="162">
        <v>115599.44</v>
      </c>
      <c r="V20" s="162">
        <v>122617.444</v>
      </c>
      <c r="W20" s="155">
        <v>-5.7234955900000002E-2</v>
      </c>
      <c r="X20" s="162">
        <v>136860.66399999999</v>
      </c>
      <c r="Y20" s="155">
        <v>-2.80727461E-2</v>
      </c>
      <c r="Z20" s="162">
        <v>0</v>
      </c>
      <c r="AA20" s="162">
        <v>0</v>
      </c>
      <c r="AB20" s="155">
        <v>0</v>
      </c>
      <c r="AC20" s="162">
        <v>0</v>
      </c>
      <c r="AD20" s="162">
        <v>0</v>
      </c>
      <c r="AE20" s="155">
        <v>0</v>
      </c>
      <c r="AF20" s="162">
        <v>0</v>
      </c>
      <c r="AG20" s="155">
        <v>0</v>
      </c>
    </row>
    <row r="21" spans="1:33">
      <c r="A21" s="148" t="s">
        <v>62</v>
      </c>
      <c r="B21" s="162">
        <v>0</v>
      </c>
      <c r="C21" s="162">
        <v>0</v>
      </c>
      <c r="D21" s="155">
        <v>0</v>
      </c>
      <c r="E21" s="162">
        <v>0</v>
      </c>
      <c r="F21" s="162">
        <v>0</v>
      </c>
      <c r="G21" s="155">
        <v>0</v>
      </c>
      <c r="H21" s="162">
        <v>0</v>
      </c>
      <c r="I21" s="155">
        <v>0</v>
      </c>
      <c r="J21" s="162">
        <v>414.20150000000001</v>
      </c>
      <c r="K21" s="162">
        <v>497.26049999999998</v>
      </c>
      <c r="L21" s="155">
        <v>-0.16703317479999999</v>
      </c>
      <c r="M21" s="162">
        <v>4660.3204999999998</v>
      </c>
      <c r="N21" s="162">
        <v>4334.6405000000004</v>
      </c>
      <c r="O21" s="155">
        <v>7.5134258499999995E-2</v>
      </c>
      <c r="P21" s="162">
        <v>5302.6660000000002</v>
      </c>
      <c r="Q21" s="155">
        <v>7.0778191599999998E-2</v>
      </c>
      <c r="R21" s="162">
        <v>13897.673500000001</v>
      </c>
      <c r="S21" s="162">
        <v>13982.9895</v>
      </c>
      <c r="T21" s="155">
        <v>-6.1014134000000001E-3</v>
      </c>
      <c r="U21" s="162">
        <v>115599.44</v>
      </c>
      <c r="V21" s="162">
        <v>122617.444</v>
      </c>
      <c r="W21" s="155">
        <v>-5.7234955900000002E-2</v>
      </c>
      <c r="X21" s="162">
        <v>136860.66399999999</v>
      </c>
      <c r="Y21" s="155">
        <v>-2.80727461E-2</v>
      </c>
      <c r="Z21" s="162">
        <v>0</v>
      </c>
      <c r="AA21" s="162">
        <v>0</v>
      </c>
      <c r="AB21" s="155">
        <v>0</v>
      </c>
      <c r="AC21" s="162">
        <v>0</v>
      </c>
      <c r="AD21" s="162">
        <v>0</v>
      </c>
      <c r="AE21" s="155">
        <v>0</v>
      </c>
      <c r="AF21" s="162">
        <v>0</v>
      </c>
      <c r="AG21" s="155">
        <v>0</v>
      </c>
    </row>
    <row r="22" spans="1:33">
      <c r="A22" s="153" t="s">
        <v>5</v>
      </c>
      <c r="B22" s="163">
        <v>17854.131000000001</v>
      </c>
      <c r="C22" s="163">
        <v>15964.592000000001</v>
      </c>
      <c r="D22" s="156">
        <v>0.118358114</v>
      </c>
      <c r="E22" s="163">
        <v>172676.32</v>
      </c>
      <c r="F22" s="163">
        <v>168625.83</v>
      </c>
      <c r="G22" s="156">
        <v>2.4020578599999998E-2</v>
      </c>
      <c r="H22" s="163">
        <v>206911.32</v>
      </c>
      <c r="I22" s="156">
        <v>1.25617538E-2</v>
      </c>
      <c r="J22" s="163">
        <v>17666.249</v>
      </c>
      <c r="K22" s="163">
        <v>17474.578000000001</v>
      </c>
      <c r="L22" s="156">
        <v>1.09685624E-2</v>
      </c>
      <c r="M22" s="163">
        <v>178924.90700000001</v>
      </c>
      <c r="N22" s="163">
        <v>175972.68799999999</v>
      </c>
      <c r="O22" s="156">
        <v>1.6776574999999998E-2</v>
      </c>
      <c r="P22" s="163">
        <v>213377.29699999999</v>
      </c>
      <c r="Q22" s="156">
        <v>1.8032024000000001E-2</v>
      </c>
      <c r="R22" s="163">
        <v>383312.13099999999</v>
      </c>
      <c r="S22" s="163">
        <v>381757.13699999999</v>
      </c>
      <c r="T22" s="156">
        <v>4.0732546000000003E-3</v>
      </c>
      <c r="U22" s="163">
        <v>4176840.1549999998</v>
      </c>
      <c r="V22" s="163">
        <v>4136391.4759999998</v>
      </c>
      <c r="W22" s="156">
        <v>9.7787356999999991E-3</v>
      </c>
      <c r="X22" s="163">
        <v>4877558.0530000003</v>
      </c>
      <c r="Y22" s="156">
        <v>1.70668738E-2</v>
      </c>
      <c r="Z22" s="163">
        <v>778607.53399999999</v>
      </c>
      <c r="AA22" s="163">
        <v>789861.46400000004</v>
      </c>
      <c r="AB22" s="156">
        <v>-1.42479796E-2</v>
      </c>
      <c r="AC22" s="163">
        <v>7379108.5360000003</v>
      </c>
      <c r="AD22" s="163">
        <v>7437854.0290000001</v>
      </c>
      <c r="AE22" s="156">
        <v>-7.8981777E-3</v>
      </c>
      <c r="AF22" s="163">
        <v>8872317.5319999997</v>
      </c>
      <c r="AG22" s="156">
        <v>-3.4537132999999999E-3</v>
      </c>
    </row>
    <row r="23" spans="1:33">
      <c r="A23" s="148" t="s">
        <v>26</v>
      </c>
      <c r="B23" s="162">
        <v>0</v>
      </c>
      <c r="C23" s="162">
        <v>0</v>
      </c>
      <c r="D23" s="155">
        <v>0</v>
      </c>
      <c r="E23" s="162">
        <v>0</v>
      </c>
      <c r="F23" s="162">
        <v>0</v>
      </c>
      <c r="G23" s="155">
        <v>0</v>
      </c>
      <c r="H23" s="162">
        <v>0</v>
      </c>
      <c r="I23" s="155">
        <v>0</v>
      </c>
      <c r="J23" s="162">
        <v>0</v>
      </c>
      <c r="K23" s="162">
        <v>0</v>
      </c>
      <c r="L23" s="155">
        <v>0</v>
      </c>
      <c r="M23" s="162">
        <v>0</v>
      </c>
      <c r="N23" s="162">
        <v>0</v>
      </c>
      <c r="O23" s="155">
        <v>0</v>
      </c>
      <c r="P23" s="162">
        <v>0</v>
      </c>
      <c r="Q23" s="155">
        <v>0</v>
      </c>
      <c r="R23" s="162">
        <v>92007.577000000005</v>
      </c>
      <c r="S23" s="162">
        <v>93286.301000000007</v>
      </c>
      <c r="T23" s="155">
        <v>-1.3707521800000001E-2</v>
      </c>
      <c r="U23" s="162">
        <v>1055714.3859999999</v>
      </c>
      <c r="V23" s="162">
        <v>1017377.843</v>
      </c>
      <c r="W23" s="155">
        <v>3.7681716099999998E-2</v>
      </c>
      <c r="X23" s="162">
        <v>1217643.1850000001</v>
      </c>
      <c r="Y23" s="155">
        <v>4.8350090700000001E-2</v>
      </c>
      <c r="Z23" s="162">
        <v>0</v>
      </c>
      <c r="AA23" s="162">
        <v>0</v>
      </c>
      <c r="AB23" s="155">
        <v>0</v>
      </c>
      <c r="AC23" s="162">
        <v>0</v>
      </c>
      <c r="AD23" s="162">
        <v>0</v>
      </c>
      <c r="AE23" s="155">
        <v>0</v>
      </c>
      <c r="AF23" s="162">
        <v>0</v>
      </c>
      <c r="AG23" s="155">
        <v>0</v>
      </c>
    </row>
    <row r="24" spans="1:33">
      <c r="A24" s="153" t="s">
        <v>106</v>
      </c>
      <c r="B24" s="163">
        <v>17854.131000000001</v>
      </c>
      <c r="C24" s="163">
        <v>15964.592000000001</v>
      </c>
      <c r="D24" s="156">
        <v>0.118358114</v>
      </c>
      <c r="E24" s="163">
        <v>172676.32</v>
      </c>
      <c r="F24" s="163">
        <v>168625.83</v>
      </c>
      <c r="G24" s="156">
        <v>2.4020578599999998E-2</v>
      </c>
      <c r="H24" s="163">
        <v>206911.32</v>
      </c>
      <c r="I24" s="156">
        <v>1.25617538E-2</v>
      </c>
      <c r="J24" s="163">
        <v>17666.249</v>
      </c>
      <c r="K24" s="163">
        <v>17474.578000000001</v>
      </c>
      <c r="L24" s="156">
        <v>1.09685624E-2</v>
      </c>
      <c r="M24" s="163">
        <v>178924.90700000001</v>
      </c>
      <c r="N24" s="163">
        <v>175972.68799999999</v>
      </c>
      <c r="O24" s="156">
        <v>1.6776574999999998E-2</v>
      </c>
      <c r="P24" s="163">
        <v>213377.29699999999</v>
      </c>
      <c r="Q24" s="156">
        <v>1.8032024000000001E-2</v>
      </c>
      <c r="R24" s="163">
        <v>475319.70799999998</v>
      </c>
      <c r="S24" s="163">
        <v>475043.43800000002</v>
      </c>
      <c r="T24" s="156">
        <v>5.8156790000000005E-4</v>
      </c>
      <c r="U24" s="163">
        <v>5232554.5410000002</v>
      </c>
      <c r="V24" s="163">
        <v>5153769.3190000001</v>
      </c>
      <c r="W24" s="156">
        <v>1.52869128E-2</v>
      </c>
      <c r="X24" s="163">
        <v>6095201.2379999999</v>
      </c>
      <c r="Y24" s="156">
        <v>2.3166219599999999E-2</v>
      </c>
      <c r="Z24" s="163">
        <v>778607.53399999999</v>
      </c>
      <c r="AA24" s="163">
        <v>789861.46400000004</v>
      </c>
      <c r="AB24" s="156">
        <v>-1.42479796E-2</v>
      </c>
      <c r="AC24" s="163">
        <v>7379108.5360000003</v>
      </c>
      <c r="AD24" s="163">
        <v>7437854.0290000001</v>
      </c>
      <c r="AE24" s="156">
        <v>-7.8981777E-3</v>
      </c>
      <c r="AF24" s="163">
        <v>8872317.5319999997</v>
      </c>
      <c r="AG24" s="156">
        <v>-3.4537132999999999E-3</v>
      </c>
    </row>
    <row r="29" spans="1:33" ht="15">
      <c r="A29" s="149" t="s">
        <v>77</v>
      </c>
      <c r="B29" s="210" t="s">
        <v>112</v>
      </c>
      <c r="C29" s="211"/>
    </row>
    <row r="30" spans="1:33" ht="15">
      <c r="A30" s="149" t="s">
        <v>79</v>
      </c>
      <c r="B30" s="208" t="s">
        <v>82</v>
      </c>
      <c r="C30" s="209"/>
    </row>
    <row r="31" spans="1:33">
      <c r="A31" s="147" t="s">
        <v>78</v>
      </c>
      <c r="B31" s="187" t="s">
        <v>67</v>
      </c>
      <c r="C31" s="187" t="s">
        <v>68</v>
      </c>
    </row>
    <row r="32" spans="1:33">
      <c r="A32" s="149" t="s">
        <v>80</v>
      </c>
      <c r="B32" s="150"/>
      <c r="C32" s="150"/>
    </row>
    <row r="33" spans="1:3">
      <c r="A33" s="148" t="s">
        <v>17</v>
      </c>
      <c r="B33" s="151"/>
      <c r="C33" s="151">
        <v>2.02</v>
      </c>
    </row>
    <row r="34" spans="1:3">
      <c r="A34" s="148" t="s">
        <v>16</v>
      </c>
      <c r="B34" s="151">
        <v>468.4</v>
      </c>
      <c r="C34" s="151"/>
    </row>
    <row r="35" spans="1:3">
      <c r="A35" s="148" t="s">
        <v>105</v>
      </c>
      <c r="B35" s="151">
        <v>182</v>
      </c>
      <c r="C35" s="151">
        <v>495.92000000000013</v>
      </c>
    </row>
    <row r="36" spans="1:3">
      <c r="A36" s="148" t="s">
        <v>14</v>
      </c>
      <c r="B36" s="151">
        <v>605.4</v>
      </c>
      <c r="C36" s="151">
        <v>557.1400000000001</v>
      </c>
    </row>
    <row r="37" spans="1:3">
      <c r="A37" s="148" t="s">
        <v>13</v>
      </c>
      <c r="B37" s="151"/>
      <c r="C37" s="151">
        <v>482.64</v>
      </c>
    </row>
    <row r="38" spans="1:3">
      <c r="A38" s="148" t="s">
        <v>30</v>
      </c>
      <c r="B38" s="151">
        <v>857.95</v>
      </c>
      <c r="C38" s="151">
        <v>864.2</v>
      </c>
    </row>
    <row r="39" spans="1:3">
      <c r="A39" s="148" t="s">
        <v>9</v>
      </c>
      <c r="B39" s="151"/>
      <c r="C39" s="151">
        <v>11.39</v>
      </c>
    </row>
    <row r="40" spans="1:3">
      <c r="A40" s="148" t="s">
        <v>8</v>
      </c>
      <c r="B40" s="151">
        <v>3.6474999999999906</v>
      </c>
      <c r="C40" s="151">
        <v>269.24999999999994</v>
      </c>
    </row>
    <row r="41" spans="1:3">
      <c r="A41" s="148" t="s">
        <v>7</v>
      </c>
      <c r="B41" s="151">
        <v>80.118044999999839</v>
      </c>
      <c r="C41" s="151">
        <v>167.32556999999963</v>
      </c>
    </row>
    <row r="42" spans="1:3">
      <c r="A42" s="148" t="s">
        <v>27</v>
      </c>
      <c r="B42" s="151">
        <v>2.13</v>
      </c>
      <c r="C42" s="151">
        <v>3.6960000000000002</v>
      </c>
    </row>
    <row r="43" spans="1:3">
      <c r="A43" s="148" t="s">
        <v>28</v>
      </c>
      <c r="B43" s="151">
        <v>10.486999999999998</v>
      </c>
      <c r="C43" s="151"/>
    </row>
    <row r="44" spans="1:3">
      <c r="A44" s="148" t="s">
        <v>61</v>
      </c>
      <c r="B44" s="151">
        <v>37.400000000000006</v>
      </c>
      <c r="C44" s="151"/>
    </row>
    <row r="45" spans="1:3">
      <c r="A45" s="148" t="s">
        <v>62</v>
      </c>
      <c r="B45" s="151">
        <v>37.400000000000006</v>
      </c>
      <c r="C45" s="151"/>
    </row>
    <row r="46" spans="1:3">
      <c r="A46" s="153" t="s">
        <v>5</v>
      </c>
      <c r="B46" s="154">
        <f>SUM(B33:B45)</f>
        <v>2284.9325450000001</v>
      </c>
      <c r="C46" s="154">
        <f>SUM(C33:C45)</f>
        <v>2853.5815699999994</v>
      </c>
    </row>
    <row r="47" spans="1:3">
      <c r="A47" s="189"/>
      <c r="B47" s="190"/>
      <c r="C47" s="190"/>
    </row>
    <row r="48" spans="1:3">
      <c r="A48" s="191"/>
      <c r="B48" s="192"/>
      <c r="C48" s="192"/>
    </row>
    <row r="49" spans="1:8" ht="15">
      <c r="A49"/>
      <c r="B49"/>
      <c r="C49"/>
    </row>
    <row r="50" spans="1:8">
      <c r="A50" s="113" t="s">
        <v>35</v>
      </c>
      <c r="B50" s="114"/>
      <c r="C50" s="114"/>
      <c r="F50" s="113" t="s">
        <v>39</v>
      </c>
      <c r="G50" s="114"/>
      <c r="H50" s="114"/>
    </row>
    <row r="51" spans="1:8">
      <c r="A51" s="116"/>
      <c r="B51" s="117" t="s">
        <v>34</v>
      </c>
      <c r="C51" s="117" t="s">
        <v>31</v>
      </c>
      <c r="F51" s="116"/>
      <c r="G51" s="117" t="s">
        <v>34</v>
      </c>
      <c r="H51" s="117" t="s">
        <v>31</v>
      </c>
    </row>
    <row r="52" spans="1:8">
      <c r="A52" s="118" t="s">
        <v>16</v>
      </c>
      <c r="B52" s="119">
        <f>B34</f>
        <v>468.4</v>
      </c>
      <c r="C52" s="120">
        <f>100-SUM(C53:C62)</f>
        <v>20.500000000000014</v>
      </c>
      <c r="F52" s="118" t="s">
        <v>15</v>
      </c>
      <c r="G52" s="119">
        <f>C35</f>
        <v>495.92000000000013</v>
      </c>
      <c r="H52" s="120">
        <f>ROUND(G52/$G$62*100,1)</f>
        <v>17.399999999999999</v>
      </c>
    </row>
    <row r="53" spans="1:8">
      <c r="A53" s="118" t="s">
        <v>15</v>
      </c>
      <c r="B53" s="119">
        <f>B35</f>
        <v>182</v>
      </c>
      <c r="C53" s="120">
        <f t="shared" ref="C53:C62" si="0">ROUND(B53/$B$63*100,1)</f>
        <v>8</v>
      </c>
      <c r="F53" s="118" t="s">
        <v>14</v>
      </c>
      <c r="G53" s="119">
        <f>C36</f>
        <v>557.1400000000001</v>
      </c>
      <c r="H53" s="120">
        <f>ROUND(G53/$G$62*100,1)</f>
        <v>19.5</v>
      </c>
    </row>
    <row r="54" spans="1:8">
      <c r="A54" s="118" t="s">
        <v>14</v>
      </c>
      <c r="B54" s="119">
        <f>B36</f>
        <v>605.4</v>
      </c>
      <c r="C54" s="120">
        <f t="shared" si="0"/>
        <v>26.5</v>
      </c>
      <c r="F54" s="118" t="s">
        <v>13</v>
      </c>
      <c r="G54" s="119">
        <f>C37</f>
        <v>482.64</v>
      </c>
      <c r="H54" s="120">
        <f>ROUND(G54/$G$62*100,1)</f>
        <v>16.899999999999999</v>
      </c>
    </row>
    <row r="55" spans="1:8">
      <c r="A55" s="118" t="s">
        <v>30</v>
      </c>
      <c r="B55" s="119">
        <f>B38</f>
        <v>857.95</v>
      </c>
      <c r="C55" s="120">
        <f t="shared" si="0"/>
        <v>37.5</v>
      </c>
      <c r="F55" s="118" t="s">
        <v>30</v>
      </c>
      <c r="G55" s="119">
        <f>C38</f>
        <v>864.2</v>
      </c>
      <c r="H55" s="120">
        <f>100-SUM(H52:H54,H56:H61)</f>
        <v>30.300000000000011</v>
      </c>
    </row>
    <row r="56" spans="1:8">
      <c r="A56" s="118" t="s">
        <v>29</v>
      </c>
      <c r="B56" s="119"/>
      <c r="C56" s="120">
        <f>ROUND(B56/$B$63*100,1)</f>
        <v>0</v>
      </c>
      <c r="F56" s="118" t="s">
        <v>28</v>
      </c>
      <c r="G56" s="119">
        <f>C44</f>
        <v>0</v>
      </c>
      <c r="H56" s="120">
        <f t="shared" ref="H56:H61" si="1">ROUND(G56/$G$62*100,1)</f>
        <v>0</v>
      </c>
    </row>
    <row r="57" spans="1:8">
      <c r="A57" s="118" t="s">
        <v>28</v>
      </c>
      <c r="B57" s="119">
        <f>B43</f>
        <v>10.486999999999998</v>
      </c>
      <c r="C57" s="120">
        <f t="shared" si="0"/>
        <v>0.5</v>
      </c>
      <c r="F57" s="118" t="s">
        <v>17</v>
      </c>
      <c r="G57" s="120">
        <f>C33</f>
        <v>2.02</v>
      </c>
      <c r="H57" s="120">
        <f t="shared" si="1"/>
        <v>0.1</v>
      </c>
    </row>
    <row r="58" spans="1:8">
      <c r="A58" s="118" t="s">
        <v>62</v>
      </c>
      <c r="B58" s="119">
        <f>B44</f>
        <v>37.400000000000006</v>
      </c>
      <c r="C58" s="120">
        <f t="shared" si="0"/>
        <v>1.6</v>
      </c>
      <c r="F58" s="118" t="s">
        <v>9</v>
      </c>
      <c r="G58" s="119">
        <f>C39</f>
        <v>11.39</v>
      </c>
      <c r="H58" s="120">
        <f t="shared" si="1"/>
        <v>0.4</v>
      </c>
    </row>
    <row r="59" spans="1:8">
      <c r="A59" s="118" t="s">
        <v>61</v>
      </c>
      <c r="B59" s="119">
        <f>B45</f>
        <v>37.400000000000006</v>
      </c>
      <c r="C59" s="120">
        <f t="shared" si="0"/>
        <v>1.6</v>
      </c>
      <c r="F59" s="118" t="s">
        <v>8</v>
      </c>
      <c r="G59" s="119">
        <f>C40</f>
        <v>269.24999999999994</v>
      </c>
      <c r="H59" s="120">
        <f t="shared" si="1"/>
        <v>9.4</v>
      </c>
    </row>
    <row r="60" spans="1:8">
      <c r="A60" s="118" t="s">
        <v>8</v>
      </c>
      <c r="B60" s="119">
        <f>B40</f>
        <v>3.6474999999999906</v>
      </c>
      <c r="C60" s="120">
        <f t="shared" si="0"/>
        <v>0.2</v>
      </c>
      <c r="F60" s="118" t="s">
        <v>7</v>
      </c>
      <c r="G60" s="119">
        <f>C41</f>
        <v>167.32556999999963</v>
      </c>
      <c r="H60" s="120">
        <f t="shared" si="1"/>
        <v>5.9</v>
      </c>
    </row>
    <row r="61" spans="1:8">
      <c r="A61" s="118" t="s">
        <v>7</v>
      </c>
      <c r="B61" s="119">
        <f>B41</f>
        <v>80.118044999999839</v>
      </c>
      <c r="C61" s="120">
        <f t="shared" si="0"/>
        <v>3.5</v>
      </c>
      <c r="F61" s="118" t="s">
        <v>27</v>
      </c>
      <c r="G61" s="119">
        <f>C42</f>
        <v>3.6960000000000002</v>
      </c>
      <c r="H61" s="120">
        <f t="shared" si="1"/>
        <v>0.1</v>
      </c>
    </row>
    <row r="62" spans="1:8">
      <c r="A62" s="118" t="s">
        <v>27</v>
      </c>
      <c r="B62" s="119">
        <f>B42</f>
        <v>2.13</v>
      </c>
      <c r="C62" s="120">
        <f t="shared" si="0"/>
        <v>0.1</v>
      </c>
      <c r="F62" s="121" t="s">
        <v>25</v>
      </c>
      <c r="G62" s="122">
        <f>SUM(G52:G61)</f>
        <v>2853.5815699999998</v>
      </c>
      <c r="H62" s="123">
        <f>SUM(H52:H61)</f>
        <v>100.00000000000001</v>
      </c>
    </row>
    <row r="63" spans="1:8">
      <c r="A63" s="121" t="s">
        <v>25</v>
      </c>
      <c r="B63" s="122">
        <f>SUM(B52:B62)</f>
        <v>2284.9325450000001</v>
      </c>
      <c r="C63" s="123">
        <f>SUM(C52:C62)</f>
        <v>100</v>
      </c>
    </row>
    <row r="66" spans="1:7">
      <c r="A66" s="113" t="s">
        <v>32</v>
      </c>
      <c r="B66" s="114"/>
      <c r="F66" s="113" t="s">
        <v>38</v>
      </c>
      <c r="G66" s="114"/>
    </row>
    <row r="67" spans="1:7">
      <c r="A67" s="116"/>
      <c r="B67" s="117" t="s">
        <v>31</v>
      </c>
      <c r="F67" s="116"/>
      <c r="G67" s="117" t="s">
        <v>31</v>
      </c>
    </row>
    <row r="68" spans="1:7">
      <c r="A68" s="118" t="s">
        <v>16</v>
      </c>
      <c r="B68" s="120">
        <f>100-SUM(B69:B79)</f>
        <v>39.200000000000003</v>
      </c>
      <c r="F68" s="118" t="s">
        <v>15</v>
      </c>
      <c r="G68" s="120">
        <f>ROUND((Z10/Z$24)*100,1)</f>
        <v>24.5</v>
      </c>
    </row>
    <row r="69" spans="1:7">
      <c r="A69" s="118" t="s">
        <v>15</v>
      </c>
      <c r="B69" s="120">
        <f>ROUND((R10/R$24)*100,1)</f>
        <v>12.2</v>
      </c>
      <c r="F69" s="118" t="s">
        <v>14</v>
      </c>
      <c r="G69" s="120">
        <f>ROUND((Z11/Z$24)*100,1)</f>
        <v>3.2</v>
      </c>
    </row>
    <row r="70" spans="1:7">
      <c r="A70" s="118" t="s">
        <v>14</v>
      </c>
      <c r="B70" s="120">
        <f t="shared" ref="B70" si="2">ROUND((R11/R$24)*100,1)</f>
        <v>11.5</v>
      </c>
      <c r="F70" s="118" t="s">
        <v>13</v>
      </c>
      <c r="G70" s="120">
        <f>ROUND((Z12/Z$24)*100,1)</f>
        <v>25.9</v>
      </c>
    </row>
    <row r="71" spans="1:7">
      <c r="A71" s="118" t="s">
        <v>30</v>
      </c>
      <c r="B71" s="120">
        <f>ROUND((R13/R$24)*100,1)</f>
        <v>9.6</v>
      </c>
      <c r="F71" s="118" t="s">
        <v>30</v>
      </c>
      <c r="G71" s="120">
        <f>100-SUM(G68:G70,G72:G77)</f>
        <v>40.800000000000004</v>
      </c>
    </row>
    <row r="72" spans="1:7">
      <c r="A72" s="118" t="s">
        <v>29</v>
      </c>
      <c r="B72" s="120">
        <f>ROUND((R14/R$24)*100,1)</f>
        <v>0.1</v>
      </c>
      <c r="F72" s="118" t="s">
        <v>28</v>
      </c>
      <c r="G72" s="120">
        <f>ROUND((Z19/Z$24)*100,1)</f>
        <v>0</v>
      </c>
    </row>
    <row r="73" spans="1:7">
      <c r="A73" s="118" t="s">
        <v>28</v>
      </c>
      <c r="B73" s="120">
        <f>ROUND((R19/R$24)*100,1)</f>
        <v>0.5</v>
      </c>
      <c r="F73" s="118" t="s">
        <v>17</v>
      </c>
      <c r="G73" s="120">
        <f>ROUND((Z8/Z$24)*100,1)</f>
        <v>0</v>
      </c>
    </row>
    <row r="74" spans="1:7">
      <c r="A74" s="118" t="s">
        <v>62</v>
      </c>
      <c r="B74" s="120">
        <f>ROUND((R21/R$24)*100,1)</f>
        <v>2.9</v>
      </c>
      <c r="F74" s="118" t="s">
        <v>9</v>
      </c>
      <c r="G74" s="120">
        <f>ROUND((Z15/Z$24)*100,1)</f>
        <v>0.1</v>
      </c>
    </row>
    <row r="75" spans="1:7">
      <c r="A75" s="118" t="s">
        <v>61</v>
      </c>
      <c r="B75" s="120">
        <f>ROUND((R20/R$24)*100,1)</f>
        <v>2.9</v>
      </c>
      <c r="F75" s="118" t="s">
        <v>8</v>
      </c>
      <c r="G75" s="120">
        <f>ROUND((Z16/Z$24)*100,1)</f>
        <v>2.9</v>
      </c>
    </row>
    <row r="76" spans="1:7">
      <c r="A76" s="118" t="s">
        <v>8</v>
      </c>
      <c r="B76" s="120">
        <f>ROUND((R16/R$24)*100,1)</f>
        <v>0.1</v>
      </c>
      <c r="F76" s="118" t="s">
        <v>7</v>
      </c>
      <c r="G76" s="120">
        <f>ROUND((Z17/Z$24)*100,1)</f>
        <v>2.5</v>
      </c>
    </row>
    <row r="77" spans="1:7">
      <c r="A77" s="118" t="s">
        <v>7</v>
      </c>
      <c r="B77" s="120">
        <f>ROUND((R17/R$24)*100,1)</f>
        <v>1.6</v>
      </c>
      <c r="F77" s="118" t="s">
        <v>27</v>
      </c>
      <c r="G77" s="120">
        <f>ROUND((Z18/Z$24)*100,1)</f>
        <v>0.1</v>
      </c>
    </row>
    <row r="78" spans="1:7">
      <c r="A78" s="118" t="s">
        <v>27</v>
      </c>
      <c r="B78" s="120">
        <f>ROUND((R18/R$24)*100,1)</f>
        <v>0</v>
      </c>
      <c r="F78" s="121" t="s">
        <v>25</v>
      </c>
      <c r="G78" s="123">
        <f>SUM(G68:G77)</f>
        <v>100</v>
      </c>
    </row>
    <row r="79" spans="1:7">
      <c r="A79" s="118" t="s">
        <v>26</v>
      </c>
      <c r="B79" s="120">
        <f>ROUND((R23/R$24)*100,1)</f>
        <v>19.399999999999999</v>
      </c>
    </row>
    <row r="80" spans="1:7">
      <c r="A80" s="121" t="s">
        <v>25</v>
      </c>
      <c r="B80" s="123">
        <f>SUM(B68:B79)</f>
        <v>100</v>
      </c>
    </row>
    <row r="85" spans="1:25" ht="15">
      <c r="A85" s="149"/>
      <c r="B85" s="149" t="s">
        <v>79</v>
      </c>
      <c r="C85" s="206" t="s">
        <v>18</v>
      </c>
      <c r="D85" s="207"/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</row>
    <row r="86" spans="1:25">
      <c r="A86" s="149"/>
      <c r="B86" s="147" t="s">
        <v>77</v>
      </c>
      <c r="C86" s="188" t="s">
        <v>83</v>
      </c>
      <c r="D86" s="188" t="s">
        <v>84</v>
      </c>
      <c r="E86" s="188" t="s">
        <v>85</v>
      </c>
      <c r="F86" s="188" t="s">
        <v>86</v>
      </c>
      <c r="G86" s="188" t="s">
        <v>87</v>
      </c>
      <c r="H86" s="188" t="s">
        <v>88</v>
      </c>
      <c r="I86" s="188" t="s">
        <v>89</v>
      </c>
      <c r="J86" s="188" t="s">
        <v>90</v>
      </c>
      <c r="K86" s="188" t="s">
        <v>91</v>
      </c>
      <c r="L86" s="188" t="s">
        <v>92</v>
      </c>
      <c r="M86" s="188" t="s">
        <v>93</v>
      </c>
      <c r="N86" s="188" t="s">
        <v>94</v>
      </c>
      <c r="O86" s="188" t="s">
        <v>95</v>
      </c>
      <c r="P86" s="188" t="s">
        <v>66</v>
      </c>
      <c r="Q86" s="188" t="s">
        <v>102</v>
      </c>
      <c r="R86" s="188" t="s">
        <v>101</v>
      </c>
      <c r="S86" s="188" t="s">
        <v>103</v>
      </c>
      <c r="T86" s="188" t="s">
        <v>107</v>
      </c>
      <c r="U86" s="188" t="s">
        <v>108</v>
      </c>
      <c r="V86" s="188" t="s">
        <v>104</v>
      </c>
      <c r="W86" s="188" t="s">
        <v>111</v>
      </c>
      <c r="X86" s="188" t="s">
        <v>112</v>
      </c>
      <c r="Y86" s="188" t="s">
        <v>116</v>
      </c>
    </row>
    <row r="87" spans="1:25">
      <c r="A87" s="149" t="s">
        <v>78</v>
      </c>
      <c r="B87" s="149" t="s">
        <v>80</v>
      </c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  <c r="Y87" s="152"/>
    </row>
    <row r="88" spans="1:25">
      <c r="A88" s="223" t="s">
        <v>67</v>
      </c>
      <c r="B88" s="148" t="s">
        <v>16</v>
      </c>
      <c r="C88" s="151">
        <v>221.05817300000001</v>
      </c>
      <c r="D88" s="151">
        <v>189.456399</v>
      </c>
      <c r="E88" s="151">
        <v>177.467581</v>
      </c>
      <c r="F88" s="151">
        <v>189.50845000000001</v>
      </c>
      <c r="G88" s="151">
        <v>224.056827</v>
      </c>
      <c r="H88" s="151">
        <v>268.94819999999999</v>
      </c>
      <c r="I88" s="151">
        <v>273.07790799999998</v>
      </c>
      <c r="J88" s="151">
        <v>263.83197200000001</v>
      </c>
      <c r="K88" s="151">
        <v>237.41712699999999</v>
      </c>
      <c r="L88" s="151">
        <v>196.316934</v>
      </c>
      <c r="M88" s="151">
        <v>152.281554</v>
      </c>
      <c r="N88" s="151">
        <v>204.11071200000001</v>
      </c>
      <c r="O88" s="151">
        <v>198.55502899999999</v>
      </c>
      <c r="P88" s="151">
        <v>192.79493400000001</v>
      </c>
      <c r="Q88" s="151">
        <v>199.82157000000001</v>
      </c>
      <c r="R88" s="151">
        <v>183.05622099999999</v>
      </c>
      <c r="S88" s="151">
        <v>185.327823</v>
      </c>
      <c r="T88" s="151">
        <v>204.87973099999999</v>
      </c>
      <c r="U88" s="151">
        <v>242.068479</v>
      </c>
      <c r="V88" s="151">
        <v>257.31310999999999</v>
      </c>
      <c r="W88" s="151">
        <v>250.63039499999999</v>
      </c>
      <c r="X88" s="151">
        <v>186.34634299999999</v>
      </c>
      <c r="Y88" s="151">
        <v>35.285291999999998</v>
      </c>
    </row>
    <row r="89" spans="1:25">
      <c r="A89" s="221"/>
      <c r="B89" s="148" t="s">
        <v>105</v>
      </c>
      <c r="C89" s="151">
        <v>84.274308000000005</v>
      </c>
      <c r="D89" s="151">
        <v>70.860631999999995</v>
      </c>
      <c r="E89" s="151">
        <v>62.289886000000003</v>
      </c>
      <c r="F89" s="151">
        <v>72.688243999999997</v>
      </c>
      <c r="G89" s="151">
        <v>87.842727999999994</v>
      </c>
      <c r="H89" s="151">
        <v>96.605957000000004</v>
      </c>
      <c r="I89" s="151">
        <v>106.657878</v>
      </c>
      <c r="J89" s="151">
        <v>88.000293999999997</v>
      </c>
      <c r="K89" s="151">
        <v>42.120804</v>
      </c>
      <c r="L89" s="151">
        <v>26.871200999999999</v>
      </c>
      <c r="M89" s="151">
        <v>24.992986999999999</v>
      </c>
      <c r="N89" s="151">
        <v>32.782640999999998</v>
      </c>
      <c r="O89" s="151">
        <v>35.080182000000001</v>
      </c>
      <c r="P89" s="151">
        <v>38.969616000000002</v>
      </c>
      <c r="Q89" s="151">
        <v>35.928452</v>
      </c>
      <c r="R89" s="151">
        <v>37.207234999999997</v>
      </c>
      <c r="S89" s="151">
        <v>51.279922999999997</v>
      </c>
      <c r="T89" s="151">
        <v>59.423205000000003</v>
      </c>
      <c r="U89" s="151">
        <v>82.636359999999996</v>
      </c>
      <c r="V89" s="151">
        <v>89.525766000000004</v>
      </c>
      <c r="W89" s="151">
        <v>72.079989999999995</v>
      </c>
      <c r="X89" s="151">
        <v>57.770246999999998</v>
      </c>
      <c r="Y89" s="151">
        <v>16.484787000000001</v>
      </c>
    </row>
    <row r="90" spans="1:25">
      <c r="A90" s="221"/>
      <c r="B90" s="148" t="s">
        <v>14</v>
      </c>
      <c r="C90" s="151">
        <v>13.229322</v>
      </c>
      <c r="D90" s="151">
        <v>10.726194</v>
      </c>
      <c r="E90" s="151">
        <v>22.296851</v>
      </c>
      <c r="F90" s="151">
        <v>14.186650999999999</v>
      </c>
      <c r="G90" s="151">
        <v>29.491835999999999</v>
      </c>
      <c r="H90" s="151">
        <v>39.728293999999998</v>
      </c>
      <c r="I90" s="151">
        <v>59.674911000000002</v>
      </c>
      <c r="J90" s="151">
        <v>82.505827999999994</v>
      </c>
      <c r="K90" s="151">
        <v>82.010565999999997</v>
      </c>
      <c r="L90" s="151">
        <v>75.211866000000001</v>
      </c>
      <c r="M90" s="151">
        <v>62.358716999999999</v>
      </c>
      <c r="N90" s="151">
        <v>65.103538</v>
      </c>
      <c r="O90" s="151">
        <v>59.852255999999997</v>
      </c>
      <c r="P90" s="151">
        <v>59.882575000000003</v>
      </c>
      <c r="Q90" s="151">
        <v>61.051561</v>
      </c>
      <c r="R90" s="151">
        <v>57.191896</v>
      </c>
      <c r="S90" s="151">
        <v>66.096778</v>
      </c>
      <c r="T90" s="151">
        <v>77.051412999999997</v>
      </c>
      <c r="U90" s="151">
        <v>95.847725999999994</v>
      </c>
      <c r="V90" s="151">
        <v>91.166568999999996</v>
      </c>
      <c r="W90" s="151">
        <v>75.102127999999993</v>
      </c>
      <c r="X90" s="151">
        <v>54.458812999999999</v>
      </c>
      <c r="Y90" s="151">
        <v>20.348475000000001</v>
      </c>
    </row>
    <row r="91" spans="1:25">
      <c r="A91" s="221"/>
      <c r="B91" s="148" t="s">
        <v>30</v>
      </c>
      <c r="C91" s="151">
        <v>37.633499</v>
      </c>
      <c r="D91" s="151">
        <v>34.837552000000002</v>
      </c>
      <c r="E91" s="151">
        <v>31.438682</v>
      </c>
      <c r="F91" s="151">
        <v>37.314464000000001</v>
      </c>
      <c r="G91" s="151">
        <v>26.062643999999999</v>
      </c>
      <c r="H91" s="151">
        <v>12.581072000000001</v>
      </c>
      <c r="I91" s="151">
        <v>35.234932000000001</v>
      </c>
      <c r="J91" s="151">
        <v>56.051789999999997</v>
      </c>
      <c r="K91" s="151">
        <v>12.832513000000001</v>
      </c>
      <c r="L91" s="151">
        <v>40.379855999999997</v>
      </c>
      <c r="M91" s="151">
        <v>60.508705999999997</v>
      </c>
      <c r="N91" s="151">
        <v>35.553646000000001</v>
      </c>
      <c r="O91" s="151">
        <v>31.201087999999999</v>
      </c>
      <c r="P91" s="151">
        <v>48.135339999999999</v>
      </c>
      <c r="Q91" s="151">
        <v>39.439261999999999</v>
      </c>
      <c r="R91" s="151">
        <v>48.047037000000003</v>
      </c>
      <c r="S91" s="151">
        <v>45.724513999999999</v>
      </c>
      <c r="T91" s="151">
        <v>36.755218999999997</v>
      </c>
      <c r="U91" s="151">
        <v>53.754595000000002</v>
      </c>
      <c r="V91" s="151">
        <v>62.465704000000002</v>
      </c>
      <c r="W91" s="151">
        <v>31.104752999999999</v>
      </c>
      <c r="X91" s="151">
        <v>45.569164000000001</v>
      </c>
      <c r="Y91" s="151">
        <v>56.146825999999997</v>
      </c>
    </row>
    <row r="92" spans="1:25">
      <c r="A92" s="221"/>
      <c r="B92" s="148" t="s">
        <v>29</v>
      </c>
      <c r="C92" s="151">
        <v>0</v>
      </c>
      <c r="D92" s="151">
        <v>0</v>
      </c>
      <c r="E92" s="151">
        <v>0</v>
      </c>
      <c r="F92" s="151">
        <v>0</v>
      </c>
      <c r="G92" s="151">
        <v>1.3380000000000001</v>
      </c>
      <c r="H92" s="151">
        <v>1.7058770000000001</v>
      </c>
      <c r="I92" s="151">
        <v>3.1284709999999998</v>
      </c>
      <c r="J92" s="151">
        <v>4.5547199999999997</v>
      </c>
      <c r="K92" s="151">
        <v>2.3773490000000002</v>
      </c>
      <c r="L92" s="151">
        <v>1.642048</v>
      </c>
      <c r="M92" s="151">
        <v>0</v>
      </c>
      <c r="N92" s="151">
        <v>0</v>
      </c>
      <c r="O92" s="151">
        <v>0</v>
      </c>
      <c r="P92" s="151">
        <v>0</v>
      </c>
      <c r="Q92" s="151">
        <v>0</v>
      </c>
      <c r="R92" s="151">
        <v>0</v>
      </c>
      <c r="S92" s="151">
        <v>0.258189</v>
      </c>
      <c r="T92" s="151">
        <v>1.4068510000000001</v>
      </c>
      <c r="U92" s="151">
        <v>3.4087329999999998</v>
      </c>
      <c r="V92" s="151">
        <v>5.1961240000000002</v>
      </c>
      <c r="W92" s="151">
        <v>2.2653319999999999</v>
      </c>
      <c r="X92" s="151">
        <v>0.27849499999999999</v>
      </c>
      <c r="Y92" s="151">
        <v>0</v>
      </c>
    </row>
    <row r="93" spans="1:25">
      <c r="A93" s="221"/>
      <c r="B93" s="148" t="s">
        <v>8</v>
      </c>
      <c r="C93" s="151">
        <v>0.46856199999999998</v>
      </c>
      <c r="D93" s="151">
        <v>0.28271800000000002</v>
      </c>
      <c r="E93" s="151">
        <v>0.227135</v>
      </c>
      <c r="F93" s="151">
        <v>0.238206</v>
      </c>
      <c r="G93" s="151">
        <v>0.127304</v>
      </c>
      <c r="H93" s="151">
        <v>0.13010099999999999</v>
      </c>
      <c r="I93" s="151">
        <v>0.17573800000000001</v>
      </c>
      <c r="J93" s="151">
        <v>0.17168700000000001</v>
      </c>
      <c r="K93" s="151">
        <v>0.18298900000000001</v>
      </c>
      <c r="L93" s="151">
        <v>0.19457099999999999</v>
      </c>
      <c r="M93" s="151">
        <v>0.342941</v>
      </c>
      <c r="N93" s="151">
        <v>0.382324</v>
      </c>
      <c r="O93" s="151">
        <v>0.25263999999999998</v>
      </c>
      <c r="P93" s="151">
        <v>0.32401200000000002</v>
      </c>
      <c r="Q93" s="151">
        <v>0.40592400000000001</v>
      </c>
      <c r="R93" s="151">
        <v>0.28265000000000001</v>
      </c>
      <c r="S93" s="151">
        <v>0.22889300000000001</v>
      </c>
      <c r="T93" s="151">
        <v>0.138682</v>
      </c>
      <c r="U93" s="151">
        <v>0.13932900000000001</v>
      </c>
      <c r="V93" s="151">
        <v>0.19220799999999999</v>
      </c>
      <c r="W93" s="151">
        <v>0.19817599999999999</v>
      </c>
      <c r="X93" s="151">
        <v>0.620313</v>
      </c>
      <c r="Y93" s="151">
        <v>0.29787000000000002</v>
      </c>
    </row>
    <row r="94" spans="1:25">
      <c r="A94" s="221"/>
      <c r="B94" s="148" t="s">
        <v>7</v>
      </c>
      <c r="C94" s="151">
        <v>5.7991339999999996</v>
      </c>
      <c r="D94" s="151">
        <v>7.159338</v>
      </c>
      <c r="E94" s="151">
        <v>12.164482</v>
      </c>
      <c r="F94" s="151">
        <v>12.625004000000001</v>
      </c>
      <c r="G94" s="151">
        <v>13.622494</v>
      </c>
      <c r="H94" s="151">
        <v>13.314391000000001</v>
      </c>
      <c r="I94" s="151">
        <v>13.296241</v>
      </c>
      <c r="J94" s="151">
        <v>12.456519999999999</v>
      </c>
      <c r="K94" s="151">
        <v>10.365356999999999</v>
      </c>
      <c r="L94" s="151">
        <v>9.7189460000000008</v>
      </c>
      <c r="M94" s="151">
        <v>7.2582560000000003</v>
      </c>
      <c r="N94" s="151">
        <v>5.556832</v>
      </c>
      <c r="O94" s="151">
        <v>7.038017</v>
      </c>
      <c r="P94" s="151">
        <v>5.3295399999999997</v>
      </c>
      <c r="Q94" s="151">
        <v>10.194158</v>
      </c>
      <c r="R94" s="151">
        <v>11.476927999999999</v>
      </c>
      <c r="S94" s="151">
        <v>11.838782</v>
      </c>
      <c r="T94" s="151">
        <v>12.382847999999999</v>
      </c>
      <c r="U94" s="151">
        <v>13.341704</v>
      </c>
      <c r="V94" s="151">
        <v>11.261585</v>
      </c>
      <c r="W94" s="151">
        <v>9.0458339999999993</v>
      </c>
      <c r="X94" s="151">
        <v>7.8414849999999996</v>
      </c>
      <c r="Y94" s="151">
        <v>2.411</v>
      </c>
    </row>
    <row r="95" spans="1:25">
      <c r="A95" s="221"/>
      <c r="B95" s="148" t="s">
        <v>27</v>
      </c>
      <c r="C95" s="151">
        <v>0.15945699999999999</v>
      </c>
      <c r="D95" s="151">
        <v>0.170074</v>
      </c>
      <c r="E95" s="151">
        <v>0.10448300000000001</v>
      </c>
      <c r="F95" s="151">
        <v>0.19849</v>
      </c>
      <c r="G95" s="151">
        <v>0.22384999999999999</v>
      </c>
      <c r="H95" s="151">
        <v>0.16433200000000001</v>
      </c>
      <c r="I95" s="151">
        <v>7.5532000000000002E-2</v>
      </c>
      <c r="J95" s="151">
        <v>7.3259000000000005E-2</v>
      </c>
      <c r="K95" s="151">
        <v>8.7361999999999995E-2</v>
      </c>
      <c r="L95" s="151">
        <v>0.106123</v>
      </c>
      <c r="M95" s="151">
        <v>0.12698499999999999</v>
      </c>
      <c r="N95" s="151">
        <v>0.136794</v>
      </c>
      <c r="O95" s="151">
        <v>0.219363</v>
      </c>
      <c r="P95" s="151">
        <v>0.16624</v>
      </c>
      <c r="Q95" s="151">
        <v>0.184165</v>
      </c>
      <c r="R95" s="151">
        <v>0.130801</v>
      </c>
      <c r="S95" s="151">
        <v>0.12767999999999999</v>
      </c>
      <c r="T95" s="151">
        <v>0.110028</v>
      </c>
      <c r="U95" s="151">
        <v>5.7736999999999997E-2</v>
      </c>
      <c r="V95" s="151">
        <v>5.6852E-2</v>
      </c>
      <c r="W95" s="151">
        <v>1.917E-2</v>
      </c>
      <c r="X95" s="151">
        <v>6.0415000000000003E-2</v>
      </c>
      <c r="Y95" s="151">
        <v>7.1999999999999998E-3</v>
      </c>
    </row>
    <row r="96" spans="1:25">
      <c r="A96" s="221"/>
      <c r="B96" s="148" t="s">
        <v>28</v>
      </c>
      <c r="C96" s="151">
        <v>3.0182150000000001</v>
      </c>
      <c r="D96" s="151">
        <v>3.1060989999999999</v>
      </c>
      <c r="E96" s="151">
        <v>3.5151590000000001</v>
      </c>
      <c r="F96" s="151">
        <v>1.9989570000000001</v>
      </c>
      <c r="G96" s="151">
        <v>2.0171679999999999</v>
      </c>
      <c r="H96" s="151">
        <v>2.7769249999999999</v>
      </c>
      <c r="I96" s="151">
        <v>3.0592039999999998</v>
      </c>
      <c r="J96" s="151">
        <v>3.4880909999999998</v>
      </c>
      <c r="K96" s="151">
        <v>3.215986</v>
      </c>
      <c r="L96" s="151">
        <v>3.3496130000000002</v>
      </c>
      <c r="M96" s="151">
        <v>3.098652</v>
      </c>
      <c r="N96" s="151">
        <v>3.6001650000000001</v>
      </c>
      <c r="O96" s="151">
        <v>3.1829869999999998</v>
      </c>
      <c r="P96" s="151">
        <v>3.0836540000000001</v>
      </c>
      <c r="Q96" s="151">
        <v>2.2946849999999999</v>
      </c>
      <c r="R96" s="151">
        <v>1.9821660000000001</v>
      </c>
      <c r="S96" s="151">
        <v>2.5785749999999998</v>
      </c>
      <c r="T96" s="151">
        <v>3.3572419999999998</v>
      </c>
      <c r="U96" s="151">
        <v>3.5655640000000002</v>
      </c>
      <c r="V96" s="151">
        <v>3.5154580000000002</v>
      </c>
      <c r="W96" s="151">
        <v>2.43655</v>
      </c>
      <c r="X96" s="151">
        <v>2.5715089999999998</v>
      </c>
      <c r="Y96" s="151">
        <v>1.17516</v>
      </c>
    </row>
    <row r="97" spans="1:25">
      <c r="A97" s="221"/>
      <c r="B97" s="148" t="s">
        <v>61</v>
      </c>
      <c r="C97" s="151">
        <v>7.5441634999999998</v>
      </c>
      <c r="D97" s="151">
        <v>7.2221915000000001</v>
      </c>
      <c r="E97" s="151">
        <v>10.5177625</v>
      </c>
      <c r="F97" s="151">
        <v>14.685772500000001</v>
      </c>
      <c r="G97" s="151">
        <v>11.2097905</v>
      </c>
      <c r="H97" s="151">
        <v>14.046685500000001</v>
      </c>
      <c r="I97" s="151">
        <v>14.055790500000001</v>
      </c>
      <c r="J97" s="151">
        <v>14.325673</v>
      </c>
      <c r="K97" s="151">
        <v>15.026624999999999</v>
      </c>
      <c r="L97" s="151">
        <v>13.9829895</v>
      </c>
      <c r="M97" s="151">
        <v>11.279227499999999</v>
      </c>
      <c r="N97" s="151">
        <v>9.9819964999999993</v>
      </c>
      <c r="O97" s="151">
        <v>7.4814245000000001</v>
      </c>
      <c r="P97" s="151">
        <v>4.4559544999999998</v>
      </c>
      <c r="Q97" s="151">
        <v>11.199851499999999</v>
      </c>
      <c r="R97" s="151">
        <v>10.4867385</v>
      </c>
      <c r="S97" s="151">
        <v>10.524592</v>
      </c>
      <c r="T97" s="151">
        <v>14.7091545</v>
      </c>
      <c r="U97" s="151">
        <v>14.429119</v>
      </c>
      <c r="V97" s="151">
        <v>14.9613625</v>
      </c>
      <c r="W97" s="151">
        <v>13.4535695</v>
      </c>
      <c r="X97" s="151">
        <v>13.8976735</v>
      </c>
      <c r="Y97" s="151">
        <v>2.6927500000000002</v>
      </c>
    </row>
    <row r="98" spans="1:25">
      <c r="A98" s="221"/>
      <c r="B98" s="148" t="s">
        <v>62</v>
      </c>
      <c r="C98" s="151">
        <v>7.5441634999999998</v>
      </c>
      <c r="D98" s="151">
        <v>7.2221915000000001</v>
      </c>
      <c r="E98" s="151">
        <v>10.5177625</v>
      </c>
      <c r="F98" s="151">
        <v>14.685772500000001</v>
      </c>
      <c r="G98" s="151">
        <v>11.2097905</v>
      </c>
      <c r="H98" s="151">
        <v>14.046685500000001</v>
      </c>
      <c r="I98" s="151">
        <v>14.055790500000001</v>
      </c>
      <c r="J98" s="151">
        <v>14.325673</v>
      </c>
      <c r="K98" s="151">
        <v>15.026624999999999</v>
      </c>
      <c r="L98" s="151">
        <v>13.9829895</v>
      </c>
      <c r="M98" s="151">
        <v>11.279227499999999</v>
      </c>
      <c r="N98" s="151">
        <v>9.9819964999999993</v>
      </c>
      <c r="O98" s="151">
        <v>7.4814245000000001</v>
      </c>
      <c r="P98" s="151">
        <v>4.4559544999999998</v>
      </c>
      <c r="Q98" s="151">
        <v>11.199851499999999</v>
      </c>
      <c r="R98" s="151">
        <v>10.4867385</v>
      </c>
      <c r="S98" s="151">
        <v>10.524592</v>
      </c>
      <c r="T98" s="151">
        <v>14.7091545</v>
      </c>
      <c r="U98" s="151">
        <v>14.429119</v>
      </c>
      <c r="V98" s="151">
        <v>14.9613625</v>
      </c>
      <c r="W98" s="151">
        <v>13.4535695</v>
      </c>
      <c r="X98" s="151">
        <v>13.8976735</v>
      </c>
      <c r="Y98" s="151">
        <v>2.6927500000000002</v>
      </c>
    </row>
    <row r="99" spans="1:25">
      <c r="A99" s="221"/>
      <c r="B99" s="153" t="s">
        <v>5</v>
      </c>
      <c r="C99" s="154">
        <v>380.72899699999999</v>
      </c>
      <c r="D99" s="154">
        <v>331.04338899999999</v>
      </c>
      <c r="E99" s="154">
        <v>330.539784</v>
      </c>
      <c r="F99" s="154">
        <v>358.13001100000002</v>
      </c>
      <c r="G99" s="154">
        <v>407.20243199999999</v>
      </c>
      <c r="H99" s="154">
        <v>464.04852</v>
      </c>
      <c r="I99" s="154">
        <v>522.49239599999999</v>
      </c>
      <c r="J99" s="154">
        <v>539.78550700000005</v>
      </c>
      <c r="K99" s="154">
        <v>420.66330299999998</v>
      </c>
      <c r="L99" s="154">
        <v>381.757137</v>
      </c>
      <c r="M99" s="154">
        <v>333.52725299999997</v>
      </c>
      <c r="N99" s="154">
        <v>367.19064500000002</v>
      </c>
      <c r="O99" s="154">
        <v>350.34441099999998</v>
      </c>
      <c r="P99" s="154">
        <v>357.59782000000001</v>
      </c>
      <c r="Q99" s="154">
        <v>371.71947999999998</v>
      </c>
      <c r="R99" s="154">
        <v>360.348411</v>
      </c>
      <c r="S99" s="154">
        <v>384.51034099999998</v>
      </c>
      <c r="T99" s="154">
        <v>424.92352799999998</v>
      </c>
      <c r="U99" s="154">
        <v>523.67846499999996</v>
      </c>
      <c r="V99" s="154">
        <v>550.61610099999996</v>
      </c>
      <c r="W99" s="154">
        <v>469.789467</v>
      </c>
      <c r="X99" s="154">
        <v>383.31213100000002</v>
      </c>
      <c r="Y99" s="154">
        <v>137.54211000000001</v>
      </c>
    </row>
    <row r="100" spans="1:25">
      <c r="A100" s="221"/>
      <c r="B100" s="148" t="s">
        <v>26</v>
      </c>
      <c r="C100" s="151">
        <v>96.651403000000002</v>
      </c>
      <c r="D100" s="151">
        <v>64.562011999999996</v>
      </c>
      <c r="E100" s="151">
        <v>78.352012000000002</v>
      </c>
      <c r="F100" s="151">
        <v>57.072946000000002</v>
      </c>
      <c r="G100" s="151">
        <v>75.027427000000003</v>
      </c>
      <c r="H100" s="151">
        <v>114.23341499999999</v>
      </c>
      <c r="I100" s="151">
        <v>155.21145899999999</v>
      </c>
      <c r="J100" s="151">
        <v>166.87624500000001</v>
      </c>
      <c r="K100" s="151">
        <v>116.104623</v>
      </c>
      <c r="L100" s="151">
        <v>93.286300999999995</v>
      </c>
      <c r="M100" s="151">
        <v>70.161934000000002</v>
      </c>
      <c r="N100" s="151">
        <v>91.766864999999996</v>
      </c>
      <c r="O100" s="151">
        <v>86.203828999999999</v>
      </c>
      <c r="P100" s="151">
        <v>99.993398999999997</v>
      </c>
      <c r="Q100" s="151">
        <v>89.996875000000003</v>
      </c>
      <c r="R100" s="151">
        <v>66.467519999999993</v>
      </c>
      <c r="S100" s="151">
        <v>89.565090999999995</v>
      </c>
      <c r="T100" s="151">
        <v>108.62363499999999</v>
      </c>
      <c r="U100" s="151">
        <v>161.79160300000001</v>
      </c>
      <c r="V100" s="151">
        <v>153.133589</v>
      </c>
      <c r="W100" s="151">
        <v>107.931268</v>
      </c>
      <c r="X100" s="151">
        <v>92.007576999999998</v>
      </c>
      <c r="Y100" s="151">
        <v>25.4206</v>
      </c>
    </row>
    <row r="101" spans="1:25">
      <c r="A101" s="222"/>
      <c r="B101" s="153" t="s">
        <v>106</v>
      </c>
      <c r="C101" s="154">
        <v>477.38040000000001</v>
      </c>
      <c r="D101" s="154">
        <v>395.60540099999997</v>
      </c>
      <c r="E101" s="154">
        <v>408.891796</v>
      </c>
      <c r="F101" s="154">
        <v>415.20295700000003</v>
      </c>
      <c r="G101" s="154">
        <v>482.22985899999998</v>
      </c>
      <c r="H101" s="154">
        <v>578.28193499999998</v>
      </c>
      <c r="I101" s="154">
        <v>677.70385499999998</v>
      </c>
      <c r="J101" s="154">
        <v>706.66175199999998</v>
      </c>
      <c r="K101" s="154">
        <v>536.76792599999999</v>
      </c>
      <c r="L101" s="154">
        <v>475.04343799999998</v>
      </c>
      <c r="M101" s="154">
        <v>403.689187</v>
      </c>
      <c r="N101" s="154">
        <v>458.95751000000001</v>
      </c>
      <c r="O101" s="154">
        <v>436.54824000000002</v>
      </c>
      <c r="P101" s="154">
        <v>457.59121900000002</v>
      </c>
      <c r="Q101" s="154">
        <v>461.71635500000002</v>
      </c>
      <c r="R101" s="154">
        <v>426.81593099999998</v>
      </c>
      <c r="S101" s="154">
        <v>474.07543199999998</v>
      </c>
      <c r="T101" s="154">
        <v>533.54716299999995</v>
      </c>
      <c r="U101" s="154">
        <v>685.47006799999997</v>
      </c>
      <c r="V101" s="154">
        <v>703.74968999999999</v>
      </c>
      <c r="W101" s="154">
        <v>577.72073499999999</v>
      </c>
      <c r="X101" s="154">
        <v>475.31970799999999</v>
      </c>
      <c r="Y101" s="154">
        <v>162.96270999999999</v>
      </c>
    </row>
    <row r="102" spans="1:25">
      <c r="A102" s="220" t="s">
        <v>68</v>
      </c>
      <c r="B102" s="148" t="s">
        <v>17</v>
      </c>
      <c r="C102" s="151">
        <v>0.26254499999999997</v>
      </c>
      <c r="D102" s="151">
        <v>0.23710999999999999</v>
      </c>
      <c r="E102" s="151">
        <v>0.26347900000000002</v>
      </c>
      <c r="F102" s="151">
        <v>0.26003300000000001</v>
      </c>
      <c r="G102" s="151">
        <v>0.269847</v>
      </c>
      <c r="H102" s="151">
        <v>0.270343</v>
      </c>
      <c r="I102" s="151">
        <v>0.27507100000000001</v>
      </c>
      <c r="J102" s="151">
        <v>0.28712300000000002</v>
      </c>
      <c r="K102" s="151">
        <v>0.26760699999999998</v>
      </c>
      <c r="L102" s="151">
        <v>0.29359800000000003</v>
      </c>
      <c r="M102" s="151">
        <v>0.27379399999999998</v>
      </c>
      <c r="N102" s="151">
        <v>0.31142900000000001</v>
      </c>
      <c r="O102" s="151">
        <v>0.27943200000000001</v>
      </c>
      <c r="P102" s="151">
        <v>3.4173000000000002E-2</v>
      </c>
      <c r="Q102" s="151">
        <v>0.309946</v>
      </c>
      <c r="R102" s="151">
        <v>0.27612300000000001</v>
      </c>
      <c r="S102" s="151">
        <v>0.308334</v>
      </c>
      <c r="T102" s="151">
        <v>0.29448200000000002</v>
      </c>
      <c r="U102" s="151">
        <v>0.29559600000000003</v>
      </c>
      <c r="V102" s="151">
        <v>0.30764000000000002</v>
      </c>
      <c r="W102" s="151">
        <v>0.28839900000000002</v>
      </c>
      <c r="X102" s="151">
        <v>0.29697000000000001</v>
      </c>
      <c r="Y102" s="151">
        <v>1.293976</v>
      </c>
    </row>
    <row r="103" spans="1:25">
      <c r="A103" s="221"/>
      <c r="B103" s="148" t="s">
        <v>105</v>
      </c>
      <c r="C103" s="151">
        <v>187.922753</v>
      </c>
      <c r="D103" s="151">
        <v>166.13077100000001</v>
      </c>
      <c r="E103" s="151">
        <v>180.37427199999999</v>
      </c>
      <c r="F103" s="151">
        <v>182.19618500000001</v>
      </c>
      <c r="G103" s="151">
        <v>187.54767899999999</v>
      </c>
      <c r="H103" s="151">
        <v>177.47377599999999</v>
      </c>
      <c r="I103" s="151">
        <v>188.916955</v>
      </c>
      <c r="J103" s="151">
        <v>204.829048</v>
      </c>
      <c r="K103" s="151">
        <v>190.37436199999999</v>
      </c>
      <c r="L103" s="151">
        <v>205.56642600000001</v>
      </c>
      <c r="M103" s="151">
        <v>185.76450299999999</v>
      </c>
      <c r="N103" s="151">
        <v>185.227498</v>
      </c>
      <c r="O103" s="151">
        <v>184.470955</v>
      </c>
      <c r="P103" s="151">
        <v>165.51885899999999</v>
      </c>
      <c r="Q103" s="151">
        <v>176.17658599999999</v>
      </c>
      <c r="R103" s="151">
        <v>171.46459999999999</v>
      </c>
      <c r="S103" s="151">
        <v>172.14836700000001</v>
      </c>
      <c r="T103" s="151">
        <v>162.83670599999999</v>
      </c>
      <c r="U103" s="151">
        <v>173.812749</v>
      </c>
      <c r="V103" s="151">
        <v>196.43005099999999</v>
      </c>
      <c r="W103" s="151">
        <v>187.12256099999999</v>
      </c>
      <c r="X103" s="151">
        <v>190.675118</v>
      </c>
      <c r="Y103" s="151">
        <v>65.584248000000002</v>
      </c>
    </row>
    <row r="104" spans="1:25">
      <c r="A104" s="221"/>
      <c r="B104" s="148" t="s">
        <v>14</v>
      </c>
      <c r="C104" s="151">
        <v>31.081890000000001</v>
      </c>
      <c r="D104" s="151">
        <v>23.292124999999999</v>
      </c>
      <c r="E104" s="151">
        <v>24.710709000000001</v>
      </c>
      <c r="F104" s="151">
        <v>18.531559000000001</v>
      </c>
      <c r="G104" s="151">
        <v>23.627002000000001</v>
      </c>
      <c r="H104" s="151">
        <v>23.084350000000001</v>
      </c>
      <c r="I104" s="151">
        <v>28.038435</v>
      </c>
      <c r="J104" s="151">
        <v>28.412151999999999</v>
      </c>
      <c r="K104" s="151">
        <v>32.016894000000001</v>
      </c>
      <c r="L104" s="151">
        <v>30.160978</v>
      </c>
      <c r="M104" s="151">
        <v>25.835671000000001</v>
      </c>
      <c r="N104" s="151">
        <v>25.553940999999998</v>
      </c>
      <c r="O104" s="151">
        <v>27.249141000000002</v>
      </c>
      <c r="P104" s="151">
        <v>24.751363999999999</v>
      </c>
      <c r="Q104" s="151">
        <v>19.300775999999999</v>
      </c>
      <c r="R104" s="151">
        <v>22.020657</v>
      </c>
      <c r="S104" s="151">
        <v>27.236414</v>
      </c>
      <c r="T104" s="151">
        <v>24.035202999999999</v>
      </c>
      <c r="U104" s="151">
        <v>19.071615000000001</v>
      </c>
      <c r="V104" s="151">
        <v>22.472683</v>
      </c>
      <c r="W104" s="151">
        <v>28.508217999999999</v>
      </c>
      <c r="X104" s="151">
        <v>25.162983000000001</v>
      </c>
      <c r="Y104" s="151">
        <v>7.8682530000000002</v>
      </c>
    </row>
    <row r="105" spans="1:25">
      <c r="A105" s="221"/>
      <c r="B105" s="148" t="s">
        <v>13</v>
      </c>
      <c r="C105" s="151">
        <v>210.591342</v>
      </c>
      <c r="D105" s="151">
        <v>197.52839900000001</v>
      </c>
      <c r="E105" s="151">
        <v>217.664061</v>
      </c>
      <c r="F105" s="151">
        <v>240.11647099999999</v>
      </c>
      <c r="G105" s="151">
        <v>210.57984200000001</v>
      </c>
      <c r="H105" s="151">
        <v>245.173496</v>
      </c>
      <c r="I105" s="151">
        <v>239.51329699999999</v>
      </c>
      <c r="J105" s="151">
        <v>236.212208</v>
      </c>
      <c r="K105" s="151">
        <v>220.94987</v>
      </c>
      <c r="L105" s="151">
        <v>221.962174</v>
      </c>
      <c r="M105" s="151">
        <v>208.836062</v>
      </c>
      <c r="N105" s="151">
        <v>225.266628</v>
      </c>
      <c r="O105" s="151">
        <v>230.384784</v>
      </c>
      <c r="P105" s="151">
        <v>210.40916100000001</v>
      </c>
      <c r="Q105" s="151">
        <v>195.20305200000001</v>
      </c>
      <c r="R105" s="151">
        <v>189.55861100000001</v>
      </c>
      <c r="S105" s="151">
        <v>186.40918600000001</v>
      </c>
      <c r="T105" s="151">
        <v>200.03084899999999</v>
      </c>
      <c r="U105" s="151">
        <v>206.69372799999999</v>
      </c>
      <c r="V105" s="151">
        <v>214.943949</v>
      </c>
      <c r="W105" s="151">
        <v>188.605344</v>
      </c>
      <c r="X105" s="151">
        <v>201.924623</v>
      </c>
      <c r="Y105" s="151">
        <v>82.692338000000007</v>
      </c>
    </row>
    <row r="106" spans="1:25">
      <c r="A106" s="221"/>
      <c r="B106" s="148" t="s">
        <v>30</v>
      </c>
      <c r="C106" s="151">
        <v>280.53910300000001</v>
      </c>
      <c r="D106" s="151">
        <v>234.19779800000001</v>
      </c>
      <c r="E106" s="151">
        <v>249.09716700000001</v>
      </c>
      <c r="F106" s="151">
        <v>218.37024</v>
      </c>
      <c r="G106" s="151">
        <v>253.928912</v>
      </c>
      <c r="H106" s="151">
        <v>213.37341799999999</v>
      </c>
      <c r="I106" s="151">
        <v>229.73941199999999</v>
      </c>
      <c r="J106" s="151">
        <v>259.87786899999998</v>
      </c>
      <c r="K106" s="151">
        <v>234.654515</v>
      </c>
      <c r="L106" s="151">
        <v>288.99075399999998</v>
      </c>
      <c r="M106" s="151">
        <v>280.93736200000001</v>
      </c>
      <c r="N106" s="151">
        <v>253.67039800000001</v>
      </c>
      <c r="O106" s="151">
        <v>233.901625</v>
      </c>
      <c r="P106" s="151">
        <v>215.21677199999999</v>
      </c>
      <c r="Q106" s="151">
        <v>260.839181</v>
      </c>
      <c r="R106" s="151">
        <v>246.337683</v>
      </c>
      <c r="S106" s="151">
        <v>248.61678900000001</v>
      </c>
      <c r="T106" s="151">
        <v>234.94823600000001</v>
      </c>
      <c r="U106" s="151">
        <v>230.14559600000001</v>
      </c>
      <c r="V106" s="151">
        <v>251.789052</v>
      </c>
      <c r="W106" s="151">
        <v>281.47467399999999</v>
      </c>
      <c r="X106" s="151">
        <v>317.069143</v>
      </c>
      <c r="Y106" s="151">
        <v>103.967736</v>
      </c>
    </row>
    <row r="107" spans="1:25">
      <c r="A107" s="221"/>
      <c r="B107" s="148" t="s">
        <v>9</v>
      </c>
      <c r="C107" s="151">
        <v>1.0689709999999999</v>
      </c>
      <c r="D107" s="151">
        <v>1.4358500000000001</v>
      </c>
      <c r="E107" s="151">
        <v>2.122233</v>
      </c>
      <c r="F107" s="151">
        <v>0.96850400000000003</v>
      </c>
      <c r="G107" s="151">
        <v>1.4751179999999999</v>
      </c>
      <c r="H107" s="151">
        <v>2.2178059999999999</v>
      </c>
      <c r="I107" s="151">
        <v>3.1090070000000001</v>
      </c>
      <c r="J107" s="151">
        <v>2.4503080000000002</v>
      </c>
      <c r="K107" s="151">
        <v>2.3371379999999999</v>
      </c>
      <c r="L107" s="151">
        <v>0.97127600000000003</v>
      </c>
      <c r="M107" s="151">
        <v>0.790825</v>
      </c>
      <c r="N107" s="151">
        <v>1.2860210000000001</v>
      </c>
      <c r="O107" s="151">
        <v>2.2577669999999999</v>
      </c>
      <c r="P107" s="151">
        <v>1.754305</v>
      </c>
      <c r="Q107" s="151">
        <v>1.5995220000000001</v>
      </c>
      <c r="R107" s="151">
        <v>2.2626460000000002</v>
      </c>
      <c r="S107" s="151">
        <v>2.0342030000000002</v>
      </c>
      <c r="T107" s="151">
        <v>2.3218040000000002</v>
      </c>
      <c r="U107" s="151">
        <v>3.7162829999999998</v>
      </c>
      <c r="V107" s="151">
        <v>2.859321</v>
      </c>
      <c r="W107" s="151">
        <v>2.165861</v>
      </c>
      <c r="X107" s="151">
        <v>0.87331099999999995</v>
      </c>
      <c r="Y107" s="151">
        <v>0.59389800000000004</v>
      </c>
    </row>
    <row r="108" spans="1:25">
      <c r="A108" s="221"/>
      <c r="B108" s="148" t="s">
        <v>8</v>
      </c>
      <c r="C108" s="151">
        <v>15.11534</v>
      </c>
      <c r="D108" s="151">
        <v>22.68648</v>
      </c>
      <c r="E108" s="151">
        <v>36.303305000000002</v>
      </c>
      <c r="F108" s="151">
        <v>18.569133000000001</v>
      </c>
      <c r="G108" s="151">
        <v>25.519845</v>
      </c>
      <c r="H108" s="151">
        <v>40.162351999999998</v>
      </c>
      <c r="I108" s="151">
        <v>50.390070000000001</v>
      </c>
      <c r="J108" s="151">
        <v>47.397181000000003</v>
      </c>
      <c r="K108" s="151">
        <v>54.609197000000002</v>
      </c>
      <c r="L108" s="151">
        <v>21.330209</v>
      </c>
      <c r="M108" s="151">
        <v>24.032088999999999</v>
      </c>
      <c r="N108" s="151">
        <v>39.810132000000003</v>
      </c>
      <c r="O108" s="151">
        <v>56.908338999999998</v>
      </c>
      <c r="P108" s="151">
        <v>46.207472000000003</v>
      </c>
      <c r="Q108" s="151">
        <v>50.516177999999996</v>
      </c>
      <c r="R108" s="151">
        <v>45.548924999999997</v>
      </c>
      <c r="S108" s="151">
        <v>55.351942000000001</v>
      </c>
      <c r="T108" s="151">
        <v>56.421117000000002</v>
      </c>
      <c r="U108" s="151">
        <v>95.158366999999998</v>
      </c>
      <c r="V108" s="151">
        <v>65.077771999999996</v>
      </c>
      <c r="W108" s="151">
        <v>51.688220999999999</v>
      </c>
      <c r="X108" s="151">
        <v>22.335968000000001</v>
      </c>
      <c r="Y108" s="151">
        <v>20.287272000000002</v>
      </c>
    </row>
    <row r="109" spans="1:25">
      <c r="A109" s="221"/>
      <c r="B109" s="148" t="s">
        <v>7</v>
      </c>
      <c r="C109" s="151">
        <v>18.013853000000001</v>
      </c>
      <c r="D109" s="151">
        <v>18.975393</v>
      </c>
      <c r="E109" s="151">
        <v>25.348941</v>
      </c>
      <c r="F109" s="151">
        <v>25.780479</v>
      </c>
      <c r="G109" s="151">
        <v>25.230681000000001</v>
      </c>
      <c r="H109" s="151">
        <v>27.578364000000001</v>
      </c>
      <c r="I109" s="151">
        <v>29.027197999999999</v>
      </c>
      <c r="J109" s="151">
        <v>26.916004000000001</v>
      </c>
      <c r="K109" s="151">
        <v>22.973413999999998</v>
      </c>
      <c r="L109" s="151">
        <v>19.754670999999998</v>
      </c>
      <c r="M109" s="151">
        <v>16.487777000000001</v>
      </c>
      <c r="N109" s="151">
        <v>17.53989</v>
      </c>
      <c r="O109" s="151">
        <v>19.063385</v>
      </c>
      <c r="P109" s="151">
        <v>17.866654</v>
      </c>
      <c r="Q109" s="151">
        <v>25.105015000000002</v>
      </c>
      <c r="R109" s="151">
        <v>25.190729999999999</v>
      </c>
      <c r="S109" s="151">
        <v>23.051193999999999</v>
      </c>
      <c r="T109" s="151">
        <v>25.992826000000001</v>
      </c>
      <c r="U109" s="151">
        <v>29.45045</v>
      </c>
      <c r="V109" s="151">
        <v>27.841747000000002</v>
      </c>
      <c r="W109" s="151">
        <v>24.190496</v>
      </c>
      <c r="X109" s="151">
        <v>19.456084000000001</v>
      </c>
      <c r="Y109" s="151">
        <v>4.4151429999999996</v>
      </c>
    </row>
    <row r="110" spans="1:25">
      <c r="A110" s="221"/>
      <c r="B110" s="148" t="s">
        <v>27</v>
      </c>
      <c r="C110" s="151">
        <v>0.81143100000000001</v>
      </c>
      <c r="D110" s="151">
        <v>0.72024999999999995</v>
      </c>
      <c r="E110" s="151">
        <v>0.83073600000000003</v>
      </c>
      <c r="F110" s="151">
        <v>0.83552000000000004</v>
      </c>
      <c r="G110" s="151">
        <v>0.81343200000000004</v>
      </c>
      <c r="H110" s="151">
        <v>0.82317799999999997</v>
      </c>
      <c r="I110" s="151">
        <v>0.83051900000000001</v>
      </c>
      <c r="J110" s="151">
        <v>0.68152599999999997</v>
      </c>
      <c r="K110" s="151">
        <v>0.80231300000000005</v>
      </c>
      <c r="L110" s="151">
        <v>0.83137799999999995</v>
      </c>
      <c r="M110" s="151">
        <v>0.80323999999999995</v>
      </c>
      <c r="N110" s="151">
        <v>0.78173599999999999</v>
      </c>
      <c r="O110" s="151">
        <v>0.76242299999999996</v>
      </c>
      <c r="P110" s="151">
        <v>0.64657299999999995</v>
      </c>
      <c r="Q110" s="151">
        <v>0.83729399999999998</v>
      </c>
      <c r="R110" s="151">
        <v>0.53889699999999996</v>
      </c>
      <c r="S110" s="151">
        <v>0.75060099999999996</v>
      </c>
      <c r="T110" s="151">
        <v>0.53101500000000001</v>
      </c>
      <c r="U110" s="151">
        <v>0.70239399999999996</v>
      </c>
      <c r="V110" s="151">
        <v>0.81645199999999996</v>
      </c>
      <c r="W110" s="151">
        <v>0.78290899999999997</v>
      </c>
      <c r="X110" s="151">
        <v>0.813334</v>
      </c>
      <c r="Y110" s="151">
        <v>0.207674</v>
      </c>
    </row>
    <row r="111" spans="1:25">
      <c r="A111" s="221"/>
      <c r="B111" s="153" t="s">
        <v>5</v>
      </c>
      <c r="C111" s="154">
        <v>745.40722800000003</v>
      </c>
      <c r="D111" s="154">
        <v>665.20417599999996</v>
      </c>
      <c r="E111" s="154">
        <v>736.71490300000005</v>
      </c>
      <c r="F111" s="154">
        <v>705.62812399999996</v>
      </c>
      <c r="G111" s="154">
        <v>728.99235799999997</v>
      </c>
      <c r="H111" s="154">
        <v>730.15708299999994</v>
      </c>
      <c r="I111" s="154">
        <v>769.83996400000001</v>
      </c>
      <c r="J111" s="154">
        <v>807.06341899999995</v>
      </c>
      <c r="K111" s="154">
        <v>758.98531000000003</v>
      </c>
      <c r="L111" s="154">
        <v>789.86146399999996</v>
      </c>
      <c r="M111" s="154">
        <v>743.76132299999995</v>
      </c>
      <c r="N111" s="154">
        <v>749.44767300000001</v>
      </c>
      <c r="O111" s="154">
        <v>755.27785100000006</v>
      </c>
      <c r="P111" s="154">
        <v>682.40533300000004</v>
      </c>
      <c r="Q111" s="154">
        <v>729.88755000000003</v>
      </c>
      <c r="R111" s="154">
        <v>703.19887200000005</v>
      </c>
      <c r="S111" s="154">
        <v>715.90702999999996</v>
      </c>
      <c r="T111" s="154">
        <v>707.412238</v>
      </c>
      <c r="U111" s="154">
        <v>759.04677800000002</v>
      </c>
      <c r="V111" s="154">
        <v>782.53866700000003</v>
      </c>
      <c r="W111" s="154">
        <v>764.826683</v>
      </c>
      <c r="X111" s="154">
        <v>778.60753399999999</v>
      </c>
      <c r="Y111" s="154">
        <v>286.91053799999997</v>
      </c>
    </row>
    <row r="112" spans="1:25">
      <c r="A112" s="222"/>
      <c r="B112" s="153" t="s">
        <v>106</v>
      </c>
      <c r="C112" s="154">
        <v>745.40722800000003</v>
      </c>
      <c r="D112" s="154">
        <v>665.20417599999996</v>
      </c>
      <c r="E112" s="154">
        <v>736.71490300000005</v>
      </c>
      <c r="F112" s="154">
        <v>705.62812399999996</v>
      </c>
      <c r="G112" s="154">
        <v>728.99235799999997</v>
      </c>
      <c r="H112" s="154">
        <v>730.15708299999994</v>
      </c>
      <c r="I112" s="154">
        <v>769.83996400000001</v>
      </c>
      <c r="J112" s="154">
        <v>807.06341899999995</v>
      </c>
      <c r="K112" s="154">
        <v>758.98531000000003</v>
      </c>
      <c r="L112" s="154">
        <v>789.86146399999996</v>
      </c>
      <c r="M112" s="154">
        <v>743.76132299999995</v>
      </c>
      <c r="N112" s="154">
        <v>749.44767300000001</v>
      </c>
      <c r="O112" s="154">
        <v>755.27785100000006</v>
      </c>
      <c r="P112" s="154">
        <v>682.40533300000004</v>
      </c>
      <c r="Q112" s="154">
        <v>729.88755000000003</v>
      </c>
      <c r="R112" s="154">
        <v>703.19887200000005</v>
      </c>
      <c r="S112" s="154">
        <v>715.90702999999996</v>
      </c>
      <c r="T112" s="154">
        <v>707.412238</v>
      </c>
      <c r="U112" s="154">
        <v>759.04677800000002</v>
      </c>
      <c r="V112" s="154">
        <v>782.53866700000003</v>
      </c>
      <c r="W112" s="154">
        <v>764.826683</v>
      </c>
      <c r="X112" s="154">
        <v>778.60753399999999</v>
      </c>
      <c r="Y112" s="154">
        <v>286.91053799999997</v>
      </c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8" t="s">
        <v>96</v>
      </c>
      <c r="C117" s="124" t="str">
        <f>TEXT(EDATE(D117,-1),"mmmm aaaa")</f>
        <v>octubre 2017</v>
      </c>
      <c r="D117" s="124" t="str">
        <f t="shared" ref="D117:M117" si="3">TEXT(EDATE(E117,-1),"mmmm aaaa")</f>
        <v>noviembre 2017</v>
      </c>
      <c r="E117" s="124" t="str">
        <f t="shared" si="3"/>
        <v>diciembre 2017</v>
      </c>
      <c r="F117" s="124" t="str">
        <f t="shared" si="3"/>
        <v>enero 2018</v>
      </c>
      <c r="G117" s="124" t="str">
        <f t="shared" si="3"/>
        <v>febrero 2018</v>
      </c>
      <c r="H117" s="124" t="str">
        <f t="shared" si="3"/>
        <v>marzo 2018</v>
      </c>
      <c r="I117" s="124" t="str">
        <f t="shared" si="3"/>
        <v>abril 2018</v>
      </c>
      <c r="J117" s="124" t="str">
        <f t="shared" si="3"/>
        <v>mayo 2018</v>
      </c>
      <c r="K117" s="124" t="str">
        <f t="shared" si="3"/>
        <v>junio 2018</v>
      </c>
      <c r="L117" s="124" t="str">
        <f t="shared" si="3"/>
        <v>julio 2018</v>
      </c>
      <c r="M117" s="124" t="str">
        <f t="shared" si="3"/>
        <v>agosto 2018</v>
      </c>
      <c r="N117" s="124" t="str">
        <f>TEXT(EDATE(O117,-1),"mmmm aaaa")</f>
        <v>septiembre 2018</v>
      </c>
      <c r="O117" s="125" t="str">
        <f>A2</f>
        <v>Octubre 2018</v>
      </c>
    </row>
    <row r="118" spans="1:19">
      <c r="B118" s="219"/>
      <c r="C118" s="135" t="str">
        <f>TEXT(EDATE($A$2,-12),"mmm")&amp;".-"&amp;TEXT(EDATE($A$2,-12),"aa")</f>
        <v>oct.-17</v>
      </c>
      <c r="D118" s="135" t="str">
        <f>TEXT(EDATE($A$2,-11),"mmm")&amp;".-"&amp;TEXT(EDATE($A$2,-11),"aa")</f>
        <v>nov.-17</v>
      </c>
      <c r="E118" s="135" t="str">
        <f>TEXT(EDATE($A$2,-10),"mmm")&amp;".-"&amp;TEXT(EDATE($A$2,-10),"aa")</f>
        <v>dic.-17</v>
      </c>
      <c r="F118" s="135" t="str">
        <f>TEXT(EDATE($A$2,-9),"mmm")&amp;".-"&amp;TEXT(EDATE($A$2,-9),"aa")</f>
        <v>ene.-18</v>
      </c>
      <c r="G118" s="135" t="str">
        <f>TEXT(EDATE($A$2,-8),"mmm")&amp;".-"&amp;TEXT(EDATE($A$2,-8),"aa")</f>
        <v>feb.-18</v>
      </c>
      <c r="H118" s="135" t="str">
        <f>TEXT(EDATE($A$2,-7),"mmm")&amp;".-"&amp;TEXT(EDATE($A$2,-7),"aa")</f>
        <v>mar.-18</v>
      </c>
      <c r="I118" s="135" t="str">
        <f>TEXT(EDATE($A$2,-6),"mmm")&amp;".-"&amp;TEXT(EDATE($A$2,-6),"aa")</f>
        <v>abr.-18</v>
      </c>
      <c r="J118" s="135" t="str">
        <f>TEXT(EDATE($A$2,-5),"mmm")&amp;".-"&amp;TEXT(EDATE($A$2,-5),"aa")</f>
        <v>may.-18</v>
      </c>
      <c r="K118" s="135" t="str">
        <f>TEXT(EDATE($A$2,-4),"mmm")&amp;".-"&amp;TEXT(EDATE($A$2,-4),"aa")</f>
        <v>jun.-18</v>
      </c>
      <c r="L118" s="135" t="str">
        <f>TEXT(EDATE($A$2,-3),"mmm")&amp;".-"&amp;TEXT(EDATE($A$2,-3),"aa")</f>
        <v>jul.-18</v>
      </c>
      <c r="M118" s="135" t="str">
        <f>TEXT(EDATE($A$2,-2),"mmm")&amp;".-"&amp;TEXT(EDATE($A$2,-2),"aa")</f>
        <v>ago.-18</v>
      </c>
      <c r="N118" s="135" t="str">
        <f>TEXT(EDATE($A$2,-1),"mmm")&amp;".-"&amp;TEXT(EDATE($A$2,-1),"aa")</f>
        <v>sep.-18</v>
      </c>
      <c r="O118" s="164" t="str">
        <f>TEXT($A$2,"mmm")&amp;".-"&amp;TEXT($A$2,"aa")</f>
        <v>oct.-18</v>
      </c>
    </row>
    <row r="119" spans="1:19">
      <c r="A119" s="215" t="s">
        <v>99</v>
      </c>
      <c r="B119" s="136" t="s">
        <v>16</v>
      </c>
      <c r="C119" s="137">
        <f>HLOOKUP(C$117,$86:$101,3,FALSE)</f>
        <v>196.316934</v>
      </c>
      <c r="D119" s="137">
        <f t="shared" ref="D119:O119" si="4">HLOOKUP(D$117,$86:$101,3,FALSE)</f>
        <v>152.281554</v>
      </c>
      <c r="E119" s="137">
        <f t="shared" si="4"/>
        <v>204.11071200000001</v>
      </c>
      <c r="F119" s="137">
        <f t="shared" si="4"/>
        <v>198.55502899999999</v>
      </c>
      <c r="G119" s="137">
        <f t="shared" si="4"/>
        <v>192.79493400000001</v>
      </c>
      <c r="H119" s="137">
        <f t="shared" si="4"/>
        <v>199.82157000000001</v>
      </c>
      <c r="I119" s="137">
        <f t="shared" si="4"/>
        <v>183.05622099999999</v>
      </c>
      <c r="J119" s="137">
        <f t="shared" si="4"/>
        <v>185.327823</v>
      </c>
      <c r="K119" s="137">
        <f t="shared" si="4"/>
        <v>204.87973099999999</v>
      </c>
      <c r="L119" s="137">
        <f t="shared" si="4"/>
        <v>242.068479</v>
      </c>
      <c r="M119" s="137">
        <f t="shared" si="4"/>
        <v>257.31310999999999</v>
      </c>
      <c r="N119" s="137">
        <f t="shared" si="4"/>
        <v>250.63039499999999</v>
      </c>
      <c r="O119" s="138">
        <f t="shared" si="4"/>
        <v>186.34634299999999</v>
      </c>
    </row>
    <row r="120" spans="1:19">
      <c r="A120" s="216"/>
      <c r="B120" s="126" t="s">
        <v>15</v>
      </c>
      <c r="C120" s="120">
        <f>HLOOKUP(C$117,$86:$101,4,FALSE)</f>
        <v>26.871200999999999</v>
      </c>
      <c r="D120" s="120">
        <f t="shared" ref="D120:O120" si="5">HLOOKUP(D$117,$86:$101,4,FALSE)</f>
        <v>24.992986999999999</v>
      </c>
      <c r="E120" s="120">
        <f t="shared" si="5"/>
        <v>32.782640999999998</v>
      </c>
      <c r="F120" s="120">
        <f t="shared" si="5"/>
        <v>35.080182000000001</v>
      </c>
      <c r="G120" s="120">
        <f t="shared" si="5"/>
        <v>38.969616000000002</v>
      </c>
      <c r="H120" s="120">
        <f t="shared" si="5"/>
        <v>35.928452</v>
      </c>
      <c r="I120" s="120">
        <f t="shared" si="5"/>
        <v>37.207234999999997</v>
      </c>
      <c r="J120" s="120">
        <f t="shared" si="5"/>
        <v>51.279922999999997</v>
      </c>
      <c r="K120" s="120">
        <f t="shared" si="5"/>
        <v>59.423205000000003</v>
      </c>
      <c r="L120" s="120">
        <f t="shared" si="5"/>
        <v>82.636359999999996</v>
      </c>
      <c r="M120" s="120">
        <f t="shared" si="5"/>
        <v>89.525766000000004</v>
      </c>
      <c r="N120" s="120">
        <f t="shared" si="5"/>
        <v>72.079989999999995</v>
      </c>
      <c r="O120" s="138">
        <f t="shared" si="5"/>
        <v>57.770246999999998</v>
      </c>
    </row>
    <row r="121" spans="1:19">
      <c r="A121" s="216"/>
      <c r="B121" s="126" t="s">
        <v>14</v>
      </c>
      <c r="C121" s="120">
        <f>HLOOKUP(C$117,$86:$101,5,FALSE)</f>
        <v>75.211866000000001</v>
      </c>
      <c r="D121" s="120">
        <f t="shared" ref="D121:O121" si="6">HLOOKUP(D$117,$86:$101,5,FALSE)</f>
        <v>62.358716999999999</v>
      </c>
      <c r="E121" s="120">
        <f t="shared" si="6"/>
        <v>65.103538</v>
      </c>
      <c r="F121" s="120">
        <f t="shared" si="6"/>
        <v>59.852255999999997</v>
      </c>
      <c r="G121" s="120">
        <f t="shared" si="6"/>
        <v>59.882575000000003</v>
      </c>
      <c r="H121" s="120">
        <f t="shared" si="6"/>
        <v>61.051561</v>
      </c>
      <c r="I121" s="120">
        <f t="shared" si="6"/>
        <v>57.191896</v>
      </c>
      <c r="J121" s="120">
        <f t="shared" si="6"/>
        <v>66.096778</v>
      </c>
      <c r="K121" s="120">
        <f t="shared" si="6"/>
        <v>77.051412999999997</v>
      </c>
      <c r="L121" s="120">
        <f t="shared" si="6"/>
        <v>95.847725999999994</v>
      </c>
      <c r="M121" s="120">
        <f t="shared" si="6"/>
        <v>91.166568999999996</v>
      </c>
      <c r="N121" s="120">
        <f t="shared" si="6"/>
        <v>75.102127999999993</v>
      </c>
      <c r="O121" s="138">
        <f t="shared" si="6"/>
        <v>54.458812999999999</v>
      </c>
    </row>
    <row r="122" spans="1:19" ht="14.25">
      <c r="A122" s="216"/>
      <c r="B122" s="126" t="s">
        <v>97</v>
      </c>
      <c r="C122" s="120">
        <f>HLOOKUP(C$117,$86:$101,6,FALSE)</f>
        <v>40.379855999999997</v>
      </c>
      <c r="D122" s="120">
        <f t="shared" ref="D122:O122" si="7">HLOOKUP(D$117,$86:$101,6,FALSE)</f>
        <v>60.508705999999997</v>
      </c>
      <c r="E122" s="120">
        <f t="shared" si="7"/>
        <v>35.553646000000001</v>
      </c>
      <c r="F122" s="120">
        <f t="shared" si="7"/>
        <v>31.201087999999999</v>
      </c>
      <c r="G122" s="120">
        <f t="shared" si="7"/>
        <v>48.135339999999999</v>
      </c>
      <c r="H122" s="120">
        <f t="shared" si="7"/>
        <v>39.439261999999999</v>
      </c>
      <c r="I122" s="120">
        <f t="shared" si="7"/>
        <v>48.047037000000003</v>
      </c>
      <c r="J122" s="120">
        <f t="shared" si="7"/>
        <v>45.724513999999999</v>
      </c>
      <c r="K122" s="120">
        <f t="shared" si="7"/>
        <v>36.755218999999997</v>
      </c>
      <c r="L122" s="120">
        <f t="shared" si="7"/>
        <v>53.754595000000002</v>
      </c>
      <c r="M122" s="120">
        <f t="shared" si="7"/>
        <v>62.465704000000002</v>
      </c>
      <c r="N122" s="120">
        <f t="shared" si="7"/>
        <v>31.104752999999999</v>
      </c>
      <c r="O122" s="138">
        <f t="shared" si="7"/>
        <v>45.569164000000001</v>
      </c>
    </row>
    <row r="123" spans="1:19">
      <c r="A123" s="216"/>
      <c r="B123" s="126" t="s">
        <v>29</v>
      </c>
      <c r="C123" s="120">
        <f>HLOOKUP(C$117,$86:$101,7,FALSE)</f>
        <v>1.642048</v>
      </c>
      <c r="D123" s="120">
        <f t="shared" ref="D123:O123" si="8">HLOOKUP(D$117,$86:$101,7,FALSE)</f>
        <v>0</v>
      </c>
      <c r="E123" s="120">
        <f t="shared" si="8"/>
        <v>0</v>
      </c>
      <c r="F123" s="120">
        <f t="shared" si="8"/>
        <v>0</v>
      </c>
      <c r="G123" s="120">
        <f t="shared" si="8"/>
        <v>0</v>
      </c>
      <c r="H123" s="120">
        <f t="shared" si="8"/>
        <v>0</v>
      </c>
      <c r="I123" s="120">
        <f t="shared" si="8"/>
        <v>0</v>
      </c>
      <c r="J123" s="120">
        <f t="shared" si="8"/>
        <v>0.258189</v>
      </c>
      <c r="K123" s="120">
        <f t="shared" si="8"/>
        <v>1.4068510000000001</v>
      </c>
      <c r="L123" s="120">
        <f t="shared" si="8"/>
        <v>3.4087329999999998</v>
      </c>
      <c r="M123" s="120">
        <f t="shared" si="8"/>
        <v>5.1961240000000002</v>
      </c>
      <c r="N123" s="120">
        <f t="shared" si="8"/>
        <v>2.2653319999999999</v>
      </c>
      <c r="O123" s="138">
        <f t="shared" si="8"/>
        <v>0.27849499999999999</v>
      </c>
    </row>
    <row r="124" spans="1:19">
      <c r="A124" s="216"/>
      <c r="B124" s="126" t="s">
        <v>8</v>
      </c>
      <c r="C124" s="120">
        <f>HLOOKUP(C$117,$86:$102,8,FALSE)</f>
        <v>0.19457099999999999</v>
      </c>
      <c r="D124" s="120">
        <f t="shared" ref="D124:O124" si="9">HLOOKUP(D$117,$86:$102,8,FALSE)</f>
        <v>0.342941</v>
      </c>
      <c r="E124" s="120">
        <f t="shared" si="9"/>
        <v>0.382324</v>
      </c>
      <c r="F124" s="120">
        <f t="shared" si="9"/>
        <v>0.25263999999999998</v>
      </c>
      <c r="G124" s="120">
        <f t="shared" si="9"/>
        <v>0.32401200000000002</v>
      </c>
      <c r="H124" s="120">
        <f t="shared" si="9"/>
        <v>0.40592400000000001</v>
      </c>
      <c r="I124" s="120">
        <f t="shared" si="9"/>
        <v>0.28265000000000001</v>
      </c>
      <c r="J124" s="120">
        <f t="shared" si="9"/>
        <v>0.22889300000000001</v>
      </c>
      <c r="K124" s="120">
        <f t="shared" si="9"/>
        <v>0.138682</v>
      </c>
      <c r="L124" s="120">
        <f t="shared" si="9"/>
        <v>0.13932900000000001</v>
      </c>
      <c r="M124" s="120">
        <f t="shared" si="9"/>
        <v>0.19220799999999999</v>
      </c>
      <c r="N124" s="120">
        <f t="shared" si="9"/>
        <v>0.19817599999999999</v>
      </c>
      <c r="O124" s="138">
        <f t="shared" si="9"/>
        <v>0.620313</v>
      </c>
    </row>
    <row r="125" spans="1:19">
      <c r="A125" s="216"/>
      <c r="B125" s="126" t="s">
        <v>7</v>
      </c>
      <c r="C125" s="120">
        <f>HLOOKUP(C$117,$86:$102,9,FALSE)</f>
        <v>9.7189460000000008</v>
      </c>
      <c r="D125" s="120">
        <f t="shared" ref="D125:O125" si="10">HLOOKUP(D$117,$86:$102,9,FALSE)</f>
        <v>7.2582560000000003</v>
      </c>
      <c r="E125" s="120">
        <f t="shared" si="10"/>
        <v>5.556832</v>
      </c>
      <c r="F125" s="120">
        <f t="shared" si="10"/>
        <v>7.038017</v>
      </c>
      <c r="G125" s="120">
        <f t="shared" si="10"/>
        <v>5.3295399999999997</v>
      </c>
      <c r="H125" s="120">
        <f t="shared" si="10"/>
        <v>10.194158</v>
      </c>
      <c r="I125" s="120">
        <f t="shared" si="10"/>
        <v>11.476927999999999</v>
      </c>
      <c r="J125" s="120">
        <f t="shared" si="10"/>
        <v>11.838782</v>
      </c>
      <c r="K125" s="120">
        <f t="shared" si="10"/>
        <v>12.382847999999999</v>
      </c>
      <c r="L125" s="120">
        <f t="shared" si="10"/>
        <v>13.341704</v>
      </c>
      <c r="M125" s="120">
        <f t="shared" si="10"/>
        <v>11.261585</v>
      </c>
      <c r="N125" s="120">
        <f t="shared" si="10"/>
        <v>9.0458339999999993</v>
      </c>
      <c r="O125" s="138">
        <f t="shared" si="10"/>
        <v>7.8414849999999996</v>
      </c>
    </row>
    <row r="126" spans="1:19">
      <c r="A126" s="216"/>
      <c r="B126" s="127" t="s">
        <v>27</v>
      </c>
      <c r="C126" s="120">
        <f>HLOOKUP(C$117,$86:$102,10,FALSE)</f>
        <v>0.106123</v>
      </c>
      <c r="D126" s="120">
        <f t="shared" ref="D126:O126" si="11">HLOOKUP(D$117,$86:$102,10,FALSE)</f>
        <v>0.12698499999999999</v>
      </c>
      <c r="E126" s="120">
        <f t="shared" si="11"/>
        <v>0.136794</v>
      </c>
      <c r="F126" s="120">
        <f t="shared" si="11"/>
        <v>0.219363</v>
      </c>
      <c r="G126" s="120">
        <f t="shared" si="11"/>
        <v>0.16624</v>
      </c>
      <c r="H126" s="120">
        <f t="shared" si="11"/>
        <v>0.184165</v>
      </c>
      <c r="I126" s="120">
        <f t="shared" si="11"/>
        <v>0.130801</v>
      </c>
      <c r="J126" s="120">
        <f t="shared" si="11"/>
        <v>0.12767999999999999</v>
      </c>
      <c r="K126" s="120">
        <f t="shared" si="11"/>
        <v>0.110028</v>
      </c>
      <c r="L126" s="120">
        <f t="shared" si="11"/>
        <v>5.7736999999999997E-2</v>
      </c>
      <c r="M126" s="120">
        <f t="shared" si="11"/>
        <v>5.6852E-2</v>
      </c>
      <c r="N126" s="120">
        <f t="shared" si="11"/>
        <v>1.917E-2</v>
      </c>
      <c r="O126" s="138">
        <f t="shared" si="11"/>
        <v>6.0415000000000003E-2</v>
      </c>
    </row>
    <row r="127" spans="1:19">
      <c r="A127" s="216"/>
      <c r="B127" s="127" t="s">
        <v>28</v>
      </c>
      <c r="C127" s="120">
        <f>HLOOKUP(C$117,$86:$102,11,FALSE)</f>
        <v>3.3496130000000002</v>
      </c>
      <c r="D127" s="120">
        <f t="shared" ref="D127:O127" si="12">HLOOKUP(D$117,$86:$102,11,FALSE)</f>
        <v>3.098652</v>
      </c>
      <c r="E127" s="120">
        <f t="shared" si="12"/>
        <v>3.6001650000000001</v>
      </c>
      <c r="F127" s="120">
        <f t="shared" si="12"/>
        <v>3.1829869999999998</v>
      </c>
      <c r="G127" s="120">
        <f t="shared" si="12"/>
        <v>3.0836540000000001</v>
      </c>
      <c r="H127" s="120">
        <f t="shared" si="12"/>
        <v>2.2946849999999999</v>
      </c>
      <c r="I127" s="120">
        <f t="shared" si="12"/>
        <v>1.9821660000000001</v>
      </c>
      <c r="J127" s="120">
        <f t="shared" si="12"/>
        <v>2.5785749999999998</v>
      </c>
      <c r="K127" s="120">
        <f t="shared" si="12"/>
        <v>3.3572419999999998</v>
      </c>
      <c r="L127" s="120">
        <f t="shared" si="12"/>
        <v>3.5655640000000002</v>
      </c>
      <c r="M127" s="120">
        <f t="shared" si="12"/>
        <v>3.5154580000000002</v>
      </c>
      <c r="N127" s="120">
        <f t="shared" si="12"/>
        <v>2.43655</v>
      </c>
      <c r="O127" s="138">
        <f t="shared" si="12"/>
        <v>2.5715089999999998</v>
      </c>
    </row>
    <row r="128" spans="1:19">
      <c r="A128" s="216"/>
      <c r="B128" s="126" t="s">
        <v>62</v>
      </c>
      <c r="C128" s="120">
        <f t="shared" ref="C128:O128" si="13">HLOOKUP(C$117,$86:$102,13,FALSE)</f>
        <v>13.9829895</v>
      </c>
      <c r="D128" s="120">
        <f t="shared" si="13"/>
        <v>11.279227499999999</v>
      </c>
      <c r="E128" s="120">
        <f t="shared" si="13"/>
        <v>9.9819964999999993</v>
      </c>
      <c r="F128" s="120">
        <f t="shared" si="13"/>
        <v>7.4814245000000001</v>
      </c>
      <c r="G128" s="120">
        <f t="shared" si="13"/>
        <v>4.4559544999999998</v>
      </c>
      <c r="H128" s="120">
        <f t="shared" si="13"/>
        <v>11.199851499999999</v>
      </c>
      <c r="I128" s="120">
        <f t="shared" si="13"/>
        <v>10.4867385</v>
      </c>
      <c r="J128" s="120">
        <f t="shared" si="13"/>
        <v>10.524592</v>
      </c>
      <c r="K128" s="120">
        <f t="shared" si="13"/>
        <v>14.7091545</v>
      </c>
      <c r="L128" s="120">
        <f t="shared" si="13"/>
        <v>14.429119</v>
      </c>
      <c r="M128" s="120">
        <f t="shared" si="13"/>
        <v>14.9613625</v>
      </c>
      <c r="N128" s="120">
        <f t="shared" si="13"/>
        <v>13.4535695</v>
      </c>
      <c r="O128" s="138">
        <f t="shared" si="13"/>
        <v>13.8976735</v>
      </c>
    </row>
    <row r="129" spans="1:15">
      <c r="A129" s="216"/>
      <c r="B129" s="126" t="s">
        <v>61</v>
      </c>
      <c r="C129" s="120">
        <f>HLOOKUP(C$117,$86:$102,12,FALSE)</f>
        <v>13.9829895</v>
      </c>
      <c r="D129" s="120">
        <f t="shared" ref="D129:O129" si="14">HLOOKUP(D$117,$86:$102,12,FALSE)</f>
        <v>11.279227499999999</v>
      </c>
      <c r="E129" s="120">
        <f t="shared" si="14"/>
        <v>9.9819964999999993</v>
      </c>
      <c r="F129" s="120">
        <f t="shared" si="14"/>
        <v>7.4814245000000001</v>
      </c>
      <c r="G129" s="120">
        <f t="shared" si="14"/>
        <v>4.4559544999999998</v>
      </c>
      <c r="H129" s="120">
        <f t="shared" si="14"/>
        <v>11.199851499999999</v>
      </c>
      <c r="I129" s="120">
        <f t="shared" si="14"/>
        <v>10.4867385</v>
      </c>
      <c r="J129" s="120">
        <f t="shared" si="14"/>
        <v>10.524592</v>
      </c>
      <c r="K129" s="120">
        <f t="shared" si="14"/>
        <v>14.7091545</v>
      </c>
      <c r="L129" s="120">
        <f t="shared" si="14"/>
        <v>14.429119</v>
      </c>
      <c r="M129" s="120">
        <f t="shared" si="14"/>
        <v>14.9613625</v>
      </c>
      <c r="N129" s="120">
        <f t="shared" si="14"/>
        <v>13.4535695</v>
      </c>
      <c r="O129" s="138">
        <f t="shared" si="14"/>
        <v>13.8976735</v>
      </c>
    </row>
    <row r="130" spans="1:15">
      <c r="A130" s="216"/>
      <c r="B130" s="128" t="s">
        <v>5</v>
      </c>
      <c r="C130" s="129">
        <f>HLOOKUP(C$117,$86:$102,14,FALSE)</f>
        <v>381.757137</v>
      </c>
      <c r="D130" s="129">
        <f t="shared" ref="D130:O130" si="15">HLOOKUP(D$117,$86:$102,14,FALSE)</f>
        <v>333.52725299999997</v>
      </c>
      <c r="E130" s="129">
        <f t="shared" si="15"/>
        <v>367.19064500000002</v>
      </c>
      <c r="F130" s="129">
        <f t="shared" si="15"/>
        <v>350.34441099999998</v>
      </c>
      <c r="G130" s="129">
        <f t="shared" si="15"/>
        <v>357.59782000000001</v>
      </c>
      <c r="H130" s="129">
        <f t="shared" si="15"/>
        <v>371.71947999999998</v>
      </c>
      <c r="I130" s="129">
        <f t="shared" si="15"/>
        <v>360.348411</v>
      </c>
      <c r="J130" s="129">
        <f t="shared" si="15"/>
        <v>384.51034099999998</v>
      </c>
      <c r="K130" s="129">
        <f t="shared" si="15"/>
        <v>424.92352799999998</v>
      </c>
      <c r="L130" s="129">
        <f t="shared" si="15"/>
        <v>523.67846499999996</v>
      </c>
      <c r="M130" s="129">
        <f t="shared" si="15"/>
        <v>550.61610099999996</v>
      </c>
      <c r="N130" s="129">
        <f t="shared" si="15"/>
        <v>469.789467</v>
      </c>
      <c r="O130" s="139">
        <f t="shared" si="15"/>
        <v>383.31213100000002</v>
      </c>
    </row>
    <row r="131" spans="1:15">
      <c r="A131" s="216"/>
      <c r="B131" s="126" t="s">
        <v>26</v>
      </c>
      <c r="C131" s="130">
        <f>HLOOKUP(C$117,$86:$102,15,FALSE)</f>
        <v>93.286300999999995</v>
      </c>
      <c r="D131" s="130">
        <f t="shared" ref="D131:O131" si="16">HLOOKUP(D$117,$86:$102,15,FALSE)</f>
        <v>70.161934000000002</v>
      </c>
      <c r="E131" s="130">
        <f t="shared" si="16"/>
        <v>91.766864999999996</v>
      </c>
      <c r="F131" s="130">
        <f t="shared" si="16"/>
        <v>86.203828999999999</v>
      </c>
      <c r="G131" s="130">
        <f t="shared" si="16"/>
        <v>99.993398999999997</v>
      </c>
      <c r="H131" s="130">
        <f t="shared" si="16"/>
        <v>89.996875000000003</v>
      </c>
      <c r="I131" s="130">
        <f t="shared" si="16"/>
        <v>66.467519999999993</v>
      </c>
      <c r="J131" s="130">
        <f t="shared" si="16"/>
        <v>89.565090999999995</v>
      </c>
      <c r="K131" s="130">
        <f t="shared" si="16"/>
        <v>108.62363499999999</v>
      </c>
      <c r="L131" s="130">
        <f t="shared" si="16"/>
        <v>161.79160300000001</v>
      </c>
      <c r="M131" s="130">
        <f t="shared" si="16"/>
        <v>153.133589</v>
      </c>
      <c r="N131" s="130">
        <f t="shared" si="16"/>
        <v>107.931268</v>
      </c>
      <c r="O131" s="130">
        <f t="shared" si="16"/>
        <v>92.007576999999998</v>
      </c>
    </row>
    <row r="132" spans="1:15">
      <c r="A132" s="216"/>
      <c r="B132" s="131" t="s">
        <v>4</v>
      </c>
      <c r="C132" s="132">
        <f>HLOOKUP(C$117,$86:$102,16,FALSE)</f>
        <v>475.04343799999998</v>
      </c>
      <c r="D132" s="132">
        <f t="shared" ref="D132:O132" si="17">HLOOKUP(D$117,$86:$102,16,FALSE)</f>
        <v>403.689187</v>
      </c>
      <c r="E132" s="132">
        <f t="shared" si="17"/>
        <v>458.95751000000001</v>
      </c>
      <c r="F132" s="132">
        <f t="shared" si="17"/>
        <v>436.54824000000002</v>
      </c>
      <c r="G132" s="132">
        <f t="shared" si="17"/>
        <v>457.59121900000002</v>
      </c>
      <c r="H132" s="132">
        <f t="shared" si="17"/>
        <v>461.71635500000002</v>
      </c>
      <c r="I132" s="132">
        <f t="shared" si="17"/>
        <v>426.81593099999998</v>
      </c>
      <c r="J132" s="132">
        <f t="shared" si="17"/>
        <v>474.07543199999998</v>
      </c>
      <c r="K132" s="132">
        <f t="shared" si="17"/>
        <v>533.54716299999995</v>
      </c>
      <c r="L132" s="132">
        <f t="shared" si="17"/>
        <v>685.47006799999997</v>
      </c>
      <c r="M132" s="132">
        <f t="shared" si="17"/>
        <v>703.74968999999999</v>
      </c>
      <c r="N132" s="132">
        <f t="shared" si="17"/>
        <v>577.72073499999999</v>
      </c>
      <c r="O132" s="132">
        <f t="shared" si="17"/>
        <v>475.31970799999999</v>
      </c>
    </row>
    <row r="133" spans="1:15" ht="14.25">
      <c r="A133" s="217"/>
      <c r="B133" s="141" t="s">
        <v>98</v>
      </c>
      <c r="C133" s="142">
        <f>C120+C121+C123</f>
        <v>103.725115</v>
      </c>
      <c r="D133" s="142">
        <f t="shared" ref="D133:O133" si="18">D120+D121+D123</f>
        <v>87.351703999999998</v>
      </c>
      <c r="E133" s="142">
        <f t="shared" si="18"/>
        <v>97.886178999999998</v>
      </c>
      <c r="F133" s="142">
        <f t="shared" si="18"/>
        <v>94.932437999999991</v>
      </c>
      <c r="G133" s="142">
        <f t="shared" si="18"/>
        <v>98.852191000000005</v>
      </c>
      <c r="H133" s="142">
        <f t="shared" si="18"/>
        <v>96.980013</v>
      </c>
      <c r="I133" s="142">
        <f t="shared" si="18"/>
        <v>94.399130999999997</v>
      </c>
      <c r="J133" s="142">
        <f t="shared" si="18"/>
        <v>117.63489</v>
      </c>
      <c r="K133" s="142">
        <f t="shared" si="18"/>
        <v>137.88146899999998</v>
      </c>
      <c r="L133" s="142">
        <f t="shared" si="18"/>
        <v>181.892819</v>
      </c>
      <c r="M133" s="142">
        <f t="shared" si="18"/>
        <v>185.88845900000001</v>
      </c>
      <c r="N133" s="142">
        <f t="shared" si="18"/>
        <v>149.44745</v>
      </c>
      <c r="O133" s="142">
        <f t="shared" si="18"/>
        <v>112.50755500000001</v>
      </c>
    </row>
    <row r="134" spans="1:15">
      <c r="A134" s="215" t="s">
        <v>100</v>
      </c>
      <c r="B134" s="143" t="s">
        <v>96</v>
      </c>
      <c r="C134" s="124" t="str">
        <f>TEXT(EDATE($A$2,-12),"mmm")&amp;".-"&amp;TEXT(EDATE($A$2,-12),"aa")</f>
        <v>oct.-17</v>
      </c>
      <c r="D134" s="124" t="str">
        <f>TEXT(EDATE($A$2,-11),"mmm")&amp;".-"&amp;TEXT(EDATE($A$2,-11),"aa")</f>
        <v>nov.-17</v>
      </c>
      <c r="E134" s="124" t="str">
        <f>TEXT(EDATE($A$2,-10),"mmm")&amp;".-"&amp;TEXT(EDATE($A$2,-10),"aa")</f>
        <v>dic.-17</v>
      </c>
      <c r="F134" s="124" t="str">
        <f>TEXT(EDATE($A$2,-9),"mmm")&amp;".-"&amp;TEXT(EDATE($A$2,-9),"aa")</f>
        <v>ene.-18</v>
      </c>
      <c r="G134" s="124" t="str">
        <f>TEXT(EDATE($A$2,-8),"mmm")&amp;".-"&amp;TEXT(EDATE($A$2,-8),"aa")</f>
        <v>feb.-18</v>
      </c>
      <c r="H134" s="124" t="str">
        <f>TEXT(EDATE($A$2,-7),"mmm")&amp;".-"&amp;TEXT(EDATE($A$2,-7),"aa")</f>
        <v>mar.-18</v>
      </c>
      <c r="I134" s="124" t="str">
        <f>TEXT(EDATE($A$2,-6),"mmm")&amp;".-"&amp;TEXT(EDATE($A$2,-6),"aa")</f>
        <v>abr.-18</v>
      </c>
      <c r="J134" s="124" t="str">
        <f>TEXT(EDATE($A$2,-5),"mmm")&amp;".-"&amp;TEXT(EDATE($A$2,-5),"aa")</f>
        <v>may.-18</v>
      </c>
      <c r="K134" s="124" t="str">
        <f>TEXT(EDATE($A$2,-4),"mmm")&amp;".-"&amp;TEXT(EDATE($A$2,-4),"aa")</f>
        <v>jun.-18</v>
      </c>
      <c r="L134" s="124" t="str">
        <f>TEXT(EDATE($A$2,-3),"mmm")&amp;".-"&amp;TEXT(EDATE($A$2,-3),"aa")</f>
        <v>jul.-18</v>
      </c>
      <c r="M134" s="124" t="str">
        <f>TEXT(EDATE($A$2,-2),"mmm")&amp;".-"&amp;TEXT(EDATE($A$2,-2),"aa")</f>
        <v>ago.-18</v>
      </c>
      <c r="N134" s="124" t="str">
        <f>TEXT(EDATE($A$2,-1),"mmm")&amp;".-"&amp;TEXT(EDATE($A$2,-1),"aa")</f>
        <v>sep.-18</v>
      </c>
      <c r="O134" s="125" t="str">
        <f>TEXT($A$2,"mmm")&amp;".-"&amp;TEXT($A$2,"aa")</f>
        <v>oct.-18</v>
      </c>
    </row>
    <row r="135" spans="1:15" ht="15" customHeight="1">
      <c r="A135" s="216"/>
      <c r="B135" s="126" t="s">
        <v>17</v>
      </c>
      <c r="C135" s="120">
        <f>HLOOKUP(C$117,$86:$115,17,FALSE)</f>
        <v>0.29359800000000003</v>
      </c>
      <c r="D135" s="120">
        <f t="shared" ref="D135:O135" si="19">HLOOKUP(D$117,$86:$115,17,FALSE)</f>
        <v>0.27379399999999998</v>
      </c>
      <c r="E135" s="120">
        <f t="shared" si="19"/>
        <v>0.31142900000000001</v>
      </c>
      <c r="F135" s="120">
        <f t="shared" si="19"/>
        <v>0.27943200000000001</v>
      </c>
      <c r="G135" s="120">
        <f t="shared" si="19"/>
        <v>3.4173000000000002E-2</v>
      </c>
      <c r="H135" s="120">
        <f t="shared" si="19"/>
        <v>0.309946</v>
      </c>
      <c r="I135" s="120">
        <f t="shared" si="19"/>
        <v>0.27612300000000001</v>
      </c>
      <c r="J135" s="120">
        <f t="shared" si="19"/>
        <v>0.308334</v>
      </c>
      <c r="K135" s="120">
        <f t="shared" si="19"/>
        <v>0.29448200000000002</v>
      </c>
      <c r="L135" s="120">
        <f t="shared" si="19"/>
        <v>0.29559600000000003</v>
      </c>
      <c r="M135" s="120">
        <f t="shared" si="19"/>
        <v>0.30764000000000002</v>
      </c>
      <c r="N135" s="120">
        <f t="shared" si="19"/>
        <v>0.28839900000000002</v>
      </c>
      <c r="O135" s="165">
        <f t="shared" si="19"/>
        <v>0.29697000000000001</v>
      </c>
    </row>
    <row r="136" spans="1:15">
      <c r="A136" s="216"/>
      <c r="B136" s="126" t="s">
        <v>15</v>
      </c>
      <c r="C136" s="120">
        <f>HLOOKUP(C$117,$86:$115,18,FALSE)</f>
        <v>205.56642600000001</v>
      </c>
      <c r="D136" s="120">
        <f t="shared" ref="D136:O136" si="20">HLOOKUP(D$117,$86:$115,18,FALSE)</f>
        <v>185.76450299999999</v>
      </c>
      <c r="E136" s="120">
        <f t="shared" si="20"/>
        <v>185.227498</v>
      </c>
      <c r="F136" s="120">
        <f t="shared" si="20"/>
        <v>184.470955</v>
      </c>
      <c r="G136" s="120">
        <f t="shared" si="20"/>
        <v>165.51885899999999</v>
      </c>
      <c r="H136" s="120">
        <f t="shared" si="20"/>
        <v>176.17658599999999</v>
      </c>
      <c r="I136" s="120">
        <f t="shared" si="20"/>
        <v>171.46459999999999</v>
      </c>
      <c r="J136" s="120">
        <f t="shared" si="20"/>
        <v>172.14836700000001</v>
      </c>
      <c r="K136" s="120">
        <f t="shared" si="20"/>
        <v>162.83670599999999</v>
      </c>
      <c r="L136" s="120">
        <f t="shared" si="20"/>
        <v>173.812749</v>
      </c>
      <c r="M136" s="120">
        <f t="shared" si="20"/>
        <v>196.43005099999999</v>
      </c>
      <c r="N136" s="120">
        <f t="shared" si="20"/>
        <v>187.12256099999999</v>
      </c>
      <c r="O136" s="138">
        <f t="shared" si="20"/>
        <v>190.675118</v>
      </c>
    </row>
    <row r="137" spans="1:15">
      <c r="A137" s="216"/>
      <c r="B137" s="126" t="s">
        <v>14</v>
      </c>
      <c r="C137" s="120">
        <f>HLOOKUP(C$117,$86:$115,19,FALSE)</f>
        <v>30.160978</v>
      </c>
      <c r="D137" s="120">
        <f t="shared" ref="D137:O137" si="21">HLOOKUP(D$117,$86:$115,19,FALSE)</f>
        <v>25.835671000000001</v>
      </c>
      <c r="E137" s="120">
        <f t="shared" si="21"/>
        <v>25.553940999999998</v>
      </c>
      <c r="F137" s="120">
        <f t="shared" si="21"/>
        <v>27.249141000000002</v>
      </c>
      <c r="G137" s="120">
        <f t="shared" si="21"/>
        <v>24.751363999999999</v>
      </c>
      <c r="H137" s="120">
        <f t="shared" si="21"/>
        <v>19.300775999999999</v>
      </c>
      <c r="I137" s="120">
        <f t="shared" si="21"/>
        <v>22.020657</v>
      </c>
      <c r="J137" s="120">
        <f t="shared" si="21"/>
        <v>27.236414</v>
      </c>
      <c r="K137" s="120">
        <f t="shared" si="21"/>
        <v>24.035202999999999</v>
      </c>
      <c r="L137" s="120">
        <f t="shared" si="21"/>
        <v>19.071615000000001</v>
      </c>
      <c r="M137" s="120">
        <f t="shared" si="21"/>
        <v>22.472683</v>
      </c>
      <c r="N137" s="120">
        <f t="shared" si="21"/>
        <v>28.508217999999999</v>
      </c>
      <c r="O137" s="138">
        <f t="shared" si="21"/>
        <v>25.162983000000001</v>
      </c>
    </row>
    <row r="138" spans="1:15">
      <c r="A138" s="216"/>
      <c r="B138" s="126" t="s">
        <v>13</v>
      </c>
      <c r="C138" s="120">
        <f>HLOOKUP(C$117,$86:$115,20,FALSE)</f>
        <v>221.962174</v>
      </c>
      <c r="D138" s="120">
        <f t="shared" ref="D138:O138" si="22">HLOOKUP(D$117,$86:$115,20,FALSE)</f>
        <v>208.836062</v>
      </c>
      <c r="E138" s="120">
        <f t="shared" si="22"/>
        <v>225.266628</v>
      </c>
      <c r="F138" s="120">
        <f t="shared" si="22"/>
        <v>230.384784</v>
      </c>
      <c r="G138" s="120">
        <f t="shared" si="22"/>
        <v>210.40916100000001</v>
      </c>
      <c r="H138" s="120">
        <f t="shared" si="22"/>
        <v>195.20305200000001</v>
      </c>
      <c r="I138" s="120">
        <f t="shared" si="22"/>
        <v>189.55861100000001</v>
      </c>
      <c r="J138" s="120">
        <f t="shared" si="22"/>
        <v>186.40918600000001</v>
      </c>
      <c r="K138" s="120">
        <f t="shared" si="22"/>
        <v>200.03084899999999</v>
      </c>
      <c r="L138" s="120">
        <f t="shared" si="22"/>
        <v>206.69372799999999</v>
      </c>
      <c r="M138" s="120">
        <f t="shared" si="22"/>
        <v>214.943949</v>
      </c>
      <c r="N138" s="120">
        <f t="shared" si="22"/>
        <v>188.605344</v>
      </c>
      <c r="O138" s="138">
        <f t="shared" si="22"/>
        <v>201.924623</v>
      </c>
    </row>
    <row r="139" spans="1:15" ht="14.25">
      <c r="A139" s="216"/>
      <c r="B139" s="126" t="s">
        <v>97</v>
      </c>
      <c r="C139" s="120">
        <f>HLOOKUP(C$117,$86:$115,21,FALSE)</f>
        <v>288.99075399999998</v>
      </c>
      <c r="D139" s="120">
        <f t="shared" ref="D139:O139" si="23">HLOOKUP(D$117,$86:$115,21,FALSE)</f>
        <v>280.93736200000001</v>
      </c>
      <c r="E139" s="120">
        <f t="shared" si="23"/>
        <v>253.67039800000001</v>
      </c>
      <c r="F139" s="120">
        <f t="shared" si="23"/>
        <v>233.901625</v>
      </c>
      <c r="G139" s="120">
        <f t="shared" si="23"/>
        <v>215.21677199999999</v>
      </c>
      <c r="H139" s="120">
        <f t="shared" si="23"/>
        <v>260.839181</v>
      </c>
      <c r="I139" s="120">
        <f t="shared" si="23"/>
        <v>246.337683</v>
      </c>
      <c r="J139" s="120">
        <f t="shared" si="23"/>
        <v>248.61678900000001</v>
      </c>
      <c r="K139" s="120">
        <f t="shared" si="23"/>
        <v>234.94823600000001</v>
      </c>
      <c r="L139" s="120">
        <f t="shared" si="23"/>
        <v>230.14559600000001</v>
      </c>
      <c r="M139" s="120">
        <f t="shared" si="23"/>
        <v>251.789052</v>
      </c>
      <c r="N139" s="120">
        <f t="shared" si="23"/>
        <v>281.47467399999999</v>
      </c>
      <c r="O139" s="138">
        <f t="shared" si="23"/>
        <v>317.069143</v>
      </c>
    </row>
    <row r="140" spans="1:15">
      <c r="A140" s="216"/>
      <c r="B140" s="126" t="s">
        <v>9</v>
      </c>
      <c r="C140" s="120">
        <f>HLOOKUP(C$117,$86:$115,22,FALSE)</f>
        <v>0.97127600000000003</v>
      </c>
      <c r="D140" s="120">
        <f t="shared" ref="D140:O140" si="24">HLOOKUP(D$117,$86:$115,22,FALSE)</f>
        <v>0.790825</v>
      </c>
      <c r="E140" s="120">
        <f t="shared" si="24"/>
        <v>1.2860210000000001</v>
      </c>
      <c r="F140" s="120">
        <f t="shared" si="24"/>
        <v>2.2577669999999999</v>
      </c>
      <c r="G140" s="120">
        <f t="shared" si="24"/>
        <v>1.754305</v>
      </c>
      <c r="H140" s="120">
        <f t="shared" si="24"/>
        <v>1.5995220000000001</v>
      </c>
      <c r="I140" s="120">
        <f t="shared" si="24"/>
        <v>2.2626460000000002</v>
      </c>
      <c r="J140" s="120">
        <f t="shared" si="24"/>
        <v>2.0342030000000002</v>
      </c>
      <c r="K140" s="120">
        <f t="shared" si="24"/>
        <v>2.3218040000000002</v>
      </c>
      <c r="L140" s="120">
        <f t="shared" si="24"/>
        <v>3.7162829999999998</v>
      </c>
      <c r="M140" s="120">
        <f t="shared" si="24"/>
        <v>2.859321</v>
      </c>
      <c r="N140" s="120">
        <f t="shared" si="24"/>
        <v>2.165861</v>
      </c>
      <c r="O140" s="138">
        <f t="shared" si="24"/>
        <v>0.87331099999999995</v>
      </c>
    </row>
    <row r="141" spans="1:15">
      <c r="A141" s="216"/>
      <c r="B141" s="126" t="s">
        <v>8</v>
      </c>
      <c r="C141" s="120">
        <f>HLOOKUP(C$117,$86:$115,23,FALSE)</f>
        <v>21.330209</v>
      </c>
      <c r="D141" s="120">
        <f t="shared" ref="D141:O141" si="25">HLOOKUP(D$117,$86:$115,23,FALSE)</f>
        <v>24.032088999999999</v>
      </c>
      <c r="E141" s="120">
        <f t="shared" si="25"/>
        <v>39.810132000000003</v>
      </c>
      <c r="F141" s="120">
        <f t="shared" si="25"/>
        <v>56.908338999999998</v>
      </c>
      <c r="G141" s="120">
        <f t="shared" si="25"/>
        <v>46.207472000000003</v>
      </c>
      <c r="H141" s="120">
        <f t="shared" si="25"/>
        <v>50.516177999999996</v>
      </c>
      <c r="I141" s="120">
        <f t="shared" si="25"/>
        <v>45.548924999999997</v>
      </c>
      <c r="J141" s="120">
        <f t="shared" si="25"/>
        <v>55.351942000000001</v>
      </c>
      <c r="K141" s="120">
        <f t="shared" si="25"/>
        <v>56.421117000000002</v>
      </c>
      <c r="L141" s="120">
        <f t="shared" si="25"/>
        <v>95.158366999999998</v>
      </c>
      <c r="M141" s="120">
        <f t="shared" si="25"/>
        <v>65.077771999999996</v>
      </c>
      <c r="N141" s="120">
        <f t="shared" si="25"/>
        <v>51.688220999999999</v>
      </c>
      <c r="O141" s="138">
        <f t="shared" si="25"/>
        <v>22.335968000000001</v>
      </c>
    </row>
    <row r="142" spans="1:15">
      <c r="A142" s="216"/>
      <c r="B142" s="126" t="s">
        <v>7</v>
      </c>
      <c r="C142" s="120">
        <f>HLOOKUP(C$117,$86:$115,24,FALSE)</f>
        <v>19.754670999999998</v>
      </c>
      <c r="D142" s="120">
        <f t="shared" ref="D142:O142" si="26">HLOOKUP(D$117,$86:$115,24,FALSE)</f>
        <v>16.487777000000001</v>
      </c>
      <c r="E142" s="120">
        <f t="shared" si="26"/>
        <v>17.53989</v>
      </c>
      <c r="F142" s="120">
        <f t="shared" si="26"/>
        <v>19.063385</v>
      </c>
      <c r="G142" s="120">
        <f t="shared" si="26"/>
        <v>17.866654</v>
      </c>
      <c r="H142" s="120">
        <f t="shared" si="26"/>
        <v>25.105015000000002</v>
      </c>
      <c r="I142" s="120">
        <f t="shared" si="26"/>
        <v>25.190729999999999</v>
      </c>
      <c r="J142" s="120">
        <f t="shared" si="26"/>
        <v>23.051193999999999</v>
      </c>
      <c r="K142" s="120">
        <f t="shared" si="26"/>
        <v>25.992826000000001</v>
      </c>
      <c r="L142" s="120">
        <f t="shared" si="26"/>
        <v>29.45045</v>
      </c>
      <c r="M142" s="120">
        <f t="shared" si="26"/>
        <v>27.841747000000002</v>
      </c>
      <c r="N142" s="120">
        <f t="shared" si="26"/>
        <v>24.190496</v>
      </c>
      <c r="O142" s="138">
        <f t="shared" si="26"/>
        <v>19.456084000000001</v>
      </c>
    </row>
    <row r="143" spans="1:15">
      <c r="A143" s="216"/>
      <c r="B143" s="126" t="s">
        <v>27</v>
      </c>
      <c r="C143" s="120">
        <f>HLOOKUP(C$117,$86:$115,25,FALSE)</f>
        <v>0.83137799999999995</v>
      </c>
      <c r="D143" s="120">
        <f t="shared" ref="D143:O143" si="27">HLOOKUP(D$117,$86:$115,25,FALSE)</f>
        <v>0.80323999999999995</v>
      </c>
      <c r="E143" s="120">
        <f t="shared" si="27"/>
        <v>0.78173599999999999</v>
      </c>
      <c r="F143" s="120">
        <f t="shared" si="27"/>
        <v>0.76242299999999996</v>
      </c>
      <c r="G143" s="120">
        <f t="shared" si="27"/>
        <v>0.64657299999999995</v>
      </c>
      <c r="H143" s="120">
        <f t="shared" si="27"/>
        <v>0.83729399999999998</v>
      </c>
      <c r="I143" s="120">
        <f t="shared" si="27"/>
        <v>0.53889699999999996</v>
      </c>
      <c r="J143" s="120">
        <f t="shared" si="27"/>
        <v>0.75060099999999996</v>
      </c>
      <c r="K143" s="120">
        <f t="shared" si="27"/>
        <v>0.53101500000000001</v>
      </c>
      <c r="L143" s="120">
        <f t="shared" si="27"/>
        <v>0.70239399999999996</v>
      </c>
      <c r="M143" s="120">
        <f t="shared" si="27"/>
        <v>0.81645199999999996</v>
      </c>
      <c r="N143" s="120">
        <f t="shared" si="27"/>
        <v>0.78290899999999997</v>
      </c>
      <c r="O143" s="138">
        <f t="shared" si="27"/>
        <v>0.813334</v>
      </c>
    </row>
    <row r="144" spans="1:15">
      <c r="A144" s="216"/>
      <c r="B144" s="131" t="s">
        <v>4</v>
      </c>
      <c r="C144" s="132">
        <f>HLOOKUP(C$117,$86:$115,26,FALSE)</f>
        <v>789.86146399999996</v>
      </c>
      <c r="D144" s="132">
        <f t="shared" ref="D144:O144" si="28">HLOOKUP(D$117,$86:$115,26,FALSE)</f>
        <v>743.76132299999995</v>
      </c>
      <c r="E144" s="132">
        <f t="shared" si="28"/>
        <v>749.44767300000001</v>
      </c>
      <c r="F144" s="132">
        <f t="shared" si="28"/>
        <v>755.27785100000006</v>
      </c>
      <c r="G144" s="132">
        <f t="shared" si="28"/>
        <v>682.40533300000004</v>
      </c>
      <c r="H144" s="132">
        <f t="shared" si="28"/>
        <v>729.88755000000003</v>
      </c>
      <c r="I144" s="132">
        <f t="shared" si="28"/>
        <v>703.19887200000005</v>
      </c>
      <c r="J144" s="132">
        <f t="shared" si="28"/>
        <v>715.90702999999996</v>
      </c>
      <c r="K144" s="132">
        <f t="shared" si="28"/>
        <v>707.412238</v>
      </c>
      <c r="L144" s="132">
        <f t="shared" si="28"/>
        <v>759.04677800000002</v>
      </c>
      <c r="M144" s="132">
        <f t="shared" si="28"/>
        <v>782.53866700000003</v>
      </c>
      <c r="N144" s="132">
        <f t="shared" si="28"/>
        <v>764.826683</v>
      </c>
      <c r="O144" s="140">
        <f t="shared" si="28"/>
        <v>778.60753399999999</v>
      </c>
    </row>
    <row r="145" spans="1:15">
      <c r="A145" s="216"/>
      <c r="B145" s="133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44"/>
    </row>
    <row r="146" spans="1:15" ht="14.25">
      <c r="A146" s="217"/>
      <c r="B146" s="141" t="s">
        <v>98</v>
      </c>
      <c r="C146" s="145">
        <f>SUM(C136:C138)</f>
        <v>457.68957799999998</v>
      </c>
      <c r="D146" s="145">
        <f t="shared" ref="D146:O146" si="29">SUM(D136:D138)</f>
        <v>420.43623600000001</v>
      </c>
      <c r="E146" s="145">
        <f t="shared" si="29"/>
        <v>436.048067</v>
      </c>
      <c r="F146" s="145">
        <f t="shared" si="29"/>
        <v>442.10487999999998</v>
      </c>
      <c r="G146" s="145">
        <f t="shared" si="29"/>
        <v>400.67938400000003</v>
      </c>
      <c r="H146" s="145">
        <f t="shared" si="29"/>
        <v>390.68041399999998</v>
      </c>
      <c r="I146" s="145">
        <f t="shared" si="29"/>
        <v>383.04386799999997</v>
      </c>
      <c r="J146" s="145">
        <f t="shared" si="29"/>
        <v>385.79396700000001</v>
      </c>
      <c r="K146" s="145">
        <f t="shared" si="29"/>
        <v>386.90275799999995</v>
      </c>
      <c r="L146" s="145">
        <f t="shared" si="29"/>
        <v>399.57809199999997</v>
      </c>
      <c r="M146" s="145">
        <f t="shared" si="29"/>
        <v>433.84668299999998</v>
      </c>
      <c r="N146" s="145">
        <f t="shared" si="29"/>
        <v>404.23612300000002</v>
      </c>
      <c r="O146" s="146">
        <f t="shared" si="29"/>
        <v>417.76272399999999</v>
      </c>
    </row>
  </sheetData>
  <mergeCells count="13">
    <mergeCell ref="A134:A146"/>
    <mergeCell ref="A119:A133"/>
    <mergeCell ref="B117:B118"/>
    <mergeCell ref="A102:A112"/>
    <mergeCell ref="A88:A101"/>
    <mergeCell ref="C85:Y85"/>
    <mergeCell ref="B30:C30"/>
    <mergeCell ref="B4:AG4"/>
    <mergeCell ref="B5:I5"/>
    <mergeCell ref="J5:Q5"/>
    <mergeCell ref="R5:Y5"/>
    <mergeCell ref="Z5:AG5"/>
    <mergeCell ref="B29:C2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97"/>
  <sheetViews>
    <sheetView showGridLines="0" showRowColHeaders="0" workbookViewId="0">
      <selection activeCell="C11" sqref="C11"/>
    </sheetView>
  </sheetViews>
  <sheetFormatPr baseColWidth="10" defaultColWidth="11.42578125" defaultRowHeight="15"/>
  <cols>
    <col min="1" max="1" width="11.42578125" style="171"/>
    <col min="2" max="2" width="19.42578125" style="171" customWidth="1"/>
    <col min="3" max="16384" width="11.42578125" style="171"/>
  </cols>
  <sheetData>
    <row r="2" spans="2:4">
      <c r="B2" s="169" t="s">
        <v>35</v>
      </c>
      <c r="C2" s="170"/>
      <c r="D2" s="170"/>
    </row>
    <row r="3" spans="2:4">
      <c r="B3" s="172"/>
      <c r="C3" s="173" t="s">
        <v>34</v>
      </c>
      <c r="D3" s="173" t="s">
        <v>31</v>
      </c>
    </row>
    <row r="4" spans="2:4">
      <c r="B4" s="174" t="s">
        <v>16</v>
      </c>
      <c r="C4" s="157">
        <f>Dat_01!B52</f>
        <v>468.4</v>
      </c>
      <c r="D4" s="20">
        <f>100-SUM(D5:D14)</f>
        <v>20.500000000000014</v>
      </c>
    </row>
    <row r="5" spans="2:4">
      <c r="B5" s="174" t="s">
        <v>15</v>
      </c>
      <c r="C5" s="157">
        <f>Dat_01!B53</f>
        <v>182</v>
      </c>
      <c r="D5" s="20">
        <f t="shared" ref="D5:D14" si="0">ROUND(C5/$C$15*100,1)</f>
        <v>8</v>
      </c>
    </row>
    <row r="6" spans="2:4">
      <c r="B6" s="174" t="s">
        <v>14</v>
      </c>
      <c r="C6" s="157">
        <f>Dat_01!B54</f>
        <v>605.4</v>
      </c>
      <c r="D6" s="20">
        <f t="shared" si="0"/>
        <v>26.5</v>
      </c>
    </row>
    <row r="7" spans="2:4">
      <c r="B7" s="174" t="s">
        <v>30</v>
      </c>
      <c r="C7" s="157">
        <f>Dat_01!B55</f>
        <v>857.95</v>
      </c>
      <c r="D7" s="20">
        <f t="shared" si="0"/>
        <v>37.5</v>
      </c>
    </row>
    <row r="8" spans="2:4">
      <c r="B8" s="174" t="s">
        <v>29</v>
      </c>
      <c r="C8" s="157">
        <f>Dat_01!B56</f>
        <v>0</v>
      </c>
      <c r="D8" s="20">
        <f t="shared" si="0"/>
        <v>0</v>
      </c>
    </row>
    <row r="9" spans="2:4">
      <c r="B9" s="174" t="s">
        <v>28</v>
      </c>
      <c r="C9" s="157">
        <f>Dat_01!B57</f>
        <v>10.486999999999998</v>
      </c>
      <c r="D9" s="20">
        <f t="shared" si="0"/>
        <v>0.5</v>
      </c>
    </row>
    <row r="10" spans="2:4">
      <c r="B10" s="174" t="s">
        <v>62</v>
      </c>
      <c r="C10" s="157">
        <f>Dat_01!B58</f>
        <v>37.400000000000006</v>
      </c>
      <c r="D10" s="20">
        <f t="shared" si="0"/>
        <v>1.6</v>
      </c>
    </row>
    <row r="11" spans="2:4">
      <c r="B11" s="174" t="s">
        <v>61</v>
      </c>
      <c r="C11" s="157">
        <f>Dat_01!B59</f>
        <v>37.400000000000006</v>
      </c>
      <c r="D11" s="20">
        <f t="shared" si="0"/>
        <v>1.6</v>
      </c>
    </row>
    <row r="12" spans="2:4">
      <c r="B12" s="174" t="s">
        <v>8</v>
      </c>
      <c r="C12" s="157">
        <f>Dat_01!B60</f>
        <v>3.6474999999999906</v>
      </c>
      <c r="D12" s="20">
        <f t="shared" si="0"/>
        <v>0.2</v>
      </c>
    </row>
    <row r="13" spans="2:4">
      <c r="B13" s="174" t="s">
        <v>7</v>
      </c>
      <c r="C13" s="157">
        <f>Dat_01!B61</f>
        <v>80.118044999999839</v>
      </c>
      <c r="D13" s="20">
        <f t="shared" si="0"/>
        <v>3.5</v>
      </c>
    </row>
    <row r="14" spans="2:4">
      <c r="B14" s="174" t="s">
        <v>27</v>
      </c>
      <c r="C14" s="157">
        <f>Dat_01!B62</f>
        <v>2.13</v>
      </c>
      <c r="D14" s="20">
        <f t="shared" si="0"/>
        <v>0.1</v>
      </c>
    </row>
    <row r="15" spans="2:4">
      <c r="B15" s="175" t="s">
        <v>25</v>
      </c>
      <c r="C15" s="176">
        <f>SUM(C4:C14)</f>
        <v>2284.9325450000001</v>
      </c>
      <c r="D15" s="177">
        <f>SUM(D4:D14)</f>
        <v>100</v>
      </c>
    </row>
    <row r="16" spans="2:4">
      <c r="B16" s="170"/>
      <c r="C16" s="178"/>
      <c r="D16" s="178"/>
    </row>
    <row r="17" spans="2:4">
      <c r="B17" s="169" t="s">
        <v>32</v>
      </c>
      <c r="C17" s="170"/>
      <c r="D17" s="170"/>
    </row>
    <row r="18" spans="2:4">
      <c r="B18" s="172"/>
      <c r="C18" s="173" t="s">
        <v>31</v>
      </c>
      <c r="D18" s="178"/>
    </row>
    <row r="19" spans="2:4">
      <c r="B19" s="174" t="s">
        <v>16</v>
      </c>
      <c r="C19" s="20">
        <f>100-SUM(C20:C30)</f>
        <v>39.200000000000003</v>
      </c>
      <c r="D19" s="178"/>
    </row>
    <row r="20" spans="2:4">
      <c r="B20" s="174" t="s">
        <v>15</v>
      </c>
      <c r="C20" s="20">
        <f>ROUND((O37/$O$49)*100,1)</f>
        <v>12.2</v>
      </c>
      <c r="D20" s="178"/>
    </row>
    <row r="21" spans="2:4">
      <c r="B21" s="174" t="s">
        <v>14</v>
      </c>
      <c r="C21" s="20">
        <f>ROUND((O38/$O$49)*100,1)</f>
        <v>11.5</v>
      </c>
      <c r="D21" s="178"/>
    </row>
    <row r="22" spans="2:4">
      <c r="B22" s="174" t="s">
        <v>30</v>
      </c>
      <c r="C22" s="20">
        <f>ROUND((O39/$O$49)*100,1)</f>
        <v>9.6</v>
      </c>
      <c r="D22" s="178"/>
    </row>
    <row r="23" spans="2:4">
      <c r="B23" s="174" t="s">
        <v>29</v>
      </c>
      <c r="C23" s="20">
        <f>ROUND((O40/$O$49)*100,1)</f>
        <v>0.1</v>
      </c>
      <c r="D23" s="178"/>
    </row>
    <row r="24" spans="2:4">
      <c r="B24" s="174" t="s">
        <v>28</v>
      </c>
      <c r="C24" s="20">
        <f>ROUND((O44/$O$49)*100,1)</f>
        <v>0.5</v>
      </c>
      <c r="D24" s="178"/>
    </row>
    <row r="25" spans="2:4">
      <c r="B25" s="174" t="s">
        <v>62</v>
      </c>
      <c r="C25" s="20">
        <f>ROUND((O45/$O$49)*100,1)</f>
        <v>2.9</v>
      </c>
      <c r="D25" s="178"/>
    </row>
    <row r="26" spans="2:4">
      <c r="B26" s="174" t="s">
        <v>61</v>
      </c>
      <c r="C26" s="20">
        <f>ROUND((O46/$O$49)*100,1)</f>
        <v>2.9</v>
      </c>
      <c r="D26" s="178"/>
    </row>
    <row r="27" spans="2:4">
      <c r="B27" s="174" t="s">
        <v>8</v>
      </c>
      <c r="C27" s="20">
        <f>ROUND((O41/$O$49)*100,1)</f>
        <v>0.1</v>
      </c>
      <c r="D27" s="178"/>
    </row>
    <row r="28" spans="2:4">
      <c r="B28" s="174" t="s">
        <v>7</v>
      </c>
      <c r="C28" s="20">
        <f>ROUND((O42/$O$49)*100,1)</f>
        <v>1.6</v>
      </c>
      <c r="D28" s="178"/>
    </row>
    <row r="29" spans="2:4">
      <c r="B29" s="174" t="s">
        <v>27</v>
      </c>
      <c r="C29" s="20">
        <f>ROUND((O43/$O$49)*100,1)</f>
        <v>0</v>
      </c>
      <c r="D29" s="178"/>
    </row>
    <row r="30" spans="2:4">
      <c r="B30" s="174" t="s">
        <v>26</v>
      </c>
      <c r="C30" s="20">
        <f>ROUND((O48/$O$49)*100,1)</f>
        <v>19.399999999999999</v>
      </c>
      <c r="D30" s="178"/>
    </row>
    <row r="31" spans="2:4">
      <c r="B31" s="175" t="s">
        <v>25</v>
      </c>
      <c r="C31" s="177">
        <f>SUM(C19:C30)</f>
        <v>100</v>
      </c>
    </row>
    <row r="34" spans="2:15">
      <c r="B34" s="169" t="s">
        <v>109</v>
      </c>
    </row>
    <row r="35" spans="2:15">
      <c r="B35" s="172"/>
      <c r="C35" s="179">
        <v>42948</v>
      </c>
      <c r="D35" s="179">
        <v>42979</v>
      </c>
      <c r="E35" s="179">
        <v>43009</v>
      </c>
      <c r="F35" s="179">
        <v>43040</v>
      </c>
      <c r="G35" s="179">
        <v>43070</v>
      </c>
      <c r="H35" s="179">
        <v>43101</v>
      </c>
      <c r="I35" s="179">
        <v>43132</v>
      </c>
      <c r="J35" s="179">
        <v>43160</v>
      </c>
      <c r="K35" s="179">
        <v>43191</v>
      </c>
      <c r="L35" s="179">
        <v>43221</v>
      </c>
      <c r="M35" s="179">
        <v>43252</v>
      </c>
      <c r="N35" s="179">
        <v>43282</v>
      </c>
      <c r="O35" s="179">
        <v>43313</v>
      </c>
    </row>
    <row r="36" spans="2:15">
      <c r="B36" s="174" t="s">
        <v>16</v>
      </c>
      <c r="C36" s="157">
        <f>Dat_01!C119</f>
        <v>196.316934</v>
      </c>
      <c r="D36" s="157">
        <f>Dat_01!D119</f>
        <v>152.281554</v>
      </c>
      <c r="E36" s="157">
        <f>Dat_01!E119</f>
        <v>204.11071200000001</v>
      </c>
      <c r="F36" s="157">
        <f>Dat_01!F119</f>
        <v>198.55502899999999</v>
      </c>
      <c r="G36" s="157">
        <f>Dat_01!G119</f>
        <v>192.79493400000001</v>
      </c>
      <c r="H36" s="157">
        <f>Dat_01!H119</f>
        <v>199.82157000000001</v>
      </c>
      <c r="I36" s="157">
        <f>Dat_01!I119</f>
        <v>183.05622099999999</v>
      </c>
      <c r="J36" s="157">
        <f>Dat_01!J119</f>
        <v>185.327823</v>
      </c>
      <c r="K36" s="157">
        <f>Dat_01!K119</f>
        <v>204.87973099999999</v>
      </c>
      <c r="L36" s="157">
        <f>Dat_01!L119</f>
        <v>242.068479</v>
      </c>
      <c r="M36" s="157">
        <f>Dat_01!M119</f>
        <v>257.31310999999999</v>
      </c>
      <c r="N36" s="157">
        <f>Dat_01!N119</f>
        <v>250.63039499999999</v>
      </c>
      <c r="O36" s="157">
        <f>Dat_01!O119</f>
        <v>186.34634299999999</v>
      </c>
    </row>
    <row r="37" spans="2:15">
      <c r="B37" s="174" t="s">
        <v>15</v>
      </c>
      <c r="C37" s="157">
        <f>Dat_01!C120</f>
        <v>26.871200999999999</v>
      </c>
      <c r="D37" s="157">
        <f>Dat_01!D120</f>
        <v>24.992986999999999</v>
      </c>
      <c r="E37" s="157">
        <f>Dat_01!E120</f>
        <v>32.782640999999998</v>
      </c>
      <c r="F37" s="157">
        <f>Dat_01!F120</f>
        <v>35.080182000000001</v>
      </c>
      <c r="G37" s="157">
        <f>Dat_01!G120</f>
        <v>38.969616000000002</v>
      </c>
      <c r="H37" s="157">
        <f>Dat_01!H120</f>
        <v>35.928452</v>
      </c>
      <c r="I37" s="157">
        <f>Dat_01!I120</f>
        <v>37.207234999999997</v>
      </c>
      <c r="J37" s="157">
        <f>Dat_01!J120</f>
        <v>51.279922999999997</v>
      </c>
      <c r="K37" s="157">
        <f>Dat_01!K120</f>
        <v>59.423205000000003</v>
      </c>
      <c r="L37" s="157">
        <f>Dat_01!L120</f>
        <v>82.636359999999996</v>
      </c>
      <c r="M37" s="157">
        <f>Dat_01!M120</f>
        <v>89.525766000000004</v>
      </c>
      <c r="N37" s="157">
        <f>Dat_01!N120</f>
        <v>72.079989999999995</v>
      </c>
      <c r="O37" s="157">
        <f>Dat_01!O120</f>
        <v>57.770246999999998</v>
      </c>
    </row>
    <row r="38" spans="2:15">
      <c r="B38" s="174" t="s">
        <v>14</v>
      </c>
      <c r="C38" s="157">
        <f>Dat_01!C121</f>
        <v>75.211866000000001</v>
      </c>
      <c r="D38" s="157">
        <f>Dat_01!D121</f>
        <v>62.358716999999999</v>
      </c>
      <c r="E38" s="157">
        <f>Dat_01!E121</f>
        <v>65.103538</v>
      </c>
      <c r="F38" s="157">
        <f>Dat_01!F121</f>
        <v>59.852255999999997</v>
      </c>
      <c r="G38" s="157">
        <f>Dat_01!G121</f>
        <v>59.882575000000003</v>
      </c>
      <c r="H38" s="157">
        <f>Dat_01!H121</f>
        <v>61.051561</v>
      </c>
      <c r="I38" s="157">
        <f>Dat_01!I121</f>
        <v>57.191896</v>
      </c>
      <c r="J38" s="157">
        <f>Dat_01!J121</f>
        <v>66.096778</v>
      </c>
      <c r="K38" s="157">
        <f>Dat_01!K121</f>
        <v>77.051412999999997</v>
      </c>
      <c r="L38" s="157">
        <f>Dat_01!L121</f>
        <v>95.847725999999994</v>
      </c>
      <c r="M38" s="157">
        <f>Dat_01!M121</f>
        <v>91.166568999999996</v>
      </c>
      <c r="N38" s="157">
        <f>Dat_01!N121</f>
        <v>75.102127999999993</v>
      </c>
      <c r="O38" s="157">
        <f>Dat_01!O121</f>
        <v>54.458812999999999</v>
      </c>
    </row>
    <row r="39" spans="2:15">
      <c r="B39" s="174" t="s">
        <v>11</v>
      </c>
      <c r="C39" s="157">
        <f>Dat_01!C122</f>
        <v>40.379855999999997</v>
      </c>
      <c r="D39" s="157">
        <f>Dat_01!D122</f>
        <v>60.508705999999997</v>
      </c>
      <c r="E39" s="157">
        <f>Dat_01!E122</f>
        <v>35.553646000000001</v>
      </c>
      <c r="F39" s="157">
        <f>Dat_01!F122</f>
        <v>31.201087999999999</v>
      </c>
      <c r="G39" s="157">
        <f>Dat_01!G122</f>
        <v>48.135339999999999</v>
      </c>
      <c r="H39" s="157">
        <f>Dat_01!H122</f>
        <v>39.439261999999999</v>
      </c>
      <c r="I39" s="157">
        <f>Dat_01!I122</f>
        <v>48.047037000000003</v>
      </c>
      <c r="J39" s="157">
        <f>Dat_01!J122</f>
        <v>45.724513999999999</v>
      </c>
      <c r="K39" s="157">
        <f>Dat_01!K122</f>
        <v>36.755218999999997</v>
      </c>
      <c r="L39" s="157">
        <f>Dat_01!L122</f>
        <v>53.754595000000002</v>
      </c>
      <c r="M39" s="157">
        <f>Dat_01!M122</f>
        <v>62.465704000000002</v>
      </c>
      <c r="N39" s="157">
        <f>Dat_01!N122</f>
        <v>31.104752999999999</v>
      </c>
      <c r="O39" s="157">
        <f>Dat_01!O122</f>
        <v>45.569164000000001</v>
      </c>
    </row>
    <row r="40" spans="2:15">
      <c r="B40" s="174" t="s">
        <v>29</v>
      </c>
      <c r="C40" s="157">
        <f>Dat_01!C123</f>
        <v>1.642048</v>
      </c>
      <c r="D40" s="157">
        <f>Dat_01!D123</f>
        <v>0</v>
      </c>
      <c r="E40" s="157">
        <f>Dat_01!E123</f>
        <v>0</v>
      </c>
      <c r="F40" s="157">
        <f>Dat_01!F123</f>
        <v>0</v>
      </c>
      <c r="G40" s="157">
        <f>Dat_01!G123</f>
        <v>0</v>
      </c>
      <c r="H40" s="157">
        <f>Dat_01!H123</f>
        <v>0</v>
      </c>
      <c r="I40" s="157">
        <f>Dat_01!I123</f>
        <v>0</v>
      </c>
      <c r="J40" s="157">
        <f>Dat_01!J123</f>
        <v>0.258189</v>
      </c>
      <c r="K40" s="157">
        <f>Dat_01!K123</f>
        <v>1.4068510000000001</v>
      </c>
      <c r="L40" s="157">
        <f>Dat_01!L123</f>
        <v>3.4087329999999998</v>
      </c>
      <c r="M40" s="157">
        <f>Dat_01!M123</f>
        <v>5.1961240000000002</v>
      </c>
      <c r="N40" s="157">
        <f>Dat_01!N123</f>
        <v>2.2653319999999999</v>
      </c>
      <c r="O40" s="157">
        <f>Dat_01!O123</f>
        <v>0.27849499999999999</v>
      </c>
    </row>
    <row r="41" spans="2:15">
      <c r="B41" s="174" t="s">
        <v>8</v>
      </c>
      <c r="C41" s="157">
        <f>Dat_01!C124</f>
        <v>0.19457099999999999</v>
      </c>
      <c r="D41" s="157">
        <f>Dat_01!D124</f>
        <v>0.342941</v>
      </c>
      <c r="E41" s="157">
        <f>Dat_01!E124</f>
        <v>0.382324</v>
      </c>
      <c r="F41" s="157">
        <f>Dat_01!F124</f>
        <v>0.25263999999999998</v>
      </c>
      <c r="G41" s="157">
        <f>Dat_01!G124</f>
        <v>0.32401200000000002</v>
      </c>
      <c r="H41" s="157">
        <f>Dat_01!H124</f>
        <v>0.40592400000000001</v>
      </c>
      <c r="I41" s="157">
        <f>Dat_01!I124</f>
        <v>0.28265000000000001</v>
      </c>
      <c r="J41" s="157">
        <f>Dat_01!J124</f>
        <v>0.22889300000000001</v>
      </c>
      <c r="K41" s="157">
        <f>Dat_01!K124</f>
        <v>0.138682</v>
      </c>
      <c r="L41" s="157">
        <f>Dat_01!L124</f>
        <v>0.13932900000000001</v>
      </c>
      <c r="M41" s="157">
        <f>Dat_01!M124</f>
        <v>0.19220799999999999</v>
      </c>
      <c r="N41" s="157">
        <f>Dat_01!N124</f>
        <v>0.19817599999999999</v>
      </c>
      <c r="O41" s="157">
        <f>Dat_01!O124</f>
        <v>0.620313</v>
      </c>
    </row>
    <row r="42" spans="2:15">
      <c r="B42" s="174" t="s">
        <v>7</v>
      </c>
      <c r="C42" s="157">
        <f>Dat_01!C125</f>
        <v>9.7189460000000008</v>
      </c>
      <c r="D42" s="157">
        <f>Dat_01!D125</f>
        <v>7.2582560000000003</v>
      </c>
      <c r="E42" s="157">
        <f>Dat_01!E125</f>
        <v>5.556832</v>
      </c>
      <c r="F42" s="157">
        <f>Dat_01!F125</f>
        <v>7.038017</v>
      </c>
      <c r="G42" s="157">
        <f>Dat_01!G125</f>
        <v>5.3295399999999997</v>
      </c>
      <c r="H42" s="157">
        <f>Dat_01!H125</f>
        <v>10.194158</v>
      </c>
      <c r="I42" s="157">
        <f>Dat_01!I125</f>
        <v>11.476927999999999</v>
      </c>
      <c r="J42" s="157">
        <f>Dat_01!J125</f>
        <v>11.838782</v>
      </c>
      <c r="K42" s="157">
        <f>Dat_01!K125</f>
        <v>12.382847999999999</v>
      </c>
      <c r="L42" s="157">
        <f>Dat_01!L125</f>
        <v>13.341704</v>
      </c>
      <c r="M42" s="157">
        <f>Dat_01!M125</f>
        <v>11.261585</v>
      </c>
      <c r="N42" s="157">
        <f>Dat_01!N125</f>
        <v>9.0458339999999993</v>
      </c>
      <c r="O42" s="157">
        <f>Dat_01!O125</f>
        <v>7.8414849999999996</v>
      </c>
    </row>
    <row r="43" spans="2:15">
      <c r="B43" s="21" t="s">
        <v>27</v>
      </c>
      <c r="C43" s="157">
        <f>Dat_01!C126</f>
        <v>0.106123</v>
      </c>
      <c r="D43" s="157">
        <f>Dat_01!D126</f>
        <v>0.12698499999999999</v>
      </c>
      <c r="E43" s="157">
        <f>Dat_01!E126</f>
        <v>0.136794</v>
      </c>
      <c r="F43" s="157">
        <f>Dat_01!F126</f>
        <v>0.219363</v>
      </c>
      <c r="G43" s="157">
        <f>Dat_01!G126</f>
        <v>0.16624</v>
      </c>
      <c r="H43" s="157">
        <f>Dat_01!H126</f>
        <v>0.184165</v>
      </c>
      <c r="I43" s="157">
        <f>Dat_01!I126</f>
        <v>0.130801</v>
      </c>
      <c r="J43" s="157">
        <f>Dat_01!J126</f>
        <v>0.12767999999999999</v>
      </c>
      <c r="K43" s="157">
        <f>Dat_01!K126</f>
        <v>0.110028</v>
      </c>
      <c r="L43" s="157">
        <f>Dat_01!L126</f>
        <v>5.7736999999999997E-2</v>
      </c>
      <c r="M43" s="157">
        <f>Dat_01!M126</f>
        <v>5.6852E-2</v>
      </c>
      <c r="N43" s="157">
        <f>Dat_01!N126</f>
        <v>1.917E-2</v>
      </c>
      <c r="O43" s="157">
        <f>Dat_01!O126</f>
        <v>6.0415000000000003E-2</v>
      </c>
    </row>
    <row r="44" spans="2:15">
      <c r="B44" s="21" t="s">
        <v>28</v>
      </c>
      <c r="C44" s="157">
        <f>Dat_01!C127</f>
        <v>3.3496130000000002</v>
      </c>
      <c r="D44" s="157">
        <f>Dat_01!D127</f>
        <v>3.098652</v>
      </c>
      <c r="E44" s="157">
        <f>Dat_01!E127</f>
        <v>3.6001650000000001</v>
      </c>
      <c r="F44" s="157">
        <f>Dat_01!F127</f>
        <v>3.1829869999999998</v>
      </c>
      <c r="G44" s="157">
        <f>Dat_01!G127</f>
        <v>3.0836540000000001</v>
      </c>
      <c r="H44" s="157">
        <f>Dat_01!H127</f>
        <v>2.2946849999999999</v>
      </c>
      <c r="I44" s="157">
        <f>Dat_01!I127</f>
        <v>1.9821660000000001</v>
      </c>
      <c r="J44" s="157">
        <f>Dat_01!J127</f>
        <v>2.5785749999999998</v>
      </c>
      <c r="K44" s="157">
        <f>Dat_01!K127</f>
        <v>3.3572419999999998</v>
      </c>
      <c r="L44" s="157">
        <f>Dat_01!L127</f>
        <v>3.5655640000000002</v>
      </c>
      <c r="M44" s="157">
        <f>Dat_01!M127</f>
        <v>3.5154580000000002</v>
      </c>
      <c r="N44" s="157">
        <f>Dat_01!N127</f>
        <v>2.43655</v>
      </c>
      <c r="O44" s="157">
        <f>Dat_01!O127</f>
        <v>2.5715089999999998</v>
      </c>
    </row>
    <row r="45" spans="2:15">
      <c r="B45" s="174" t="s">
        <v>62</v>
      </c>
      <c r="C45" s="157">
        <f>Dat_01!C128</f>
        <v>13.9829895</v>
      </c>
      <c r="D45" s="157">
        <f>Dat_01!D128</f>
        <v>11.279227499999999</v>
      </c>
      <c r="E45" s="157">
        <f>Dat_01!E128</f>
        <v>9.9819964999999993</v>
      </c>
      <c r="F45" s="157">
        <f>Dat_01!F128</f>
        <v>7.4814245000000001</v>
      </c>
      <c r="G45" s="157">
        <f>Dat_01!G128</f>
        <v>4.4559544999999998</v>
      </c>
      <c r="H45" s="157">
        <f>Dat_01!H128</f>
        <v>11.199851499999999</v>
      </c>
      <c r="I45" s="157">
        <f>Dat_01!I128</f>
        <v>10.4867385</v>
      </c>
      <c r="J45" s="157">
        <f>Dat_01!J128</f>
        <v>10.524592</v>
      </c>
      <c r="K45" s="157">
        <f>Dat_01!K128</f>
        <v>14.7091545</v>
      </c>
      <c r="L45" s="157">
        <f>Dat_01!L128</f>
        <v>14.429119</v>
      </c>
      <c r="M45" s="157">
        <f>Dat_01!M128</f>
        <v>14.9613625</v>
      </c>
      <c r="N45" s="157">
        <f>Dat_01!N128</f>
        <v>13.4535695</v>
      </c>
      <c r="O45" s="157">
        <f>Dat_01!O128</f>
        <v>13.8976735</v>
      </c>
    </row>
    <row r="46" spans="2:15">
      <c r="B46" s="174" t="s">
        <v>61</v>
      </c>
      <c r="C46" s="157">
        <f>Dat_01!C129</f>
        <v>13.9829895</v>
      </c>
      <c r="D46" s="157">
        <f>Dat_01!D129</f>
        <v>11.279227499999999</v>
      </c>
      <c r="E46" s="157">
        <f>Dat_01!E129</f>
        <v>9.9819964999999993</v>
      </c>
      <c r="F46" s="157">
        <f>Dat_01!F129</f>
        <v>7.4814245000000001</v>
      </c>
      <c r="G46" s="157">
        <f>Dat_01!G129</f>
        <v>4.4559544999999998</v>
      </c>
      <c r="H46" s="157">
        <f>Dat_01!H129</f>
        <v>11.199851499999999</v>
      </c>
      <c r="I46" s="157">
        <f>Dat_01!I129</f>
        <v>10.4867385</v>
      </c>
      <c r="J46" s="157">
        <f>Dat_01!J129</f>
        <v>10.524592</v>
      </c>
      <c r="K46" s="157">
        <f>Dat_01!K129</f>
        <v>14.7091545</v>
      </c>
      <c r="L46" s="157">
        <f>Dat_01!L129</f>
        <v>14.429119</v>
      </c>
      <c r="M46" s="157">
        <f>Dat_01!M129</f>
        <v>14.9613625</v>
      </c>
      <c r="N46" s="157">
        <f>Dat_01!N129</f>
        <v>13.4535695</v>
      </c>
      <c r="O46" s="157">
        <f>Dat_01!O129</f>
        <v>13.8976735</v>
      </c>
    </row>
    <row r="47" spans="2:15">
      <c r="B47" s="180" t="s">
        <v>5</v>
      </c>
      <c r="C47" s="18">
        <f>SUM(C36:C46)</f>
        <v>381.75713699999994</v>
      </c>
      <c r="D47" s="18">
        <f t="shared" ref="D47:O47" si="1">SUM(D36:D46)</f>
        <v>333.52725300000003</v>
      </c>
      <c r="E47" s="18">
        <f t="shared" si="1"/>
        <v>367.19064499999996</v>
      </c>
      <c r="F47" s="18">
        <f t="shared" si="1"/>
        <v>350.34441099999998</v>
      </c>
      <c r="G47" s="18">
        <f t="shared" si="1"/>
        <v>357.59782000000007</v>
      </c>
      <c r="H47" s="18">
        <f t="shared" si="1"/>
        <v>371.71948000000009</v>
      </c>
      <c r="I47" s="18">
        <f t="shared" si="1"/>
        <v>360.348411</v>
      </c>
      <c r="J47" s="18">
        <f t="shared" si="1"/>
        <v>384.51034099999998</v>
      </c>
      <c r="K47" s="18">
        <f t="shared" si="1"/>
        <v>424.92352800000003</v>
      </c>
      <c r="L47" s="18">
        <f t="shared" si="1"/>
        <v>523.67846499999985</v>
      </c>
      <c r="M47" s="18">
        <f t="shared" si="1"/>
        <v>550.61610099999996</v>
      </c>
      <c r="N47" s="18">
        <f t="shared" si="1"/>
        <v>469.789467</v>
      </c>
      <c r="O47" s="18">
        <f t="shared" si="1"/>
        <v>383.31213099999997</v>
      </c>
    </row>
    <row r="48" spans="2:15">
      <c r="B48" s="174" t="s">
        <v>26</v>
      </c>
      <c r="C48" s="160">
        <f>Dat_01!C131</f>
        <v>93.286300999999995</v>
      </c>
      <c r="D48" s="160">
        <f>Dat_01!D131</f>
        <v>70.161934000000002</v>
      </c>
      <c r="E48" s="160">
        <f>Dat_01!E131</f>
        <v>91.766864999999996</v>
      </c>
      <c r="F48" s="160">
        <f>Dat_01!F131</f>
        <v>86.203828999999999</v>
      </c>
      <c r="G48" s="160">
        <f>Dat_01!G131</f>
        <v>99.993398999999997</v>
      </c>
      <c r="H48" s="160">
        <f>Dat_01!H131</f>
        <v>89.996875000000003</v>
      </c>
      <c r="I48" s="160">
        <f>Dat_01!I131</f>
        <v>66.467519999999993</v>
      </c>
      <c r="J48" s="160">
        <f>Dat_01!J131</f>
        <v>89.565090999999995</v>
      </c>
      <c r="K48" s="160">
        <f>Dat_01!K131</f>
        <v>108.62363499999999</v>
      </c>
      <c r="L48" s="160">
        <f>Dat_01!L131</f>
        <v>161.79160300000001</v>
      </c>
      <c r="M48" s="160">
        <f>Dat_01!M131</f>
        <v>153.133589</v>
      </c>
      <c r="N48" s="160">
        <f>Dat_01!N131</f>
        <v>107.931268</v>
      </c>
      <c r="O48" s="160">
        <f>Dat_01!O131</f>
        <v>92.007576999999998</v>
      </c>
    </row>
    <row r="49" spans="2:15">
      <c r="B49" s="181" t="s">
        <v>4</v>
      </c>
      <c r="C49" s="161">
        <f>SUM(C47:C48)</f>
        <v>475.04343799999992</v>
      </c>
      <c r="D49" s="161">
        <f t="shared" ref="D49:O49" si="2">SUM(D47:D48)</f>
        <v>403.68918700000006</v>
      </c>
      <c r="E49" s="161">
        <f t="shared" si="2"/>
        <v>458.95750999999996</v>
      </c>
      <c r="F49" s="161">
        <f t="shared" si="2"/>
        <v>436.54823999999996</v>
      </c>
      <c r="G49" s="161">
        <f t="shared" si="2"/>
        <v>457.59121900000008</v>
      </c>
      <c r="H49" s="161">
        <f t="shared" si="2"/>
        <v>461.71635500000008</v>
      </c>
      <c r="I49" s="161">
        <f t="shared" si="2"/>
        <v>426.81593099999998</v>
      </c>
      <c r="J49" s="161">
        <f t="shared" si="2"/>
        <v>474.07543199999998</v>
      </c>
      <c r="K49" s="161">
        <f t="shared" si="2"/>
        <v>533.54716300000007</v>
      </c>
      <c r="L49" s="161">
        <f t="shared" si="2"/>
        <v>685.47006799999986</v>
      </c>
      <c r="M49" s="161">
        <f t="shared" si="2"/>
        <v>703.74968999999999</v>
      </c>
      <c r="N49" s="161">
        <f t="shared" si="2"/>
        <v>577.72073499999999</v>
      </c>
      <c r="O49" s="161">
        <f t="shared" si="2"/>
        <v>475.31970799999999</v>
      </c>
    </row>
    <row r="50" spans="2:15">
      <c r="B50" s="182" t="s">
        <v>110</v>
      </c>
      <c r="C50" s="183">
        <f>SUM(C37:C38,C40)</f>
        <v>103.725115</v>
      </c>
      <c r="D50" s="183">
        <f t="shared" ref="D50:O50" si="3">SUM(D37:D38,D40)</f>
        <v>87.351703999999998</v>
      </c>
      <c r="E50" s="183">
        <f t="shared" si="3"/>
        <v>97.886178999999998</v>
      </c>
      <c r="F50" s="183">
        <f t="shared" si="3"/>
        <v>94.932437999999991</v>
      </c>
      <c r="G50" s="183">
        <f t="shared" si="3"/>
        <v>98.852191000000005</v>
      </c>
      <c r="H50" s="183">
        <f t="shared" si="3"/>
        <v>96.980013</v>
      </c>
      <c r="I50" s="183">
        <f t="shared" si="3"/>
        <v>94.399130999999997</v>
      </c>
      <c r="J50" s="183">
        <f t="shared" si="3"/>
        <v>117.63489</v>
      </c>
      <c r="K50" s="183">
        <f t="shared" si="3"/>
        <v>137.88146899999998</v>
      </c>
      <c r="L50" s="183">
        <f t="shared" si="3"/>
        <v>181.892819</v>
      </c>
      <c r="M50" s="183">
        <f t="shared" si="3"/>
        <v>185.88845900000001</v>
      </c>
      <c r="N50" s="183">
        <f t="shared" si="3"/>
        <v>149.44745</v>
      </c>
      <c r="O50" s="183">
        <f t="shared" si="3"/>
        <v>112.50755500000001</v>
      </c>
    </row>
    <row r="52" spans="2:15">
      <c r="B52" s="169" t="s">
        <v>39</v>
      </c>
      <c r="C52" s="170"/>
      <c r="D52" s="170"/>
    </row>
    <row r="53" spans="2:15">
      <c r="B53" s="172"/>
      <c r="C53" s="173" t="s">
        <v>34</v>
      </c>
      <c r="D53" s="173" t="s">
        <v>31</v>
      </c>
    </row>
    <row r="54" spans="2:15">
      <c r="B54" s="174" t="s">
        <v>15</v>
      </c>
      <c r="C54" s="157">
        <f>Dat_01!G52</f>
        <v>495.92000000000013</v>
      </c>
      <c r="D54" s="20">
        <f>ROUND(C54/$C$64*100,1)</f>
        <v>17.399999999999999</v>
      </c>
    </row>
    <row r="55" spans="2:15">
      <c r="B55" s="174" t="s">
        <v>14</v>
      </c>
      <c r="C55" s="157">
        <f>Dat_01!G53</f>
        <v>557.1400000000001</v>
      </c>
      <c r="D55" s="20">
        <f>ROUND(C55/$C$64*100,1)</f>
        <v>19.5</v>
      </c>
    </row>
    <row r="56" spans="2:15">
      <c r="B56" s="174" t="s">
        <v>13</v>
      </c>
      <c r="C56" s="157">
        <f>Dat_01!G54</f>
        <v>482.64</v>
      </c>
      <c r="D56" s="20">
        <f t="shared" ref="D56:D63" si="4">ROUND(C56/$C$64*100,1)</f>
        <v>16.899999999999999</v>
      </c>
    </row>
    <row r="57" spans="2:15">
      <c r="B57" s="174" t="s">
        <v>30</v>
      </c>
      <c r="C57" s="157">
        <f>Dat_01!G55</f>
        <v>864.2</v>
      </c>
      <c r="D57" s="20">
        <f>100-SUM(D54:D56,D58:D63)</f>
        <v>30.300000000000011</v>
      </c>
    </row>
    <row r="58" spans="2:15">
      <c r="B58" s="174" t="s">
        <v>28</v>
      </c>
      <c r="C58" s="157">
        <f>Dat_01!G56</f>
        <v>0</v>
      </c>
      <c r="D58" s="20">
        <f>ROUND(C58/$C$64*100,1)</f>
        <v>0</v>
      </c>
    </row>
    <row r="59" spans="2:15">
      <c r="B59" s="174" t="s">
        <v>17</v>
      </c>
      <c r="C59" s="157">
        <f>Dat_01!G57</f>
        <v>2.02</v>
      </c>
      <c r="D59" s="20">
        <f t="shared" si="4"/>
        <v>0.1</v>
      </c>
    </row>
    <row r="60" spans="2:15">
      <c r="B60" s="174" t="s">
        <v>9</v>
      </c>
      <c r="C60" s="157">
        <f>Dat_01!G58</f>
        <v>11.39</v>
      </c>
      <c r="D60" s="20">
        <f t="shared" si="4"/>
        <v>0.4</v>
      </c>
    </row>
    <row r="61" spans="2:15">
      <c r="B61" s="174" t="s">
        <v>8</v>
      </c>
      <c r="C61" s="157">
        <f>Dat_01!G59</f>
        <v>269.24999999999994</v>
      </c>
      <c r="D61" s="20">
        <f t="shared" si="4"/>
        <v>9.4</v>
      </c>
    </row>
    <row r="62" spans="2:15">
      <c r="B62" s="174" t="s">
        <v>7</v>
      </c>
      <c r="C62" s="157">
        <f>Dat_01!G60</f>
        <v>167.32556999999963</v>
      </c>
      <c r="D62" s="20">
        <f t="shared" si="4"/>
        <v>5.9</v>
      </c>
    </row>
    <row r="63" spans="2:15">
      <c r="B63" s="174" t="s">
        <v>27</v>
      </c>
      <c r="C63" s="157">
        <f>Dat_01!G61</f>
        <v>3.6960000000000002</v>
      </c>
      <c r="D63" s="20">
        <f t="shared" si="4"/>
        <v>0.1</v>
      </c>
    </row>
    <row r="64" spans="2:15">
      <c r="B64" s="175" t="s">
        <v>25</v>
      </c>
      <c r="C64" s="176">
        <f>SUM(C54:C63)</f>
        <v>2853.5815699999998</v>
      </c>
      <c r="D64" s="177">
        <f>SUM(D54:D63)</f>
        <v>100.00000000000001</v>
      </c>
    </row>
    <row r="65" spans="2:4">
      <c r="B65" s="170"/>
      <c r="C65" s="170"/>
      <c r="D65" s="178"/>
    </row>
    <row r="66" spans="2:4">
      <c r="B66" s="170"/>
      <c r="C66" s="170"/>
      <c r="D66" s="178"/>
    </row>
    <row r="67" spans="2:4">
      <c r="B67" s="170"/>
      <c r="C67" s="170"/>
      <c r="D67" s="178"/>
    </row>
    <row r="68" spans="2:4">
      <c r="B68" s="170"/>
      <c r="C68" s="170"/>
      <c r="D68" s="170"/>
    </row>
    <row r="69" spans="2:4">
      <c r="B69" s="169" t="s">
        <v>38</v>
      </c>
      <c r="C69" s="170"/>
      <c r="D69" s="170"/>
    </row>
    <row r="70" spans="2:4">
      <c r="B70" s="172"/>
      <c r="C70" s="173" t="s">
        <v>31</v>
      </c>
      <c r="D70" s="178"/>
    </row>
    <row r="71" spans="2:4">
      <c r="B71" s="174" t="s">
        <v>15</v>
      </c>
      <c r="C71" s="20">
        <f>ROUND((O86/$O$95)*100,1)</f>
        <v>24.5</v>
      </c>
      <c r="D71" s="178"/>
    </row>
    <row r="72" spans="2:4">
      <c r="B72" s="174" t="s">
        <v>14</v>
      </c>
      <c r="C72" s="20">
        <f>ROUND((O87/$O$95)*100,1)</f>
        <v>3.2</v>
      </c>
      <c r="D72" s="178"/>
    </row>
    <row r="73" spans="2:4">
      <c r="B73" s="174" t="s">
        <v>13</v>
      </c>
      <c r="C73" s="20">
        <f>ROUND((O88/$O$95)*100,1)</f>
        <v>25.9</v>
      </c>
      <c r="D73" s="178"/>
    </row>
    <row r="74" spans="2:4">
      <c r="B74" s="174" t="s">
        <v>30</v>
      </c>
      <c r="C74" s="20">
        <f>100-SUM(C71:C73,C75:C80)</f>
        <v>40.800000000000004</v>
      </c>
      <c r="D74" s="178"/>
    </row>
    <row r="75" spans="2:4">
      <c r="B75" s="174" t="s">
        <v>28</v>
      </c>
      <c r="C75" s="20">
        <f>ROUND((O94/$O$95)*100,1)</f>
        <v>0</v>
      </c>
      <c r="D75" s="178"/>
    </row>
    <row r="76" spans="2:4">
      <c r="B76" s="174" t="s">
        <v>17</v>
      </c>
      <c r="C76" s="20">
        <f>ROUND((O85/$O$95)*100,1)</f>
        <v>0</v>
      </c>
      <c r="D76" s="170"/>
    </row>
    <row r="77" spans="2:4">
      <c r="B77" s="174" t="s">
        <v>9</v>
      </c>
      <c r="C77" s="20">
        <f>ROUND((O90/$O$95)*100,1)</f>
        <v>0.1</v>
      </c>
      <c r="D77" s="170"/>
    </row>
    <row r="78" spans="2:4">
      <c r="B78" s="174" t="s">
        <v>8</v>
      </c>
      <c r="C78" s="20">
        <f>ROUND((O91/$O$95)*100,1)</f>
        <v>2.9</v>
      </c>
      <c r="D78" s="178"/>
    </row>
    <row r="79" spans="2:4">
      <c r="B79" s="174" t="s">
        <v>7</v>
      </c>
      <c r="C79" s="20">
        <f>ROUND((O92/$O$95)*100,1)</f>
        <v>2.5</v>
      </c>
      <c r="D79" s="178"/>
    </row>
    <row r="80" spans="2:4">
      <c r="B80" s="174" t="s">
        <v>27</v>
      </c>
      <c r="C80" s="20">
        <f>ROUND((O93/$O$95)*100,1)</f>
        <v>0.1</v>
      </c>
      <c r="D80" s="178"/>
    </row>
    <row r="81" spans="2:15">
      <c r="B81" s="175" t="s">
        <v>25</v>
      </c>
      <c r="C81" s="177">
        <f>SUM(C71:C80)</f>
        <v>100</v>
      </c>
      <c r="D81" s="178"/>
    </row>
    <row r="83" spans="2:15">
      <c r="B83" s="169" t="s">
        <v>41</v>
      </c>
    </row>
    <row r="84" spans="2:15">
      <c r="B84" s="172"/>
      <c r="C84" s="179">
        <v>42948</v>
      </c>
      <c r="D84" s="179">
        <v>42979</v>
      </c>
      <c r="E84" s="179">
        <v>43009</v>
      </c>
      <c r="F84" s="179">
        <v>43040</v>
      </c>
      <c r="G84" s="179">
        <v>43070</v>
      </c>
      <c r="H84" s="179">
        <v>43101</v>
      </c>
      <c r="I84" s="179">
        <v>43132</v>
      </c>
      <c r="J84" s="179">
        <v>43160</v>
      </c>
      <c r="K84" s="179">
        <v>43191</v>
      </c>
      <c r="L84" s="179">
        <v>43221</v>
      </c>
      <c r="M84" s="179">
        <v>43252</v>
      </c>
      <c r="N84" s="179">
        <v>43282</v>
      </c>
      <c r="O84" s="179">
        <v>43313</v>
      </c>
    </row>
    <row r="85" spans="2:15">
      <c r="B85" s="174" t="s">
        <v>17</v>
      </c>
      <c r="C85" s="157">
        <f>Dat_01!C135</f>
        <v>0.29359800000000003</v>
      </c>
      <c r="D85" s="157">
        <f>Dat_01!D135</f>
        <v>0.27379399999999998</v>
      </c>
      <c r="E85" s="157">
        <f>Dat_01!E135</f>
        <v>0.31142900000000001</v>
      </c>
      <c r="F85" s="157">
        <f>Dat_01!F135</f>
        <v>0.27943200000000001</v>
      </c>
      <c r="G85" s="157">
        <f>Dat_01!G135</f>
        <v>3.4173000000000002E-2</v>
      </c>
      <c r="H85" s="157">
        <f>Dat_01!H135</f>
        <v>0.309946</v>
      </c>
      <c r="I85" s="157">
        <f>Dat_01!I135</f>
        <v>0.27612300000000001</v>
      </c>
      <c r="J85" s="157">
        <f>Dat_01!J135</f>
        <v>0.308334</v>
      </c>
      <c r="K85" s="157">
        <f>Dat_01!K135</f>
        <v>0.29448200000000002</v>
      </c>
      <c r="L85" s="157">
        <f>Dat_01!L135</f>
        <v>0.29559600000000003</v>
      </c>
      <c r="M85" s="157">
        <f>Dat_01!M135</f>
        <v>0.30764000000000002</v>
      </c>
      <c r="N85" s="157">
        <f>Dat_01!N135</f>
        <v>0.28839900000000002</v>
      </c>
      <c r="O85" s="157">
        <f>Dat_01!O135</f>
        <v>0.29697000000000001</v>
      </c>
    </row>
    <row r="86" spans="2:15">
      <c r="B86" s="174" t="s">
        <v>15</v>
      </c>
      <c r="C86" s="157">
        <f>Dat_01!C136</f>
        <v>205.56642600000001</v>
      </c>
      <c r="D86" s="157">
        <f>Dat_01!D136</f>
        <v>185.76450299999999</v>
      </c>
      <c r="E86" s="157">
        <f>Dat_01!E136</f>
        <v>185.227498</v>
      </c>
      <c r="F86" s="157">
        <f>Dat_01!F136</f>
        <v>184.470955</v>
      </c>
      <c r="G86" s="157">
        <f>Dat_01!G136</f>
        <v>165.51885899999999</v>
      </c>
      <c r="H86" s="157">
        <f>Dat_01!H136</f>
        <v>176.17658599999999</v>
      </c>
      <c r="I86" s="157">
        <f>Dat_01!I136</f>
        <v>171.46459999999999</v>
      </c>
      <c r="J86" s="157">
        <f>Dat_01!J136</f>
        <v>172.14836700000001</v>
      </c>
      <c r="K86" s="157">
        <f>Dat_01!K136</f>
        <v>162.83670599999999</v>
      </c>
      <c r="L86" s="157">
        <f>Dat_01!L136</f>
        <v>173.812749</v>
      </c>
      <c r="M86" s="157">
        <f>Dat_01!M136</f>
        <v>196.43005099999999</v>
      </c>
      <c r="N86" s="157">
        <f>Dat_01!N136</f>
        <v>187.12256099999999</v>
      </c>
      <c r="O86" s="157">
        <f>Dat_01!O136</f>
        <v>190.675118</v>
      </c>
    </row>
    <row r="87" spans="2:15">
      <c r="B87" s="174" t="s">
        <v>14</v>
      </c>
      <c r="C87" s="157">
        <f>Dat_01!C137</f>
        <v>30.160978</v>
      </c>
      <c r="D87" s="157">
        <f>Dat_01!D137</f>
        <v>25.835671000000001</v>
      </c>
      <c r="E87" s="157">
        <f>Dat_01!E137</f>
        <v>25.553940999999998</v>
      </c>
      <c r="F87" s="157">
        <f>Dat_01!F137</f>
        <v>27.249141000000002</v>
      </c>
      <c r="G87" s="157">
        <f>Dat_01!G137</f>
        <v>24.751363999999999</v>
      </c>
      <c r="H87" s="157">
        <f>Dat_01!H137</f>
        <v>19.300775999999999</v>
      </c>
      <c r="I87" s="157">
        <f>Dat_01!I137</f>
        <v>22.020657</v>
      </c>
      <c r="J87" s="157">
        <f>Dat_01!J137</f>
        <v>27.236414</v>
      </c>
      <c r="K87" s="157">
        <f>Dat_01!K137</f>
        <v>24.035202999999999</v>
      </c>
      <c r="L87" s="157">
        <f>Dat_01!L137</f>
        <v>19.071615000000001</v>
      </c>
      <c r="M87" s="157">
        <f>Dat_01!M137</f>
        <v>22.472683</v>
      </c>
      <c r="N87" s="157">
        <f>Dat_01!N137</f>
        <v>28.508217999999999</v>
      </c>
      <c r="O87" s="157">
        <f>Dat_01!O137</f>
        <v>25.162983000000001</v>
      </c>
    </row>
    <row r="88" spans="2:15">
      <c r="B88" s="174" t="s">
        <v>13</v>
      </c>
      <c r="C88" s="157">
        <f>Dat_01!C138</f>
        <v>221.962174</v>
      </c>
      <c r="D88" s="157">
        <f>Dat_01!D138</f>
        <v>208.836062</v>
      </c>
      <c r="E88" s="157">
        <f>Dat_01!E138</f>
        <v>225.266628</v>
      </c>
      <c r="F88" s="157">
        <f>Dat_01!F138</f>
        <v>230.384784</v>
      </c>
      <c r="G88" s="157">
        <f>Dat_01!G138</f>
        <v>210.40916100000001</v>
      </c>
      <c r="H88" s="157">
        <f>Dat_01!H138</f>
        <v>195.20305200000001</v>
      </c>
      <c r="I88" s="157">
        <f>Dat_01!I138</f>
        <v>189.55861100000001</v>
      </c>
      <c r="J88" s="157">
        <f>Dat_01!J138</f>
        <v>186.40918600000001</v>
      </c>
      <c r="K88" s="157">
        <f>Dat_01!K138</f>
        <v>200.03084899999999</v>
      </c>
      <c r="L88" s="157">
        <f>Dat_01!L138</f>
        <v>206.69372799999999</v>
      </c>
      <c r="M88" s="157">
        <f>Dat_01!M138</f>
        <v>214.943949</v>
      </c>
      <c r="N88" s="157">
        <f>Dat_01!N138</f>
        <v>188.605344</v>
      </c>
      <c r="O88" s="157">
        <f>Dat_01!O138</f>
        <v>201.924623</v>
      </c>
    </row>
    <row r="89" spans="2:15">
      <c r="B89" s="174" t="s">
        <v>11</v>
      </c>
      <c r="C89" s="157">
        <f>Dat_01!C139</f>
        <v>288.99075399999998</v>
      </c>
      <c r="D89" s="157">
        <f>Dat_01!D139</f>
        <v>280.93736200000001</v>
      </c>
      <c r="E89" s="157">
        <f>Dat_01!E139</f>
        <v>253.67039800000001</v>
      </c>
      <c r="F89" s="157">
        <f>Dat_01!F139</f>
        <v>233.901625</v>
      </c>
      <c r="G89" s="157">
        <f>Dat_01!G139</f>
        <v>215.21677199999999</v>
      </c>
      <c r="H89" s="157">
        <f>Dat_01!H139</f>
        <v>260.839181</v>
      </c>
      <c r="I89" s="157">
        <f>Dat_01!I139</f>
        <v>246.337683</v>
      </c>
      <c r="J89" s="157">
        <f>Dat_01!J139</f>
        <v>248.61678900000001</v>
      </c>
      <c r="K89" s="157">
        <f>Dat_01!K139</f>
        <v>234.94823600000001</v>
      </c>
      <c r="L89" s="157">
        <f>Dat_01!L139</f>
        <v>230.14559600000001</v>
      </c>
      <c r="M89" s="157">
        <f>Dat_01!M139</f>
        <v>251.789052</v>
      </c>
      <c r="N89" s="157">
        <f>Dat_01!N139</f>
        <v>281.47467399999999</v>
      </c>
      <c r="O89" s="157">
        <f>Dat_01!O139</f>
        <v>317.069143</v>
      </c>
    </row>
    <row r="90" spans="2:15">
      <c r="B90" s="174" t="s">
        <v>9</v>
      </c>
      <c r="C90" s="157">
        <f>Dat_01!C140</f>
        <v>0.97127600000000003</v>
      </c>
      <c r="D90" s="157">
        <f>Dat_01!D140</f>
        <v>0.790825</v>
      </c>
      <c r="E90" s="157">
        <f>Dat_01!E140</f>
        <v>1.2860210000000001</v>
      </c>
      <c r="F90" s="157">
        <f>Dat_01!F140</f>
        <v>2.2577669999999999</v>
      </c>
      <c r="G90" s="157">
        <f>Dat_01!G140</f>
        <v>1.754305</v>
      </c>
      <c r="H90" s="157">
        <f>Dat_01!H140</f>
        <v>1.5995220000000001</v>
      </c>
      <c r="I90" s="157">
        <f>Dat_01!I140</f>
        <v>2.2626460000000002</v>
      </c>
      <c r="J90" s="157">
        <f>Dat_01!J140</f>
        <v>2.0342030000000002</v>
      </c>
      <c r="K90" s="157">
        <f>Dat_01!K140</f>
        <v>2.3218040000000002</v>
      </c>
      <c r="L90" s="157">
        <f>Dat_01!L140</f>
        <v>3.7162829999999998</v>
      </c>
      <c r="M90" s="157">
        <f>Dat_01!M140</f>
        <v>2.859321</v>
      </c>
      <c r="N90" s="157">
        <f>Dat_01!N140</f>
        <v>2.165861</v>
      </c>
      <c r="O90" s="157">
        <f>Dat_01!O140</f>
        <v>0.87331099999999995</v>
      </c>
    </row>
    <row r="91" spans="2:15">
      <c r="B91" s="174" t="s">
        <v>8</v>
      </c>
      <c r="C91" s="157">
        <f>Dat_01!C141</f>
        <v>21.330209</v>
      </c>
      <c r="D91" s="157">
        <f>Dat_01!D141</f>
        <v>24.032088999999999</v>
      </c>
      <c r="E91" s="157">
        <f>Dat_01!E141</f>
        <v>39.810132000000003</v>
      </c>
      <c r="F91" s="157">
        <f>Dat_01!F141</f>
        <v>56.908338999999998</v>
      </c>
      <c r="G91" s="157">
        <f>Dat_01!G141</f>
        <v>46.207472000000003</v>
      </c>
      <c r="H91" s="157">
        <f>Dat_01!H141</f>
        <v>50.516177999999996</v>
      </c>
      <c r="I91" s="157">
        <f>Dat_01!I141</f>
        <v>45.548924999999997</v>
      </c>
      <c r="J91" s="157">
        <f>Dat_01!J141</f>
        <v>55.351942000000001</v>
      </c>
      <c r="K91" s="157">
        <f>Dat_01!K141</f>
        <v>56.421117000000002</v>
      </c>
      <c r="L91" s="157">
        <f>Dat_01!L141</f>
        <v>95.158366999999998</v>
      </c>
      <c r="M91" s="157">
        <f>Dat_01!M141</f>
        <v>65.077771999999996</v>
      </c>
      <c r="N91" s="157">
        <f>Dat_01!N141</f>
        <v>51.688220999999999</v>
      </c>
      <c r="O91" s="157">
        <f>Dat_01!O141</f>
        <v>22.335968000000001</v>
      </c>
    </row>
    <row r="92" spans="2:15">
      <c r="B92" s="174" t="s">
        <v>7</v>
      </c>
      <c r="C92" s="157">
        <f>Dat_01!C142</f>
        <v>19.754670999999998</v>
      </c>
      <c r="D92" s="157">
        <f>Dat_01!D142</f>
        <v>16.487777000000001</v>
      </c>
      <c r="E92" s="157">
        <f>Dat_01!E142</f>
        <v>17.53989</v>
      </c>
      <c r="F92" s="157">
        <f>Dat_01!F142</f>
        <v>19.063385</v>
      </c>
      <c r="G92" s="157">
        <f>Dat_01!G142</f>
        <v>17.866654</v>
      </c>
      <c r="H92" s="157">
        <f>Dat_01!H142</f>
        <v>25.105015000000002</v>
      </c>
      <c r="I92" s="157">
        <f>Dat_01!I142</f>
        <v>25.190729999999999</v>
      </c>
      <c r="J92" s="157">
        <f>Dat_01!J142</f>
        <v>23.051193999999999</v>
      </c>
      <c r="K92" s="157">
        <f>Dat_01!K142</f>
        <v>25.992826000000001</v>
      </c>
      <c r="L92" s="157">
        <f>Dat_01!L142</f>
        <v>29.45045</v>
      </c>
      <c r="M92" s="157">
        <f>Dat_01!M142</f>
        <v>27.841747000000002</v>
      </c>
      <c r="N92" s="157">
        <f>Dat_01!N142</f>
        <v>24.190496</v>
      </c>
      <c r="O92" s="157">
        <f>Dat_01!O142</f>
        <v>19.456084000000001</v>
      </c>
    </row>
    <row r="93" spans="2:15">
      <c r="B93" s="174" t="s">
        <v>27</v>
      </c>
      <c r="C93" s="157">
        <f>Dat_01!C143</f>
        <v>0.83137799999999995</v>
      </c>
      <c r="D93" s="157">
        <f>Dat_01!D143</f>
        <v>0.80323999999999995</v>
      </c>
      <c r="E93" s="157">
        <f>Dat_01!E143</f>
        <v>0.78173599999999999</v>
      </c>
      <c r="F93" s="157">
        <f>Dat_01!F143</f>
        <v>0.76242299999999996</v>
      </c>
      <c r="G93" s="157">
        <f>Dat_01!G143</f>
        <v>0.64657299999999995</v>
      </c>
      <c r="H93" s="157">
        <f>Dat_01!H143</f>
        <v>0.83729399999999998</v>
      </c>
      <c r="I93" s="157">
        <f>Dat_01!I143</f>
        <v>0.53889699999999996</v>
      </c>
      <c r="J93" s="157">
        <f>Dat_01!J143</f>
        <v>0.75060099999999996</v>
      </c>
      <c r="K93" s="157">
        <f>Dat_01!K143</f>
        <v>0.53101500000000001</v>
      </c>
      <c r="L93" s="157">
        <f>Dat_01!L143</f>
        <v>0.70239399999999996</v>
      </c>
      <c r="M93" s="157">
        <f>Dat_01!M143</f>
        <v>0.81645199999999996</v>
      </c>
      <c r="N93" s="157">
        <f>Dat_01!N143</f>
        <v>0.78290899999999997</v>
      </c>
      <c r="O93" s="157">
        <f>Dat_01!O143</f>
        <v>0.813334</v>
      </c>
    </row>
    <row r="94" spans="2:15">
      <c r="B94" s="174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</row>
    <row r="95" spans="2:15">
      <c r="B95" s="181" t="s">
        <v>4</v>
      </c>
      <c r="C95" s="161">
        <f>SUM(C85:C94)</f>
        <v>789.86146399999996</v>
      </c>
      <c r="D95" s="161">
        <f t="shared" ref="D95:O95" si="5">SUM(D85:D94)</f>
        <v>743.76132300000006</v>
      </c>
      <c r="E95" s="161">
        <f t="shared" si="5"/>
        <v>749.44767300000001</v>
      </c>
      <c r="F95" s="161">
        <f t="shared" si="5"/>
        <v>755.27785099999994</v>
      </c>
      <c r="G95" s="161">
        <f t="shared" si="5"/>
        <v>682.40533300000016</v>
      </c>
      <c r="H95" s="161">
        <f t="shared" si="5"/>
        <v>729.88755000000003</v>
      </c>
      <c r="I95" s="161">
        <f t="shared" si="5"/>
        <v>703.19887200000005</v>
      </c>
      <c r="J95" s="161">
        <f t="shared" si="5"/>
        <v>715.90703000000008</v>
      </c>
      <c r="K95" s="161">
        <f t="shared" si="5"/>
        <v>707.412238</v>
      </c>
      <c r="L95" s="161">
        <f t="shared" si="5"/>
        <v>759.04677800000002</v>
      </c>
      <c r="M95" s="161">
        <f t="shared" si="5"/>
        <v>782.53866700000003</v>
      </c>
      <c r="N95" s="161">
        <f t="shared" si="5"/>
        <v>764.826683</v>
      </c>
      <c r="O95" s="161">
        <f t="shared" si="5"/>
        <v>778.60753399999999</v>
      </c>
    </row>
    <row r="96" spans="2:15">
      <c r="B96" s="184"/>
      <c r="C96" s="185"/>
      <c r="D96" s="185"/>
      <c r="E96" s="185"/>
      <c r="F96" s="185"/>
      <c r="G96" s="185"/>
      <c r="H96" s="185"/>
      <c r="I96" s="185"/>
      <c r="J96" s="185"/>
      <c r="K96" s="185"/>
      <c r="L96" s="185"/>
      <c r="M96" s="185"/>
      <c r="N96" s="185"/>
      <c r="O96" s="185"/>
    </row>
    <row r="97" spans="2:15">
      <c r="B97" s="182" t="s">
        <v>110</v>
      </c>
      <c r="C97" s="183">
        <f>SUM(C86:C88)</f>
        <v>457.68957799999998</v>
      </c>
      <c r="D97" s="183">
        <f t="shared" ref="D97:O97" si="6">SUM(D86:D88)</f>
        <v>420.43623600000001</v>
      </c>
      <c r="E97" s="183">
        <f t="shared" si="6"/>
        <v>436.048067</v>
      </c>
      <c r="F97" s="183">
        <f t="shared" si="6"/>
        <v>442.10487999999998</v>
      </c>
      <c r="G97" s="183">
        <f t="shared" si="6"/>
        <v>400.67938400000003</v>
      </c>
      <c r="H97" s="183">
        <f t="shared" si="6"/>
        <v>390.68041399999998</v>
      </c>
      <c r="I97" s="183">
        <f t="shared" si="6"/>
        <v>383.04386799999997</v>
      </c>
      <c r="J97" s="183">
        <f t="shared" si="6"/>
        <v>385.79396700000001</v>
      </c>
      <c r="K97" s="183">
        <f t="shared" si="6"/>
        <v>386.90275799999995</v>
      </c>
      <c r="L97" s="183">
        <f t="shared" si="6"/>
        <v>399.57809199999997</v>
      </c>
      <c r="M97" s="183">
        <f t="shared" si="6"/>
        <v>433.84668299999998</v>
      </c>
      <c r="N97" s="183">
        <f t="shared" si="6"/>
        <v>404.23612300000002</v>
      </c>
      <c r="O97" s="183">
        <f t="shared" si="6"/>
        <v>417.76272399999999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16"/>
  <sheetViews>
    <sheetView showGridLines="0" showRowColHeaders="0" topLeftCell="A2" workbookViewId="0">
      <selection activeCell="K14" sqref="K14"/>
    </sheetView>
  </sheetViews>
  <sheetFormatPr baseColWidth="10" defaultColWidth="11.42578125" defaultRowHeight="12.75"/>
  <cols>
    <col min="1" max="1" width="0.140625" style="79" customWidth="1"/>
    <col min="2" max="2" width="2.7109375" style="79" customWidth="1"/>
    <col min="3" max="3" width="23.7109375" style="79" customWidth="1"/>
    <col min="4" max="4" width="1.28515625" style="79" customWidth="1"/>
    <col min="5" max="5" width="16.28515625" style="79" bestFit="1" customWidth="1"/>
    <col min="6" max="16384" width="11.42578125" style="79"/>
  </cols>
  <sheetData>
    <row r="1" spans="3:12" ht="0.6" customHeight="1"/>
    <row r="2" spans="3:12" ht="21" customHeight="1">
      <c r="K2" s="38" t="s">
        <v>24</v>
      </c>
      <c r="L2" s="58"/>
    </row>
    <row r="3" spans="3:12" ht="15" customHeight="1">
      <c r="K3" s="55" t="str">
        <f>Indice!E3</f>
        <v>Octubre 2018</v>
      </c>
      <c r="L3" s="80"/>
    </row>
    <row r="4" spans="3:12" ht="19.899999999999999" customHeight="1">
      <c r="C4" s="36" t="s">
        <v>51</v>
      </c>
    </row>
    <row r="5" spans="3:12" ht="12.6" customHeight="1"/>
    <row r="7" spans="3:12" ht="12.75" customHeight="1">
      <c r="C7" s="194" t="s">
        <v>52</v>
      </c>
      <c r="E7" s="81"/>
      <c r="F7" s="195" t="str">
        <f>K3</f>
        <v>Octubre 2018</v>
      </c>
      <c r="G7" s="196"/>
      <c r="H7" s="196" t="s">
        <v>42</v>
      </c>
      <c r="I7" s="196"/>
      <c r="J7" s="196" t="s">
        <v>43</v>
      </c>
      <c r="K7" s="196"/>
    </row>
    <row r="8" spans="3:12">
      <c r="C8" s="194"/>
      <c r="E8" s="82"/>
      <c r="F8" s="83" t="s">
        <v>18</v>
      </c>
      <c r="G8" s="110" t="str">
        <f>CONCATENATE("% ",RIGHT(F7,2),"/",RIGHT(F7,2)-1)</f>
        <v>% 18/17</v>
      </c>
      <c r="H8" s="83" t="s">
        <v>18</v>
      </c>
      <c r="I8" s="84" t="str">
        <f>G8</f>
        <v>% 18/17</v>
      </c>
      <c r="J8" s="83" t="s">
        <v>18</v>
      </c>
      <c r="K8" s="84" t="str">
        <f>G8</f>
        <v>% 18/17</v>
      </c>
    </row>
    <row r="9" spans="3:12">
      <c r="C9" s="85"/>
      <c r="E9" s="86" t="s">
        <v>44</v>
      </c>
      <c r="F9" s="87">
        <f>Dat_01!R24/1000</f>
        <v>475.31970799999999</v>
      </c>
      <c r="G9" s="168">
        <f>Dat_01!T24*100</f>
        <v>5.8156790000000007E-2</v>
      </c>
      <c r="H9" s="87">
        <f>Dat_01!U24/1000</f>
        <v>5232.5545410000004</v>
      </c>
      <c r="I9" s="168">
        <f>Dat_01!W24*100</f>
        <v>1.5286912800000001</v>
      </c>
      <c r="J9" s="87">
        <f>Dat_01!X24/1000</f>
        <v>6095.2012379999996</v>
      </c>
      <c r="K9" s="168">
        <f>Dat_01!Y24*100</f>
        <v>2.31662196</v>
      </c>
    </row>
    <row r="10" spans="3:12">
      <c r="E10" s="21"/>
      <c r="F10" s="88"/>
      <c r="G10" s="88"/>
      <c r="H10" s="88"/>
      <c r="I10" s="88"/>
      <c r="J10" s="88"/>
      <c r="K10" s="88"/>
    </row>
    <row r="11" spans="3:12">
      <c r="E11" s="21" t="s">
        <v>45</v>
      </c>
      <c r="F11" s="88"/>
      <c r="G11" s="88"/>
      <c r="H11" s="88"/>
      <c r="I11" s="88"/>
      <c r="J11" s="88"/>
      <c r="K11" s="88"/>
    </row>
    <row r="12" spans="3:12">
      <c r="E12" s="89" t="s">
        <v>46</v>
      </c>
      <c r="F12" s="88"/>
      <c r="G12" s="107">
        <v>0.69569626330225898</v>
      </c>
      <c r="H12" s="107"/>
      <c r="I12" s="107">
        <v>5.2616708296349124E-2</v>
      </c>
      <c r="J12" s="107"/>
      <c r="K12" s="107">
        <v>0.36619113351044064</v>
      </c>
    </row>
    <row r="13" spans="3:12">
      <c r="E13" s="89" t="s">
        <v>47</v>
      </c>
      <c r="F13" s="88"/>
      <c r="G13" s="107">
        <v>0.7815388087418218</v>
      </c>
      <c r="H13" s="107"/>
      <c r="I13" s="107">
        <v>0.66688387556492756</v>
      </c>
      <c r="J13" s="107"/>
      <c r="K13" s="107">
        <v>0.81992644264048398</v>
      </c>
    </row>
    <row r="14" spans="3:12">
      <c r="E14" s="90" t="s">
        <v>48</v>
      </c>
      <c r="F14" s="91"/>
      <c r="G14" s="108">
        <v>-1.4190782851272288</v>
      </c>
      <c r="H14" s="108"/>
      <c r="I14" s="108">
        <v>0.80919069282321399</v>
      </c>
      <c r="J14" s="108"/>
      <c r="K14" s="108">
        <v>1.1305043832875228</v>
      </c>
    </row>
    <row r="15" spans="3:12">
      <c r="E15" s="197" t="s">
        <v>49</v>
      </c>
      <c r="F15" s="197"/>
      <c r="G15" s="197"/>
      <c r="H15" s="197"/>
      <c r="I15" s="197"/>
      <c r="J15" s="197"/>
      <c r="K15" s="197"/>
    </row>
    <row r="16" spans="3:12" ht="21.75" customHeight="1">
      <c r="E16" s="193" t="s">
        <v>50</v>
      </c>
      <c r="F16" s="193"/>
      <c r="G16" s="193"/>
      <c r="H16" s="193"/>
      <c r="I16" s="193"/>
      <c r="J16" s="193"/>
      <c r="K16" s="193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L16"/>
  <sheetViews>
    <sheetView showGridLines="0" showRowColHeaders="0" topLeftCell="A2" workbookViewId="0">
      <selection activeCell="E36" sqref="E36"/>
    </sheetView>
  </sheetViews>
  <sheetFormatPr baseColWidth="10" defaultColWidth="11.42578125" defaultRowHeight="12.75"/>
  <cols>
    <col min="1" max="1" width="0.140625" style="79" customWidth="1"/>
    <col min="2" max="2" width="2.7109375" style="79" customWidth="1"/>
    <col min="3" max="3" width="23.7109375" style="79" customWidth="1"/>
    <col min="4" max="4" width="1.28515625" style="79" customWidth="1"/>
    <col min="5" max="5" width="16.28515625" style="79" bestFit="1" customWidth="1"/>
    <col min="6" max="16384" width="11.42578125" style="79"/>
  </cols>
  <sheetData>
    <row r="1" spans="3:12" ht="0.6" customHeight="1"/>
    <row r="2" spans="3:12" ht="21" customHeight="1">
      <c r="K2" s="38" t="s">
        <v>24</v>
      </c>
      <c r="L2" s="58"/>
    </row>
    <row r="3" spans="3:12" ht="15" customHeight="1">
      <c r="K3" s="55" t="str">
        <f>Indice!E3</f>
        <v>Octubre 2018</v>
      </c>
      <c r="L3" s="80"/>
    </row>
    <row r="4" spans="3:12" ht="19.899999999999999" customHeight="1">
      <c r="C4" s="36" t="s">
        <v>51</v>
      </c>
    </row>
    <row r="5" spans="3:12" ht="12.6" customHeight="1"/>
    <row r="7" spans="3:12" ht="12.75" customHeight="1">
      <c r="C7" s="194" t="s">
        <v>53</v>
      </c>
      <c r="E7" s="81"/>
      <c r="F7" s="195" t="str">
        <f>K3</f>
        <v>Octubre 2018</v>
      </c>
      <c r="G7" s="196"/>
      <c r="H7" s="196" t="s">
        <v>42</v>
      </c>
      <c r="I7" s="196"/>
      <c r="J7" s="196" t="s">
        <v>43</v>
      </c>
      <c r="K7" s="196"/>
    </row>
    <row r="8" spans="3:12">
      <c r="C8" s="194"/>
      <c r="E8" s="82"/>
      <c r="F8" s="83" t="s">
        <v>18</v>
      </c>
      <c r="G8" s="110" t="str">
        <f>CONCATENATE("% ",RIGHT(F7,2),"/",RIGHT(F7,2)-1)</f>
        <v>% 18/17</v>
      </c>
      <c r="H8" s="83" t="s">
        <v>18</v>
      </c>
      <c r="I8" s="111" t="str">
        <f>G8</f>
        <v>% 18/17</v>
      </c>
      <c r="J8" s="83" t="s">
        <v>18</v>
      </c>
      <c r="K8" s="111" t="str">
        <f>G8</f>
        <v>% 18/17</v>
      </c>
    </row>
    <row r="9" spans="3:12">
      <c r="C9" s="85"/>
      <c r="E9" s="86" t="s">
        <v>44</v>
      </c>
      <c r="F9" s="87">
        <f>Dat_01!Z24/1000</f>
        <v>778.60753399999999</v>
      </c>
      <c r="G9" s="168">
        <f>Dat_01!AB24*100</f>
        <v>-1.42479796</v>
      </c>
      <c r="H9" s="87">
        <f>Dat_01!AC24/1000</f>
        <v>7379.1085360000006</v>
      </c>
      <c r="I9" s="168">
        <f>Dat_01!AE24*100</f>
        <v>-0.78981776999999997</v>
      </c>
      <c r="J9" s="87">
        <f>Dat_01!AF24/1000</f>
        <v>8872.3175319999991</v>
      </c>
      <c r="K9" s="168">
        <f>Dat_01!AG24*100</f>
        <v>-0.34537132999999998</v>
      </c>
    </row>
    <row r="10" spans="3:12">
      <c r="E10" s="21"/>
      <c r="F10" s="88"/>
      <c r="G10" s="88"/>
      <c r="H10" s="88"/>
      <c r="I10" s="88"/>
      <c r="J10" s="88"/>
      <c r="K10" s="88"/>
    </row>
    <row r="11" spans="3:12">
      <c r="E11" s="21" t="s">
        <v>45</v>
      </c>
      <c r="F11" s="88"/>
      <c r="G11" s="88"/>
      <c r="H11" s="88"/>
      <c r="I11" s="88"/>
      <c r="J11" s="88"/>
      <c r="K11" s="88"/>
    </row>
    <row r="12" spans="3:12">
      <c r="E12" s="89" t="s">
        <v>46</v>
      </c>
      <c r="F12" s="88"/>
      <c r="G12" s="107">
        <v>0.63905868675939725</v>
      </c>
      <c r="H12" s="107"/>
      <c r="I12" s="107">
        <v>4.0942306576152721E-2</v>
      </c>
      <c r="J12" s="107"/>
      <c r="K12" s="107">
        <v>0.23842045844122417</v>
      </c>
    </row>
    <row r="13" spans="3:12">
      <c r="E13" s="89" t="s">
        <v>47</v>
      </c>
      <c r="F13" s="88"/>
      <c r="G13" s="107">
        <v>-0.19248356809615785</v>
      </c>
      <c r="H13" s="107"/>
      <c r="I13" s="107">
        <v>-2.5811440704281985E-2</v>
      </c>
      <c r="J13" s="107"/>
      <c r="K13" s="107">
        <v>-2.0974331991108208E-2</v>
      </c>
    </row>
    <row r="14" spans="3:12">
      <c r="E14" s="90" t="s">
        <v>48</v>
      </c>
      <c r="F14" s="91"/>
      <c r="G14" s="108">
        <v>-1.8713730753844415</v>
      </c>
      <c r="H14" s="108"/>
      <c r="I14" s="108">
        <v>-0.80494863818835194</v>
      </c>
      <c r="J14" s="108"/>
      <c r="K14" s="108">
        <v>-0.56281745597722699</v>
      </c>
    </row>
    <row r="15" spans="3:12">
      <c r="E15" s="197" t="s">
        <v>49</v>
      </c>
      <c r="F15" s="197"/>
      <c r="G15" s="197"/>
      <c r="H15" s="197"/>
      <c r="I15" s="197"/>
      <c r="J15" s="197"/>
      <c r="K15" s="197"/>
    </row>
    <row r="16" spans="3:12" ht="21.75" customHeight="1">
      <c r="E16" s="193" t="s">
        <v>50</v>
      </c>
      <c r="F16" s="193"/>
      <c r="G16" s="193"/>
      <c r="H16" s="193"/>
      <c r="I16" s="193"/>
      <c r="J16" s="193"/>
      <c r="K16" s="193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 fitToPage="1"/>
  </sheetPr>
  <dimension ref="C1:W58"/>
  <sheetViews>
    <sheetView showGridLines="0" showRowColHeaders="0" zoomScaleNormal="100" workbookViewId="0">
      <selection activeCell="M27" sqref="M27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8" t="s">
        <v>24</v>
      </c>
    </row>
    <row r="3" spans="3:23" ht="15" customHeight="1">
      <c r="M3" s="37" t="str">
        <f>Indice!E3</f>
        <v>Octubre 2018</v>
      </c>
    </row>
    <row r="4" spans="3:23" ht="20.25" customHeight="1">
      <c r="C4" s="36" t="s">
        <v>51</v>
      </c>
    </row>
    <row r="5" spans="3:23" ht="12.75" customHeight="1"/>
    <row r="6" spans="3:23" ht="13.5" customHeight="1"/>
    <row r="7" spans="3:23" s="32" customFormat="1" ht="12.75" customHeight="1">
      <c r="C7" s="198" t="s">
        <v>23</v>
      </c>
      <c r="E7" s="35"/>
      <c r="F7" s="199" t="s">
        <v>22</v>
      </c>
      <c r="G7" s="200"/>
      <c r="H7" s="199" t="s">
        <v>21</v>
      </c>
      <c r="I7" s="200"/>
      <c r="J7" s="199" t="s">
        <v>20</v>
      </c>
      <c r="K7" s="200"/>
      <c r="L7" s="199" t="s">
        <v>19</v>
      </c>
      <c r="M7" s="200"/>
    </row>
    <row r="8" spans="3:23" s="32" customFormat="1" ht="12.75" customHeight="1">
      <c r="C8" s="198"/>
      <c r="E8" s="34"/>
      <c r="F8" s="33" t="s">
        <v>18</v>
      </c>
      <c r="G8" s="109" t="str">
        <f>CONCATENATE("% ",RIGHT(M3,2),"/",RIGHT(M3,2)-1)</f>
        <v>% 18/17</v>
      </c>
      <c r="H8" s="33" t="s">
        <v>18</v>
      </c>
      <c r="I8" s="109" t="str">
        <f>G8</f>
        <v>% 18/17</v>
      </c>
      <c r="J8" s="33" t="s">
        <v>18</v>
      </c>
      <c r="K8" s="109" t="str">
        <f>I8</f>
        <v>% 18/17</v>
      </c>
      <c r="L8" s="33" t="s">
        <v>18</v>
      </c>
      <c r="M8" s="109" t="str">
        <f>K8</f>
        <v>% 18/17</v>
      </c>
    </row>
    <row r="9" spans="3:23" s="31" customFormat="1" ht="12.75" customHeight="1">
      <c r="C9" s="27"/>
      <c r="E9" s="23" t="s">
        <v>17</v>
      </c>
      <c r="F9" s="157" t="s">
        <v>6</v>
      </c>
      <c r="G9" s="20" t="s">
        <v>6</v>
      </c>
      <c r="H9" s="20">
        <f>Dat_01!Z8/1000</f>
        <v>0.29697000000000001</v>
      </c>
      <c r="I9" s="28">
        <f>Dat_01!AB8*100</f>
        <v>1.14850919</v>
      </c>
      <c r="J9" s="157" t="s">
        <v>6</v>
      </c>
      <c r="K9" s="20" t="s">
        <v>6</v>
      </c>
      <c r="L9" s="157" t="s">
        <v>6</v>
      </c>
      <c r="M9" s="20" t="s">
        <v>6</v>
      </c>
      <c r="N9" s="10"/>
      <c r="O9" s="10"/>
    </row>
    <row r="10" spans="3:23" s="7" customFormat="1" ht="12.75" customHeight="1">
      <c r="C10" s="27"/>
      <c r="E10" s="23" t="s">
        <v>16</v>
      </c>
      <c r="F10" s="157">
        <f>Dat_01!R9/1000</f>
        <v>186.34634299999999</v>
      </c>
      <c r="G10" s="20">
        <f>Dat_01!T9*100</f>
        <v>-5.07882371</v>
      </c>
      <c r="H10" s="157" t="s">
        <v>6</v>
      </c>
      <c r="I10" s="20" t="s">
        <v>6</v>
      </c>
      <c r="J10" s="157" t="s">
        <v>6</v>
      </c>
      <c r="K10" s="20" t="s">
        <v>6</v>
      </c>
      <c r="L10" s="157" t="s">
        <v>6</v>
      </c>
      <c r="M10" s="20" t="s">
        <v>6</v>
      </c>
      <c r="N10" s="10"/>
      <c r="O10" s="10"/>
      <c r="P10" s="9"/>
      <c r="Q10" s="9"/>
      <c r="R10" s="9"/>
      <c r="S10" s="9"/>
      <c r="T10" s="9"/>
      <c r="U10" s="9"/>
      <c r="V10" s="9"/>
      <c r="W10" s="9"/>
    </row>
    <row r="11" spans="3:23" s="7" customFormat="1" ht="12.75" customHeight="1">
      <c r="C11" s="27"/>
      <c r="E11" s="30" t="s">
        <v>15</v>
      </c>
      <c r="F11" s="158">
        <f>Dat_01!R10/1000</f>
        <v>57.770247000000005</v>
      </c>
      <c r="G11" s="28">
        <f>Dat_01!T10*100</f>
        <v>114.98944911</v>
      </c>
      <c r="H11" s="158">
        <f>Dat_01!Z10/1000</f>
        <v>190.675118</v>
      </c>
      <c r="I11" s="28">
        <f>Dat_01!AB10*100</f>
        <v>-7.2440370200000004</v>
      </c>
      <c r="J11" s="158">
        <f>Dat_01!B10/1000</f>
        <v>17.758571</v>
      </c>
      <c r="K11" s="28">
        <f>Dat_01!D10*100</f>
        <v>11.29174426</v>
      </c>
      <c r="L11" s="158">
        <f>Dat_01!J10/1000</f>
        <v>16.831804000000002</v>
      </c>
      <c r="M11" s="28">
        <f>Dat_01!L10*100</f>
        <v>2.1749706</v>
      </c>
      <c r="N11" s="167"/>
      <c r="O11" s="166"/>
      <c r="Q11" s="9"/>
      <c r="R11" s="9"/>
      <c r="S11" s="9"/>
      <c r="T11" s="9"/>
      <c r="U11" s="9"/>
      <c r="V11" s="9"/>
      <c r="W11" s="9"/>
    </row>
    <row r="12" spans="3:23" s="7" customFormat="1" ht="12.75" customHeight="1">
      <c r="C12" s="27"/>
      <c r="E12" s="29" t="s">
        <v>14</v>
      </c>
      <c r="F12" s="158">
        <f>Dat_01!R11/1000</f>
        <v>54.458812999999999</v>
      </c>
      <c r="G12" s="28">
        <f>Dat_01!T11*100</f>
        <v>-27.592791009999999</v>
      </c>
      <c r="H12" s="158">
        <f>Dat_01!Z11/1000</f>
        <v>25.162983000000001</v>
      </c>
      <c r="I12" s="28">
        <f>Dat_01!AB11*100</f>
        <v>-16.571064110000002</v>
      </c>
      <c r="J12" s="28">
        <f>Dat_01!B11/1000</f>
        <v>9.5560000000000006E-2</v>
      </c>
      <c r="K12" s="28">
        <f>Dat_01!D11*100</f>
        <v>1122.1511702300002</v>
      </c>
      <c r="L12" s="158">
        <f>Dat_01!J11/1000</f>
        <v>0</v>
      </c>
      <c r="M12" s="28">
        <f>Dat_01!L11*100</f>
        <v>0</v>
      </c>
      <c r="N12" s="167"/>
      <c r="O12" s="25"/>
      <c r="P12" s="9"/>
      <c r="Q12" s="9"/>
      <c r="R12" s="9"/>
      <c r="S12" s="9"/>
      <c r="T12" s="9"/>
      <c r="U12" s="9"/>
      <c r="V12" s="9"/>
      <c r="W12" s="9"/>
    </row>
    <row r="13" spans="3:23" s="7" customFormat="1" ht="12.75" customHeight="1">
      <c r="C13" s="27"/>
      <c r="E13" s="29" t="s">
        <v>13</v>
      </c>
      <c r="F13" s="158" t="s">
        <v>6</v>
      </c>
      <c r="G13" s="28" t="s">
        <v>6</v>
      </c>
      <c r="H13" s="158">
        <f>Dat_01!Z12/1000</f>
        <v>201.924623</v>
      </c>
      <c r="I13" s="28">
        <f>Dat_01!AB12*100</f>
        <v>-9.0274620399999996</v>
      </c>
      <c r="J13" s="158" t="s">
        <v>6</v>
      </c>
      <c r="K13" s="158" t="s">
        <v>6</v>
      </c>
      <c r="L13" s="158" t="s">
        <v>6</v>
      </c>
      <c r="M13" s="158" t="s">
        <v>6</v>
      </c>
      <c r="N13" s="167"/>
      <c r="O13" s="25"/>
      <c r="P13" s="9"/>
      <c r="Q13" s="9"/>
      <c r="R13" s="9"/>
      <c r="S13" s="9"/>
      <c r="T13" s="9"/>
      <c r="U13" s="9"/>
      <c r="V13" s="9"/>
      <c r="W13" s="9"/>
    </row>
    <row r="14" spans="3:23" s="7" customFormat="1" ht="12.75" customHeight="1">
      <c r="C14" s="27"/>
      <c r="E14" s="23" t="s">
        <v>12</v>
      </c>
      <c r="F14" s="157">
        <f>SUM(F11:F13)</f>
        <v>112.22906</v>
      </c>
      <c r="G14" s="20">
        <f>(F14/(F11/(G11/100+1)+F12/(G12/100+1))-1)*100</f>
        <v>9.9389578483245486</v>
      </c>
      <c r="H14" s="157">
        <f>SUM(H11:H13)</f>
        <v>417.76272399999999</v>
      </c>
      <c r="I14" s="20">
        <f>(H14/(H11/(I11/100+1)+H12/(I12/100+1)+H13/(I13/100+1))-1)*100</f>
        <v>-8.7235663473593021</v>
      </c>
      <c r="J14" s="157">
        <f>SUM(J11:J13)</f>
        <v>17.854130999999999</v>
      </c>
      <c r="K14" s="20">
        <f>(J14/(J11/(K11/100+1)+J12/(K12/100+1))-1)*100</f>
        <v>11.83581139627854</v>
      </c>
      <c r="L14" s="157">
        <f>SUM(L11:L13)</f>
        <v>16.831804000000002</v>
      </c>
      <c r="M14" s="20">
        <f>(L14/(L11/(M11/100+1)+L12/(M12/100+1))-1)*100</f>
        <v>2.1749706000000035</v>
      </c>
      <c r="N14" s="10"/>
      <c r="O14" s="10"/>
      <c r="P14" s="9"/>
      <c r="Q14" s="9"/>
      <c r="R14" s="9"/>
      <c r="S14" s="9"/>
      <c r="T14" s="9"/>
      <c r="U14" s="9"/>
      <c r="V14" s="9"/>
      <c r="W14" s="9"/>
    </row>
    <row r="15" spans="3:23" s="7" customFormat="1" ht="12.75" customHeight="1">
      <c r="C15" s="27"/>
      <c r="E15" s="23" t="s">
        <v>11</v>
      </c>
      <c r="F15" s="157">
        <f>Dat_01!R13/1000</f>
        <v>45.569163999999994</v>
      </c>
      <c r="G15" s="20">
        <f>Dat_01!T13*100</f>
        <v>12.851229580000002</v>
      </c>
      <c r="H15" s="157">
        <f>Dat_01!Z13/1000</f>
        <v>317.069143</v>
      </c>
      <c r="I15" s="20">
        <f>Dat_01!AB13*100</f>
        <v>9.716016380000001</v>
      </c>
      <c r="J15" s="157" t="s">
        <v>6</v>
      </c>
      <c r="K15" s="20" t="s">
        <v>6</v>
      </c>
      <c r="L15" s="157" t="s">
        <v>6</v>
      </c>
      <c r="M15" s="20" t="s">
        <v>6</v>
      </c>
      <c r="N15" s="10"/>
      <c r="O15" s="10"/>
      <c r="P15" s="9"/>
      <c r="Q15" s="9"/>
      <c r="R15" s="9"/>
      <c r="S15" s="9"/>
      <c r="T15" s="9"/>
      <c r="U15" s="9"/>
      <c r="V15" s="9"/>
      <c r="W15" s="9"/>
    </row>
    <row r="16" spans="3:23" s="2" customFormat="1" ht="12.75" customHeight="1">
      <c r="C16" s="26"/>
      <c r="E16" s="23" t="s">
        <v>10</v>
      </c>
      <c r="F16" s="20">
        <f>Dat_01!R14/1000</f>
        <v>0.27849499999999999</v>
      </c>
      <c r="G16" s="20">
        <f>Dat_01!T14*100</f>
        <v>-83.03977716</v>
      </c>
      <c r="H16" s="157" t="s">
        <v>6</v>
      </c>
      <c r="I16" s="20" t="s">
        <v>6</v>
      </c>
      <c r="J16" s="157" t="s">
        <v>6</v>
      </c>
      <c r="K16" s="20" t="s">
        <v>6</v>
      </c>
      <c r="L16" s="157" t="s">
        <v>6</v>
      </c>
      <c r="M16" s="20" t="s">
        <v>6</v>
      </c>
      <c r="N16" s="10"/>
      <c r="O16" s="25"/>
    </row>
    <row r="17" spans="3:16" s="2" customFormat="1" ht="12.75" customHeight="1">
      <c r="C17" s="24"/>
      <c r="E17" s="23" t="s">
        <v>9</v>
      </c>
      <c r="F17" s="157" t="s">
        <v>6</v>
      </c>
      <c r="G17" s="20" t="s">
        <v>6</v>
      </c>
      <c r="H17" s="157">
        <f>Dat_01!Z15/1000</f>
        <v>0.87331100000000006</v>
      </c>
      <c r="I17" s="20">
        <f>Dat_01!AB15*100</f>
        <v>-10.086216480000001</v>
      </c>
      <c r="J17" s="157" t="s">
        <v>6</v>
      </c>
      <c r="K17" s="20" t="s">
        <v>6</v>
      </c>
      <c r="L17" s="157" t="s">
        <v>6</v>
      </c>
      <c r="M17" s="20" t="s">
        <v>6</v>
      </c>
      <c r="N17" s="10"/>
      <c r="O17" s="10"/>
    </row>
    <row r="18" spans="3:16" s="2" customFormat="1" ht="12.75" customHeight="1">
      <c r="C18" s="24"/>
      <c r="E18" s="23" t="s">
        <v>8</v>
      </c>
      <c r="F18" s="157">
        <f>Dat_01!R16/1000</f>
        <v>0.620313</v>
      </c>
      <c r="G18" s="20">
        <f>Dat_01!T16*100</f>
        <v>218.81061412</v>
      </c>
      <c r="H18" s="157">
        <f>Dat_01!Z16/1000</f>
        <v>22.335968000000001</v>
      </c>
      <c r="I18" s="20">
        <f>Dat_01!AB16*100</f>
        <v>4.71518587</v>
      </c>
      <c r="J18" s="157" t="s">
        <v>6</v>
      </c>
      <c r="K18" s="20" t="s">
        <v>6</v>
      </c>
      <c r="L18" s="157" t="s">
        <v>6</v>
      </c>
      <c r="M18" s="20" t="s">
        <v>6</v>
      </c>
      <c r="N18" s="10"/>
      <c r="O18" s="10"/>
    </row>
    <row r="19" spans="3:16" s="2" customFormat="1" ht="12.75" customHeight="1">
      <c r="C19" s="13"/>
      <c r="E19" s="23" t="s">
        <v>7</v>
      </c>
      <c r="F19" s="157">
        <f>Dat_01!R17/1000</f>
        <v>7.8414849999999996</v>
      </c>
      <c r="G19" s="20">
        <f>Dat_01!T17*100</f>
        <v>-19.31753711</v>
      </c>
      <c r="H19" s="157">
        <f>Dat_01!Z17/1000</f>
        <v>19.456084000000001</v>
      </c>
      <c r="I19" s="20">
        <f>Dat_01!AB17*100</f>
        <v>-1.5114754399999999</v>
      </c>
      <c r="J19" s="157" t="s">
        <v>6</v>
      </c>
      <c r="K19" s="20" t="s">
        <v>6</v>
      </c>
      <c r="L19" s="157">
        <f>Dat_01!J17/1000</f>
        <v>6.0419999999999996E-3</v>
      </c>
      <c r="M19" s="20">
        <f>Dat_01!L17*100</f>
        <v>-7.7134565399999993</v>
      </c>
      <c r="N19" s="10"/>
      <c r="O19" s="10"/>
      <c r="P19" s="22"/>
    </row>
    <row r="20" spans="3:16" s="2" customFormat="1" ht="12.75" customHeight="1">
      <c r="C20" s="13"/>
      <c r="E20" s="21" t="s">
        <v>57</v>
      </c>
      <c r="F20" s="20">
        <f>Dat_01!R18/1000</f>
        <v>6.0414999999999996E-2</v>
      </c>
      <c r="G20" s="20">
        <f>Dat_01!T18*100</f>
        <v>-43.070776360000004</v>
      </c>
      <c r="H20" s="157">
        <f>Dat_01!Z18/1000</f>
        <v>0.813334</v>
      </c>
      <c r="I20" s="20">
        <f>Dat_01!AB18*100</f>
        <v>-2.1703725600000001</v>
      </c>
      <c r="J20" s="157" t="s">
        <v>6</v>
      </c>
      <c r="K20" s="20" t="s">
        <v>6</v>
      </c>
      <c r="L20" s="157" t="s">
        <v>6</v>
      </c>
      <c r="M20" s="20" t="s">
        <v>6</v>
      </c>
      <c r="N20" s="10"/>
      <c r="O20" s="10"/>
    </row>
    <row r="21" spans="3:16" s="2" customFormat="1" ht="12.75" customHeight="1">
      <c r="C21" s="13"/>
      <c r="E21" s="21" t="s">
        <v>28</v>
      </c>
      <c r="F21" s="157">
        <f>Dat_01!R19/1000</f>
        <v>2.5715089999999998</v>
      </c>
      <c r="G21" s="20">
        <f>Dat_01!T19*100</f>
        <v>-23.229668619999998</v>
      </c>
      <c r="H21" s="157">
        <f>Dat_01!Z19/1000</f>
        <v>0</v>
      </c>
      <c r="I21" s="20" t="s">
        <v>6</v>
      </c>
      <c r="J21" s="157" t="s">
        <v>6</v>
      </c>
      <c r="K21" s="20" t="s">
        <v>6</v>
      </c>
      <c r="L21" s="157" t="s">
        <v>6</v>
      </c>
      <c r="M21" s="20" t="s">
        <v>6</v>
      </c>
      <c r="N21" s="10"/>
      <c r="O21" s="10"/>
    </row>
    <row r="22" spans="3:16" s="2" customFormat="1" ht="12.75" customHeight="1">
      <c r="C22" s="13"/>
      <c r="E22" s="21" t="s">
        <v>62</v>
      </c>
      <c r="F22" s="157">
        <f>Dat_01!R20/1000</f>
        <v>13.897673500000002</v>
      </c>
      <c r="G22" s="20">
        <f>Dat_01!T20*100</f>
        <v>-0.61014133999999998</v>
      </c>
      <c r="H22" s="157" t="s">
        <v>6</v>
      </c>
      <c r="I22" s="20" t="s">
        <v>6</v>
      </c>
      <c r="J22" s="157" t="s">
        <v>6</v>
      </c>
      <c r="K22" s="20" t="s">
        <v>6</v>
      </c>
      <c r="L22" s="20">
        <f>Dat_01!J20/1000</f>
        <v>0.4142015</v>
      </c>
      <c r="M22" s="20">
        <f>Dat_01!L20*100</f>
        <v>-16.703317479999999</v>
      </c>
      <c r="N22" s="10"/>
      <c r="O22" s="10"/>
    </row>
    <row r="23" spans="3:16" s="2" customFormat="1" ht="12.75" customHeight="1">
      <c r="C23" s="13"/>
      <c r="E23" s="21" t="s">
        <v>61</v>
      </c>
      <c r="F23" s="157">
        <f>Dat_01!R21/1000</f>
        <v>13.897673500000002</v>
      </c>
      <c r="G23" s="20">
        <f>Dat_01!T21*100</f>
        <v>-0.61014133999999998</v>
      </c>
      <c r="H23" s="157" t="s">
        <v>6</v>
      </c>
      <c r="I23" s="20" t="s">
        <v>6</v>
      </c>
      <c r="J23" s="157" t="s">
        <v>6</v>
      </c>
      <c r="K23" s="20" t="s">
        <v>6</v>
      </c>
      <c r="L23" s="20">
        <f>Dat_01!J21/1000</f>
        <v>0.4142015</v>
      </c>
      <c r="M23" s="20">
        <f>Dat_01!L21*100</f>
        <v>-16.703317479999999</v>
      </c>
      <c r="N23" s="10"/>
      <c r="O23" s="10"/>
    </row>
    <row r="24" spans="3:16" s="2" customFormat="1" ht="12.75" customHeight="1">
      <c r="C24" s="13"/>
      <c r="E24" s="19" t="s">
        <v>5</v>
      </c>
      <c r="F24" s="159">
        <f>Dat_01!R22/1000</f>
        <v>383.31213100000002</v>
      </c>
      <c r="G24" s="17">
        <f>Dat_01!T22*100</f>
        <v>0.40732546000000003</v>
      </c>
      <c r="H24" s="159">
        <f>Dat_01!Z22/1000</f>
        <v>778.60753399999999</v>
      </c>
      <c r="I24" s="17">
        <f>Dat_01!AB22*100</f>
        <v>-1.42479796</v>
      </c>
      <c r="J24" s="159">
        <f>Dat_01!B22/1000</f>
        <v>17.854131000000002</v>
      </c>
      <c r="K24" s="17">
        <f>Dat_01!D22*100</f>
        <v>11.835811400000001</v>
      </c>
      <c r="L24" s="159">
        <f>Dat_01!J22/1000</f>
        <v>17.666249000000001</v>
      </c>
      <c r="M24" s="17">
        <f>Dat_01!L22*100</f>
        <v>1.0968562399999999</v>
      </c>
      <c r="N24" s="10"/>
      <c r="O24" s="10"/>
    </row>
    <row r="25" spans="3:16" s="2" customFormat="1" ht="12.75" customHeight="1">
      <c r="C25" s="16"/>
      <c r="E25" s="15" t="s">
        <v>65</v>
      </c>
      <c r="F25" s="160">
        <f>Dat_01!R23/1000</f>
        <v>92.007576999999998</v>
      </c>
      <c r="G25" s="14">
        <f>Dat_01!T23*100</f>
        <v>-1.37075218</v>
      </c>
      <c r="H25" s="160" t="s">
        <v>6</v>
      </c>
      <c r="I25" s="160" t="s">
        <v>6</v>
      </c>
      <c r="J25" s="160" t="s">
        <v>6</v>
      </c>
      <c r="K25" s="160" t="s">
        <v>6</v>
      </c>
      <c r="L25" s="160" t="s">
        <v>6</v>
      </c>
      <c r="M25" s="160" t="s">
        <v>6</v>
      </c>
      <c r="N25" s="10"/>
      <c r="O25" s="10"/>
    </row>
    <row r="26" spans="3:16" s="2" customFormat="1" ht="16.149999999999999" customHeight="1">
      <c r="C26" s="13"/>
      <c r="E26" s="12" t="s">
        <v>4</v>
      </c>
      <c r="F26" s="161">
        <f>Dat_01!R24/1000</f>
        <v>475.31970799999999</v>
      </c>
      <c r="G26" s="11">
        <f>Dat_01!T24*100</f>
        <v>5.8156790000000007E-2</v>
      </c>
      <c r="H26" s="161">
        <f>Dat_01!Z24/1000</f>
        <v>778.60753399999999</v>
      </c>
      <c r="I26" s="11">
        <f>Dat_01!AB24*100</f>
        <v>-1.42479796</v>
      </c>
      <c r="J26" s="161">
        <f>Dat_01!B24/1000</f>
        <v>17.854131000000002</v>
      </c>
      <c r="K26" s="11">
        <f>Dat_01!D24*100</f>
        <v>11.835811400000001</v>
      </c>
      <c r="L26" s="161">
        <f>Dat_01!J24/1000</f>
        <v>17.666249000000001</v>
      </c>
      <c r="M26" s="11">
        <f>Dat_01!L24*100</f>
        <v>1.0968562399999999</v>
      </c>
      <c r="N26" s="10"/>
      <c r="O26" s="10"/>
    </row>
    <row r="27" spans="3:16" s="2" customFormat="1" ht="16.149999999999999" customHeight="1">
      <c r="C27" s="13"/>
      <c r="E27" s="201" t="s">
        <v>63</v>
      </c>
      <c r="F27" s="201"/>
      <c r="G27" s="201"/>
      <c r="H27" s="201"/>
      <c r="I27" s="201"/>
      <c r="J27" s="201"/>
      <c r="K27" s="201"/>
      <c r="L27" s="18"/>
      <c r="M27" s="17"/>
      <c r="N27" s="10"/>
      <c r="O27" s="10"/>
    </row>
    <row r="28" spans="3:16" s="2" customFormat="1" ht="12.75" customHeight="1">
      <c r="C28" s="8"/>
      <c r="D28" s="8"/>
      <c r="E28" s="203" t="s">
        <v>3</v>
      </c>
      <c r="F28" s="203"/>
      <c r="G28" s="203"/>
      <c r="H28" s="203"/>
      <c r="I28" s="203"/>
      <c r="J28" s="203"/>
      <c r="K28" s="203"/>
      <c r="L28" s="203"/>
      <c r="M28" s="203"/>
      <c r="O28" s="9"/>
    </row>
    <row r="29" spans="3:16" s="2" customFormat="1" ht="12.75" customHeight="1">
      <c r="C29" s="8"/>
      <c r="D29" s="8"/>
      <c r="E29" s="202" t="s">
        <v>2</v>
      </c>
      <c r="F29" s="202"/>
      <c r="G29" s="202"/>
      <c r="H29" s="202"/>
      <c r="I29" s="202"/>
      <c r="J29" s="202"/>
      <c r="K29" s="202"/>
      <c r="L29" s="202"/>
      <c r="M29" s="202"/>
    </row>
    <row r="30" spans="3:16" s="2" customFormat="1" ht="12.75" customHeight="1">
      <c r="E30" s="202" t="s">
        <v>1</v>
      </c>
      <c r="F30" s="202"/>
      <c r="G30" s="202"/>
      <c r="H30" s="202"/>
      <c r="I30" s="202"/>
      <c r="J30" s="202"/>
      <c r="K30" s="202"/>
      <c r="L30" s="202"/>
      <c r="M30" s="202"/>
    </row>
    <row r="31" spans="3:16" s="7" customFormat="1" ht="12.75" customHeight="1">
      <c r="E31" s="202" t="s">
        <v>0</v>
      </c>
      <c r="F31" s="202"/>
      <c r="G31" s="202"/>
      <c r="H31" s="202"/>
      <c r="I31" s="202"/>
      <c r="J31" s="202"/>
      <c r="K31" s="202"/>
      <c r="L31" s="202"/>
      <c r="M31" s="202"/>
    </row>
    <row r="32" spans="3:16" ht="12.75" customHeight="1">
      <c r="C32" s="1"/>
      <c r="D32" s="1"/>
      <c r="E32" s="202" t="s">
        <v>64</v>
      </c>
      <c r="F32" s="202"/>
      <c r="G32" s="202"/>
      <c r="H32" s="202"/>
      <c r="I32" s="202"/>
      <c r="J32" s="202"/>
      <c r="K32" s="202"/>
      <c r="L32" s="202"/>
      <c r="M32" s="202"/>
    </row>
    <row r="33" spans="3:13" ht="12.75" customHeight="1">
      <c r="C33" s="1"/>
      <c r="D33" s="1"/>
      <c r="E33" s="202"/>
      <c r="F33" s="202"/>
      <c r="G33" s="202"/>
      <c r="H33" s="202"/>
      <c r="I33" s="202"/>
      <c r="J33" s="202"/>
      <c r="K33" s="202"/>
      <c r="L33" s="202"/>
      <c r="M33" s="202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E27:K27"/>
    <mergeCell ref="E33:M33"/>
    <mergeCell ref="E28:M28"/>
    <mergeCell ref="E29:M29"/>
    <mergeCell ref="E30:M30"/>
    <mergeCell ref="E31:M31"/>
    <mergeCell ref="E32:M32"/>
    <mergeCell ref="C7:C8"/>
    <mergeCell ref="F7:G7"/>
    <mergeCell ref="H7:I7"/>
    <mergeCell ref="J7:K7"/>
    <mergeCell ref="L7:M7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4 I14 K14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RowHeight="15"/>
  <sheetData>
    <row r="1" spans="1:2">
      <c r="A1">
        <v>4</v>
      </c>
      <c r="B1" s="112" t="s">
        <v>118</v>
      </c>
    </row>
    <row r="2" spans="1:2">
      <c r="A2" t="s">
        <v>114</v>
      </c>
    </row>
    <row r="3" spans="1:2">
      <c r="A3" t="s">
        <v>115</v>
      </c>
    </row>
    <row r="4" spans="1:2">
      <c r="A4" t="s">
        <v>119</v>
      </c>
    </row>
    <row r="5" spans="1:2">
      <c r="A5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L37"/>
  <sheetViews>
    <sheetView showGridLines="0" showRowColHeaders="0" zoomScaleNormal="100" workbookViewId="0">
      <selection activeCell="I23" sqref="I23"/>
    </sheetView>
  </sheetViews>
  <sheetFormatPr baseColWidth="10" defaultRowHeight="12.75"/>
  <cols>
    <col min="1" max="1" width="0.140625" style="40" customWidth="1"/>
    <col min="2" max="2" width="2.7109375" style="40" customWidth="1"/>
    <col min="3" max="3" width="23.7109375" style="40" customWidth="1"/>
    <col min="4" max="4" width="1.28515625" style="40" customWidth="1"/>
    <col min="5" max="5" width="58.85546875" style="40" customWidth="1"/>
    <col min="6" max="6" width="11.42578125" style="39"/>
    <col min="7" max="7" width="19.85546875" style="39" customWidth="1"/>
    <col min="8" max="9" width="11.42578125" style="39"/>
    <col min="10" max="10" width="11" style="39" bestFit="1" customWidth="1"/>
    <col min="11" max="253" width="11.42578125" style="39"/>
    <col min="254" max="254" width="0.140625" style="39" customWidth="1"/>
    <col min="255" max="255" width="2.7109375" style="39" customWidth="1"/>
    <col min="256" max="256" width="18.5703125" style="39" customWidth="1"/>
    <col min="257" max="257" width="1.28515625" style="39" customWidth="1"/>
    <col min="258" max="258" width="58.85546875" style="39" customWidth="1"/>
    <col min="259" max="260" width="11.42578125" style="39"/>
    <col min="261" max="261" width="2.140625" style="39" customWidth="1"/>
    <col min="262" max="262" width="11.42578125" style="39"/>
    <col min="263" max="263" width="9.5703125" style="39" customWidth="1"/>
    <col min="264" max="509" width="11.42578125" style="39"/>
    <col min="510" max="510" width="0.140625" style="39" customWidth="1"/>
    <col min="511" max="511" width="2.7109375" style="39" customWidth="1"/>
    <col min="512" max="512" width="18.5703125" style="39" customWidth="1"/>
    <col min="513" max="513" width="1.28515625" style="39" customWidth="1"/>
    <col min="514" max="514" width="58.85546875" style="39" customWidth="1"/>
    <col min="515" max="516" width="11.42578125" style="39"/>
    <col min="517" max="517" width="2.140625" style="39" customWidth="1"/>
    <col min="518" max="518" width="11.42578125" style="39"/>
    <col min="519" max="519" width="9.5703125" style="39" customWidth="1"/>
    <col min="520" max="765" width="11.42578125" style="39"/>
    <col min="766" max="766" width="0.140625" style="39" customWidth="1"/>
    <col min="767" max="767" width="2.7109375" style="39" customWidth="1"/>
    <col min="768" max="768" width="18.5703125" style="39" customWidth="1"/>
    <col min="769" max="769" width="1.28515625" style="39" customWidth="1"/>
    <col min="770" max="770" width="58.85546875" style="39" customWidth="1"/>
    <col min="771" max="772" width="11.42578125" style="39"/>
    <col min="773" max="773" width="2.140625" style="39" customWidth="1"/>
    <col min="774" max="774" width="11.42578125" style="39"/>
    <col min="775" max="775" width="9.5703125" style="39" customWidth="1"/>
    <col min="776" max="1021" width="11.42578125" style="39"/>
    <col min="1022" max="1022" width="0.140625" style="39" customWidth="1"/>
    <col min="1023" max="1023" width="2.7109375" style="39" customWidth="1"/>
    <col min="1024" max="1024" width="18.5703125" style="39" customWidth="1"/>
    <col min="1025" max="1025" width="1.28515625" style="39" customWidth="1"/>
    <col min="1026" max="1026" width="58.85546875" style="39" customWidth="1"/>
    <col min="1027" max="1028" width="11.42578125" style="39"/>
    <col min="1029" max="1029" width="2.140625" style="39" customWidth="1"/>
    <col min="1030" max="1030" width="11.42578125" style="39"/>
    <col min="1031" max="1031" width="9.5703125" style="39" customWidth="1"/>
    <col min="1032" max="1277" width="11.42578125" style="39"/>
    <col min="1278" max="1278" width="0.140625" style="39" customWidth="1"/>
    <col min="1279" max="1279" width="2.7109375" style="39" customWidth="1"/>
    <col min="1280" max="1280" width="18.5703125" style="39" customWidth="1"/>
    <col min="1281" max="1281" width="1.28515625" style="39" customWidth="1"/>
    <col min="1282" max="1282" width="58.85546875" style="39" customWidth="1"/>
    <col min="1283" max="1284" width="11.42578125" style="39"/>
    <col min="1285" max="1285" width="2.140625" style="39" customWidth="1"/>
    <col min="1286" max="1286" width="11.42578125" style="39"/>
    <col min="1287" max="1287" width="9.5703125" style="39" customWidth="1"/>
    <col min="1288" max="1533" width="11.42578125" style="39"/>
    <col min="1534" max="1534" width="0.140625" style="39" customWidth="1"/>
    <col min="1535" max="1535" width="2.7109375" style="39" customWidth="1"/>
    <col min="1536" max="1536" width="18.5703125" style="39" customWidth="1"/>
    <col min="1537" max="1537" width="1.28515625" style="39" customWidth="1"/>
    <col min="1538" max="1538" width="58.85546875" style="39" customWidth="1"/>
    <col min="1539" max="1540" width="11.42578125" style="39"/>
    <col min="1541" max="1541" width="2.140625" style="39" customWidth="1"/>
    <col min="1542" max="1542" width="11.42578125" style="39"/>
    <col min="1543" max="1543" width="9.5703125" style="39" customWidth="1"/>
    <col min="1544" max="1789" width="11.42578125" style="39"/>
    <col min="1790" max="1790" width="0.140625" style="39" customWidth="1"/>
    <col min="1791" max="1791" width="2.7109375" style="39" customWidth="1"/>
    <col min="1792" max="1792" width="18.5703125" style="39" customWidth="1"/>
    <col min="1793" max="1793" width="1.28515625" style="39" customWidth="1"/>
    <col min="1794" max="1794" width="58.85546875" style="39" customWidth="1"/>
    <col min="1795" max="1796" width="11.42578125" style="39"/>
    <col min="1797" max="1797" width="2.140625" style="39" customWidth="1"/>
    <col min="1798" max="1798" width="11.42578125" style="39"/>
    <col min="1799" max="1799" width="9.5703125" style="39" customWidth="1"/>
    <col min="1800" max="2045" width="11.42578125" style="39"/>
    <col min="2046" max="2046" width="0.140625" style="39" customWidth="1"/>
    <col min="2047" max="2047" width="2.7109375" style="39" customWidth="1"/>
    <col min="2048" max="2048" width="18.5703125" style="39" customWidth="1"/>
    <col min="2049" max="2049" width="1.28515625" style="39" customWidth="1"/>
    <col min="2050" max="2050" width="58.85546875" style="39" customWidth="1"/>
    <col min="2051" max="2052" width="11.42578125" style="39"/>
    <col min="2053" max="2053" width="2.140625" style="39" customWidth="1"/>
    <col min="2054" max="2054" width="11.42578125" style="39"/>
    <col min="2055" max="2055" width="9.5703125" style="39" customWidth="1"/>
    <col min="2056" max="2301" width="11.42578125" style="39"/>
    <col min="2302" max="2302" width="0.140625" style="39" customWidth="1"/>
    <col min="2303" max="2303" width="2.7109375" style="39" customWidth="1"/>
    <col min="2304" max="2304" width="18.5703125" style="39" customWidth="1"/>
    <col min="2305" max="2305" width="1.28515625" style="39" customWidth="1"/>
    <col min="2306" max="2306" width="58.85546875" style="39" customWidth="1"/>
    <col min="2307" max="2308" width="11.42578125" style="39"/>
    <col min="2309" max="2309" width="2.140625" style="39" customWidth="1"/>
    <col min="2310" max="2310" width="11.42578125" style="39"/>
    <col min="2311" max="2311" width="9.5703125" style="39" customWidth="1"/>
    <col min="2312" max="2557" width="11.42578125" style="39"/>
    <col min="2558" max="2558" width="0.140625" style="39" customWidth="1"/>
    <col min="2559" max="2559" width="2.7109375" style="39" customWidth="1"/>
    <col min="2560" max="2560" width="18.5703125" style="39" customWidth="1"/>
    <col min="2561" max="2561" width="1.28515625" style="39" customWidth="1"/>
    <col min="2562" max="2562" width="58.85546875" style="39" customWidth="1"/>
    <col min="2563" max="2564" width="11.42578125" style="39"/>
    <col min="2565" max="2565" width="2.140625" style="39" customWidth="1"/>
    <col min="2566" max="2566" width="11.42578125" style="39"/>
    <col min="2567" max="2567" width="9.5703125" style="39" customWidth="1"/>
    <col min="2568" max="2813" width="11.42578125" style="39"/>
    <col min="2814" max="2814" width="0.140625" style="39" customWidth="1"/>
    <col min="2815" max="2815" width="2.7109375" style="39" customWidth="1"/>
    <col min="2816" max="2816" width="18.5703125" style="39" customWidth="1"/>
    <col min="2817" max="2817" width="1.28515625" style="39" customWidth="1"/>
    <col min="2818" max="2818" width="58.85546875" style="39" customWidth="1"/>
    <col min="2819" max="2820" width="11.42578125" style="39"/>
    <col min="2821" max="2821" width="2.140625" style="39" customWidth="1"/>
    <col min="2822" max="2822" width="11.42578125" style="39"/>
    <col min="2823" max="2823" width="9.5703125" style="39" customWidth="1"/>
    <col min="2824" max="3069" width="11.42578125" style="39"/>
    <col min="3070" max="3070" width="0.140625" style="39" customWidth="1"/>
    <col min="3071" max="3071" width="2.7109375" style="39" customWidth="1"/>
    <col min="3072" max="3072" width="18.5703125" style="39" customWidth="1"/>
    <col min="3073" max="3073" width="1.28515625" style="39" customWidth="1"/>
    <col min="3074" max="3074" width="58.85546875" style="39" customWidth="1"/>
    <col min="3075" max="3076" width="11.42578125" style="39"/>
    <col min="3077" max="3077" width="2.140625" style="39" customWidth="1"/>
    <col min="3078" max="3078" width="11.42578125" style="39"/>
    <col min="3079" max="3079" width="9.5703125" style="39" customWidth="1"/>
    <col min="3080" max="3325" width="11.42578125" style="39"/>
    <col min="3326" max="3326" width="0.140625" style="39" customWidth="1"/>
    <col min="3327" max="3327" width="2.7109375" style="39" customWidth="1"/>
    <col min="3328" max="3328" width="18.5703125" style="39" customWidth="1"/>
    <col min="3329" max="3329" width="1.28515625" style="39" customWidth="1"/>
    <col min="3330" max="3330" width="58.85546875" style="39" customWidth="1"/>
    <col min="3331" max="3332" width="11.42578125" style="39"/>
    <col min="3333" max="3333" width="2.140625" style="39" customWidth="1"/>
    <col min="3334" max="3334" width="11.42578125" style="39"/>
    <col min="3335" max="3335" width="9.5703125" style="39" customWidth="1"/>
    <col min="3336" max="3581" width="11.42578125" style="39"/>
    <col min="3582" max="3582" width="0.140625" style="39" customWidth="1"/>
    <col min="3583" max="3583" width="2.7109375" style="39" customWidth="1"/>
    <col min="3584" max="3584" width="18.5703125" style="39" customWidth="1"/>
    <col min="3585" max="3585" width="1.28515625" style="39" customWidth="1"/>
    <col min="3586" max="3586" width="58.85546875" style="39" customWidth="1"/>
    <col min="3587" max="3588" width="11.42578125" style="39"/>
    <col min="3589" max="3589" width="2.140625" style="39" customWidth="1"/>
    <col min="3590" max="3590" width="11.42578125" style="39"/>
    <col min="3591" max="3591" width="9.5703125" style="39" customWidth="1"/>
    <col min="3592" max="3837" width="11.42578125" style="39"/>
    <col min="3838" max="3838" width="0.140625" style="39" customWidth="1"/>
    <col min="3839" max="3839" width="2.7109375" style="39" customWidth="1"/>
    <col min="3840" max="3840" width="18.5703125" style="39" customWidth="1"/>
    <col min="3841" max="3841" width="1.28515625" style="39" customWidth="1"/>
    <col min="3842" max="3842" width="58.85546875" style="39" customWidth="1"/>
    <col min="3843" max="3844" width="11.42578125" style="39"/>
    <col min="3845" max="3845" width="2.140625" style="39" customWidth="1"/>
    <col min="3846" max="3846" width="11.42578125" style="39"/>
    <col min="3847" max="3847" width="9.5703125" style="39" customWidth="1"/>
    <col min="3848" max="4093" width="11.42578125" style="39"/>
    <col min="4094" max="4094" width="0.140625" style="39" customWidth="1"/>
    <col min="4095" max="4095" width="2.7109375" style="39" customWidth="1"/>
    <col min="4096" max="4096" width="18.5703125" style="39" customWidth="1"/>
    <col min="4097" max="4097" width="1.28515625" style="39" customWidth="1"/>
    <col min="4098" max="4098" width="58.85546875" style="39" customWidth="1"/>
    <col min="4099" max="4100" width="11.42578125" style="39"/>
    <col min="4101" max="4101" width="2.140625" style="39" customWidth="1"/>
    <col min="4102" max="4102" width="11.42578125" style="39"/>
    <col min="4103" max="4103" width="9.5703125" style="39" customWidth="1"/>
    <col min="4104" max="4349" width="11.42578125" style="39"/>
    <col min="4350" max="4350" width="0.140625" style="39" customWidth="1"/>
    <col min="4351" max="4351" width="2.7109375" style="39" customWidth="1"/>
    <col min="4352" max="4352" width="18.5703125" style="39" customWidth="1"/>
    <col min="4353" max="4353" width="1.28515625" style="39" customWidth="1"/>
    <col min="4354" max="4354" width="58.85546875" style="39" customWidth="1"/>
    <col min="4355" max="4356" width="11.42578125" style="39"/>
    <col min="4357" max="4357" width="2.140625" style="39" customWidth="1"/>
    <col min="4358" max="4358" width="11.42578125" style="39"/>
    <col min="4359" max="4359" width="9.5703125" style="39" customWidth="1"/>
    <col min="4360" max="4605" width="11.42578125" style="39"/>
    <col min="4606" max="4606" width="0.140625" style="39" customWidth="1"/>
    <col min="4607" max="4607" width="2.7109375" style="39" customWidth="1"/>
    <col min="4608" max="4608" width="18.5703125" style="39" customWidth="1"/>
    <col min="4609" max="4609" width="1.28515625" style="39" customWidth="1"/>
    <col min="4610" max="4610" width="58.85546875" style="39" customWidth="1"/>
    <col min="4611" max="4612" width="11.42578125" style="39"/>
    <col min="4613" max="4613" width="2.140625" style="39" customWidth="1"/>
    <col min="4614" max="4614" width="11.42578125" style="39"/>
    <col min="4615" max="4615" width="9.5703125" style="39" customWidth="1"/>
    <col min="4616" max="4861" width="11.42578125" style="39"/>
    <col min="4862" max="4862" width="0.140625" style="39" customWidth="1"/>
    <col min="4863" max="4863" width="2.7109375" style="39" customWidth="1"/>
    <col min="4864" max="4864" width="18.5703125" style="39" customWidth="1"/>
    <col min="4865" max="4865" width="1.28515625" style="39" customWidth="1"/>
    <col min="4866" max="4866" width="58.85546875" style="39" customWidth="1"/>
    <col min="4867" max="4868" width="11.42578125" style="39"/>
    <col min="4869" max="4869" width="2.140625" style="39" customWidth="1"/>
    <col min="4870" max="4870" width="11.42578125" style="39"/>
    <col min="4871" max="4871" width="9.5703125" style="39" customWidth="1"/>
    <col min="4872" max="5117" width="11.42578125" style="39"/>
    <col min="5118" max="5118" width="0.140625" style="39" customWidth="1"/>
    <col min="5119" max="5119" width="2.7109375" style="39" customWidth="1"/>
    <col min="5120" max="5120" width="18.5703125" style="39" customWidth="1"/>
    <col min="5121" max="5121" width="1.28515625" style="39" customWidth="1"/>
    <col min="5122" max="5122" width="58.85546875" style="39" customWidth="1"/>
    <col min="5123" max="5124" width="11.42578125" style="39"/>
    <col min="5125" max="5125" width="2.140625" style="39" customWidth="1"/>
    <col min="5126" max="5126" width="11.42578125" style="39"/>
    <col min="5127" max="5127" width="9.5703125" style="39" customWidth="1"/>
    <col min="5128" max="5373" width="11.42578125" style="39"/>
    <col min="5374" max="5374" width="0.140625" style="39" customWidth="1"/>
    <col min="5375" max="5375" width="2.7109375" style="39" customWidth="1"/>
    <col min="5376" max="5376" width="18.5703125" style="39" customWidth="1"/>
    <col min="5377" max="5377" width="1.28515625" style="39" customWidth="1"/>
    <col min="5378" max="5378" width="58.85546875" style="39" customWidth="1"/>
    <col min="5379" max="5380" width="11.42578125" style="39"/>
    <col min="5381" max="5381" width="2.140625" style="39" customWidth="1"/>
    <col min="5382" max="5382" width="11.42578125" style="39"/>
    <col min="5383" max="5383" width="9.5703125" style="39" customWidth="1"/>
    <col min="5384" max="5629" width="11.42578125" style="39"/>
    <col min="5630" max="5630" width="0.140625" style="39" customWidth="1"/>
    <col min="5631" max="5631" width="2.7109375" style="39" customWidth="1"/>
    <col min="5632" max="5632" width="18.5703125" style="39" customWidth="1"/>
    <col min="5633" max="5633" width="1.28515625" style="39" customWidth="1"/>
    <col min="5634" max="5634" width="58.85546875" style="39" customWidth="1"/>
    <col min="5635" max="5636" width="11.42578125" style="39"/>
    <col min="5637" max="5637" width="2.140625" style="39" customWidth="1"/>
    <col min="5638" max="5638" width="11.42578125" style="39"/>
    <col min="5639" max="5639" width="9.5703125" style="39" customWidth="1"/>
    <col min="5640" max="5885" width="11.42578125" style="39"/>
    <col min="5886" max="5886" width="0.140625" style="39" customWidth="1"/>
    <col min="5887" max="5887" width="2.7109375" style="39" customWidth="1"/>
    <col min="5888" max="5888" width="18.5703125" style="39" customWidth="1"/>
    <col min="5889" max="5889" width="1.28515625" style="39" customWidth="1"/>
    <col min="5890" max="5890" width="58.85546875" style="39" customWidth="1"/>
    <col min="5891" max="5892" width="11.42578125" style="39"/>
    <col min="5893" max="5893" width="2.140625" style="39" customWidth="1"/>
    <col min="5894" max="5894" width="11.42578125" style="39"/>
    <col min="5895" max="5895" width="9.5703125" style="39" customWidth="1"/>
    <col min="5896" max="6141" width="11.42578125" style="39"/>
    <col min="6142" max="6142" width="0.140625" style="39" customWidth="1"/>
    <col min="6143" max="6143" width="2.7109375" style="39" customWidth="1"/>
    <col min="6144" max="6144" width="18.5703125" style="39" customWidth="1"/>
    <col min="6145" max="6145" width="1.28515625" style="39" customWidth="1"/>
    <col min="6146" max="6146" width="58.85546875" style="39" customWidth="1"/>
    <col min="6147" max="6148" width="11.42578125" style="39"/>
    <col min="6149" max="6149" width="2.140625" style="39" customWidth="1"/>
    <col min="6150" max="6150" width="11.42578125" style="39"/>
    <col min="6151" max="6151" width="9.5703125" style="39" customWidth="1"/>
    <col min="6152" max="6397" width="11.42578125" style="39"/>
    <col min="6398" max="6398" width="0.140625" style="39" customWidth="1"/>
    <col min="6399" max="6399" width="2.7109375" style="39" customWidth="1"/>
    <col min="6400" max="6400" width="18.5703125" style="39" customWidth="1"/>
    <col min="6401" max="6401" width="1.28515625" style="39" customWidth="1"/>
    <col min="6402" max="6402" width="58.85546875" style="39" customWidth="1"/>
    <col min="6403" max="6404" width="11.42578125" style="39"/>
    <col min="6405" max="6405" width="2.140625" style="39" customWidth="1"/>
    <col min="6406" max="6406" width="11.42578125" style="39"/>
    <col min="6407" max="6407" width="9.5703125" style="39" customWidth="1"/>
    <col min="6408" max="6653" width="11.42578125" style="39"/>
    <col min="6654" max="6654" width="0.140625" style="39" customWidth="1"/>
    <col min="6655" max="6655" width="2.7109375" style="39" customWidth="1"/>
    <col min="6656" max="6656" width="18.5703125" style="39" customWidth="1"/>
    <col min="6657" max="6657" width="1.28515625" style="39" customWidth="1"/>
    <col min="6658" max="6658" width="58.85546875" style="39" customWidth="1"/>
    <col min="6659" max="6660" width="11.42578125" style="39"/>
    <col min="6661" max="6661" width="2.140625" style="39" customWidth="1"/>
    <col min="6662" max="6662" width="11.42578125" style="39"/>
    <col min="6663" max="6663" width="9.5703125" style="39" customWidth="1"/>
    <col min="6664" max="6909" width="11.42578125" style="39"/>
    <col min="6910" max="6910" width="0.140625" style="39" customWidth="1"/>
    <col min="6911" max="6911" width="2.7109375" style="39" customWidth="1"/>
    <col min="6912" max="6912" width="18.5703125" style="39" customWidth="1"/>
    <col min="6913" max="6913" width="1.28515625" style="39" customWidth="1"/>
    <col min="6914" max="6914" width="58.85546875" style="39" customWidth="1"/>
    <col min="6915" max="6916" width="11.42578125" style="39"/>
    <col min="6917" max="6917" width="2.140625" style="39" customWidth="1"/>
    <col min="6918" max="6918" width="11.42578125" style="39"/>
    <col min="6919" max="6919" width="9.5703125" style="39" customWidth="1"/>
    <col min="6920" max="7165" width="11.42578125" style="39"/>
    <col min="7166" max="7166" width="0.140625" style="39" customWidth="1"/>
    <col min="7167" max="7167" width="2.7109375" style="39" customWidth="1"/>
    <col min="7168" max="7168" width="18.5703125" style="39" customWidth="1"/>
    <col min="7169" max="7169" width="1.28515625" style="39" customWidth="1"/>
    <col min="7170" max="7170" width="58.85546875" style="39" customWidth="1"/>
    <col min="7171" max="7172" width="11.42578125" style="39"/>
    <col min="7173" max="7173" width="2.140625" style="39" customWidth="1"/>
    <col min="7174" max="7174" width="11.42578125" style="39"/>
    <col min="7175" max="7175" width="9.5703125" style="39" customWidth="1"/>
    <col min="7176" max="7421" width="11.42578125" style="39"/>
    <col min="7422" max="7422" width="0.140625" style="39" customWidth="1"/>
    <col min="7423" max="7423" width="2.7109375" style="39" customWidth="1"/>
    <col min="7424" max="7424" width="18.5703125" style="39" customWidth="1"/>
    <col min="7425" max="7425" width="1.28515625" style="39" customWidth="1"/>
    <col min="7426" max="7426" width="58.85546875" style="39" customWidth="1"/>
    <col min="7427" max="7428" width="11.42578125" style="39"/>
    <col min="7429" max="7429" width="2.140625" style="39" customWidth="1"/>
    <col min="7430" max="7430" width="11.42578125" style="39"/>
    <col min="7431" max="7431" width="9.5703125" style="39" customWidth="1"/>
    <col min="7432" max="7677" width="11.42578125" style="39"/>
    <col min="7678" max="7678" width="0.140625" style="39" customWidth="1"/>
    <col min="7679" max="7679" width="2.7109375" style="39" customWidth="1"/>
    <col min="7680" max="7680" width="18.5703125" style="39" customWidth="1"/>
    <col min="7681" max="7681" width="1.28515625" style="39" customWidth="1"/>
    <col min="7682" max="7682" width="58.85546875" style="39" customWidth="1"/>
    <col min="7683" max="7684" width="11.42578125" style="39"/>
    <col min="7685" max="7685" width="2.140625" style="39" customWidth="1"/>
    <col min="7686" max="7686" width="11.42578125" style="39"/>
    <col min="7687" max="7687" width="9.5703125" style="39" customWidth="1"/>
    <col min="7688" max="7933" width="11.42578125" style="39"/>
    <col min="7934" max="7934" width="0.140625" style="39" customWidth="1"/>
    <col min="7935" max="7935" width="2.7109375" style="39" customWidth="1"/>
    <col min="7936" max="7936" width="18.5703125" style="39" customWidth="1"/>
    <col min="7937" max="7937" width="1.28515625" style="39" customWidth="1"/>
    <col min="7938" max="7938" width="58.85546875" style="39" customWidth="1"/>
    <col min="7939" max="7940" width="11.42578125" style="39"/>
    <col min="7941" max="7941" width="2.140625" style="39" customWidth="1"/>
    <col min="7942" max="7942" width="11.42578125" style="39"/>
    <col min="7943" max="7943" width="9.5703125" style="39" customWidth="1"/>
    <col min="7944" max="8189" width="11.42578125" style="39"/>
    <col min="8190" max="8190" width="0.140625" style="39" customWidth="1"/>
    <col min="8191" max="8191" width="2.7109375" style="39" customWidth="1"/>
    <col min="8192" max="8192" width="18.5703125" style="39" customWidth="1"/>
    <col min="8193" max="8193" width="1.28515625" style="39" customWidth="1"/>
    <col min="8194" max="8194" width="58.85546875" style="39" customWidth="1"/>
    <col min="8195" max="8196" width="11.42578125" style="39"/>
    <col min="8197" max="8197" width="2.140625" style="39" customWidth="1"/>
    <col min="8198" max="8198" width="11.42578125" style="39"/>
    <col min="8199" max="8199" width="9.5703125" style="39" customWidth="1"/>
    <col min="8200" max="8445" width="11.42578125" style="39"/>
    <col min="8446" max="8446" width="0.140625" style="39" customWidth="1"/>
    <col min="8447" max="8447" width="2.7109375" style="39" customWidth="1"/>
    <col min="8448" max="8448" width="18.5703125" style="39" customWidth="1"/>
    <col min="8449" max="8449" width="1.28515625" style="39" customWidth="1"/>
    <col min="8450" max="8450" width="58.85546875" style="39" customWidth="1"/>
    <col min="8451" max="8452" width="11.42578125" style="39"/>
    <col min="8453" max="8453" width="2.140625" style="39" customWidth="1"/>
    <col min="8454" max="8454" width="11.42578125" style="39"/>
    <col min="8455" max="8455" width="9.5703125" style="39" customWidth="1"/>
    <col min="8456" max="8701" width="11.42578125" style="39"/>
    <col min="8702" max="8702" width="0.140625" style="39" customWidth="1"/>
    <col min="8703" max="8703" width="2.7109375" style="39" customWidth="1"/>
    <col min="8704" max="8704" width="18.5703125" style="39" customWidth="1"/>
    <col min="8705" max="8705" width="1.28515625" style="39" customWidth="1"/>
    <col min="8706" max="8706" width="58.85546875" style="39" customWidth="1"/>
    <col min="8707" max="8708" width="11.42578125" style="39"/>
    <col min="8709" max="8709" width="2.140625" style="39" customWidth="1"/>
    <col min="8710" max="8710" width="11.42578125" style="39"/>
    <col min="8711" max="8711" width="9.5703125" style="39" customWidth="1"/>
    <col min="8712" max="8957" width="11.42578125" style="39"/>
    <col min="8958" max="8958" width="0.140625" style="39" customWidth="1"/>
    <col min="8959" max="8959" width="2.7109375" style="39" customWidth="1"/>
    <col min="8960" max="8960" width="18.5703125" style="39" customWidth="1"/>
    <col min="8961" max="8961" width="1.28515625" style="39" customWidth="1"/>
    <col min="8962" max="8962" width="58.85546875" style="39" customWidth="1"/>
    <col min="8963" max="8964" width="11.42578125" style="39"/>
    <col min="8965" max="8965" width="2.140625" style="39" customWidth="1"/>
    <col min="8966" max="8966" width="11.42578125" style="39"/>
    <col min="8967" max="8967" width="9.5703125" style="39" customWidth="1"/>
    <col min="8968" max="9213" width="11.42578125" style="39"/>
    <col min="9214" max="9214" width="0.140625" style="39" customWidth="1"/>
    <col min="9215" max="9215" width="2.7109375" style="39" customWidth="1"/>
    <col min="9216" max="9216" width="18.5703125" style="39" customWidth="1"/>
    <col min="9217" max="9217" width="1.28515625" style="39" customWidth="1"/>
    <col min="9218" max="9218" width="58.85546875" style="39" customWidth="1"/>
    <col min="9219" max="9220" width="11.42578125" style="39"/>
    <col min="9221" max="9221" width="2.140625" style="39" customWidth="1"/>
    <col min="9222" max="9222" width="11.42578125" style="39"/>
    <col min="9223" max="9223" width="9.5703125" style="39" customWidth="1"/>
    <col min="9224" max="9469" width="11.42578125" style="39"/>
    <col min="9470" max="9470" width="0.140625" style="39" customWidth="1"/>
    <col min="9471" max="9471" width="2.7109375" style="39" customWidth="1"/>
    <col min="9472" max="9472" width="18.5703125" style="39" customWidth="1"/>
    <col min="9473" max="9473" width="1.28515625" style="39" customWidth="1"/>
    <col min="9474" max="9474" width="58.85546875" style="39" customWidth="1"/>
    <col min="9475" max="9476" width="11.42578125" style="39"/>
    <col min="9477" max="9477" width="2.140625" style="39" customWidth="1"/>
    <col min="9478" max="9478" width="11.42578125" style="39"/>
    <col min="9479" max="9479" width="9.5703125" style="39" customWidth="1"/>
    <col min="9480" max="9725" width="11.42578125" style="39"/>
    <col min="9726" max="9726" width="0.140625" style="39" customWidth="1"/>
    <col min="9727" max="9727" width="2.7109375" style="39" customWidth="1"/>
    <col min="9728" max="9728" width="18.5703125" style="39" customWidth="1"/>
    <col min="9729" max="9729" width="1.28515625" style="39" customWidth="1"/>
    <col min="9730" max="9730" width="58.85546875" style="39" customWidth="1"/>
    <col min="9731" max="9732" width="11.42578125" style="39"/>
    <col min="9733" max="9733" width="2.140625" style="39" customWidth="1"/>
    <col min="9734" max="9734" width="11.42578125" style="39"/>
    <col min="9735" max="9735" width="9.5703125" style="39" customWidth="1"/>
    <col min="9736" max="9981" width="11.42578125" style="39"/>
    <col min="9982" max="9982" width="0.140625" style="39" customWidth="1"/>
    <col min="9983" max="9983" width="2.7109375" style="39" customWidth="1"/>
    <col min="9984" max="9984" width="18.5703125" style="39" customWidth="1"/>
    <col min="9985" max="9985" width="1.28515625" style="39" customWidth="1"/>
    <col min="9986" max="9986" width="58.85546875" style="39" customWidth="1"/>
    <col min="9987" max="9988" width="11.42578125" style="39"/>
    <col min="9989" max="9989" width="2.140625" style="39" customWidth="1"/>
    <col min="9990" max="9990" width="11.42578125" style="39"/>
    <col min="9991" max="9991" width="9.5703125" style="39" customWidth="1"/>
    <col min="9992" max="10237" width="11.42578125" style="39"/>
    <col min="10238" max="10238" width="0.140625" style="39" customWidth="1"/>
    <col min="10239" max="10239" width="2.7109375" style="39" customWidth="1"/>
    <col min="10240" max="10240" width="18.5703125" style="39" customWidth="1"/>
    <col min="10241" max="10241" width="1.28515625" style="39" customWidth="1"/>
    <col min="10242" max="10242" width="58.85546875" style="39" customWidth="1"/>
    <col min="10243" max="10244" width="11.42578125" style="39"/>
    <col min="10245" max="10245" width="2.140625" style="39" customWidth="1"/>
    <col min="10246" max="10246" width="11.42578125" style="39"/>
    <col min="10247" max="10247" width="9.5703125" style="39" customWidth="1"/>
    <col min="10248" max="10493" width="11.42578125" style="39"/>
    <col min="10494" max="10494" width="0.140625" style="39" customWidth="1"/>
    <col min="10495" max="10495" width="2.7109375" style="39" customWidth="1"/>
    <col min="10496" max="10496" width="18.5703125" style="39" customWidth="1"/>
    <col min="10497" max="10497" width="1.28515625" style="39" customWidth="1"/>
    <col min="10498" max="10498" width="58.85546875" style="39" customWidth="1"/>
    <col min="10499" max="10500" width="11.42578125" style="39"/>
    <col min="10501" max="10501" width="2.140625" style="39" customWidth="1"/>
    <col min="10502" max="10502" width="11.42578125" style="39"/>
    <col min="10503" max="10503" width="9.5703125" style="39" customWidth="1"/>
    <col min="10504" max="10749" width="11.42578125" style="39"/>
    <col min="10750" max="10750" width="0.140625" style="39" customWidth="1"/>
    <col min="10751" max="10751" width="2.7109375" style="39" customWidth="1"/>
    <col min="10752" max="10752" width="18.5703125" style="39" customWidth="1"/>
    <col min="10753" max="10753" width="1.28515625" style="39" customWidth="1"/>
    <col min="10754" max="10754" width="58.85546875" style="39" customWidth="1"/>
    <col min="10755" max="10756" width="11.42578125" style="39"/>
    <col min="10757" max="10757" width="2.140625" style="39" customWidth="1"/>
    <col min="10758" max="10758" width="11.42578125" style="39"/>
    <col min="10759" max="10759" width="9.5703125" style="39" customWidth="1"/>
    <col min="10760" max="11005" width="11.42578125" style="39"/>
    <col min="11006" max="11006" width="0.140625" style="39" customWidth="1"/>
    <col min="11007" max="11007" width="2.7109375" style="39" customWidth="1"/>
    <col min="11008" max="11008" width="18.5703125" style="39" customWidth="1"/>
    <col min="11009" max="11009" width="1.28515625" style="39" customWidth="1"/>
    <col min="11010" max="11010" width="58.85546875" style="39" customWidth="1"/>
    <col min="11011" max="11012" width="11.42578125" style="39"/>
    <col min="11013" max="11013" width="2.140625" style="39" customWidth="1"/>
    <col min="11014" max="11014" width="11.42578125" style="39"/>
    <col min="11015" max="11015" width="9.5703125" style="39" customWidth="1"/>
    <col min="11016" max="11261" width="11.42578125" style="39"/>
    <col min="11262" max="11262" width="0.140625" style="39" customWidth="1"/>
    <col min="11263" max="11263" width="2.7109375" style="39" customWidth="1"/>
    <col min="11264" max="11264" width="18.5703125" style="39" customWidth="1"/>
    <col min="11265" max="11265" width="1.28515625" style="39" customWidth="1"/>
    <col min="11266" max="11266" width="58.85546875" style="39" customWidth="1"/>
    <col min="11267" max="11268" width="11.42578125" style="39"/>
    <col min="11269" max="11269" width="2.140625" style="39" customWidth="1"/>
    <col min="11270" max="11270" width="11.42578125" style="39"/>
    <col min="11271" max="11271" width="9.5703125" style="39" customWidth="1"/>
    <col min="11272" max="11517" width="11.42578125" style="39"/>
    <col min="11518" max="11518" width="0.140625" style="39" customWidth="1"/>
    <col min="11519" max="11519" width="2.7109375" style="39" customWidth="1"/>
    <col min="11520" max="11520" width="18.5703125" style="39" customWidth="1"/>
    <col min="11521" max="11521" width="1.28515625" style="39" customWidth="1"/>
    <col min="11522" max="11522" width="58.85546875" style="39" customWidth="1"/>
    <col min="11523" max="11524" width="11.42578125" style="39"/>
    <col min="11525" max="11525" width="2.140625" style="39" customWidth="1"/>
    <col min="11526" max="11526" width="11.42578125" style="39"/>
    <col min="11527" max="11527" width="9.5703125" style="39" customWidth="1"/>
    <col min="11528" max="11773" width="11.42578125" style="39"/>
    <col min="11774" max="11774" width="0.140625" style="39" customWidth="1"/>
    <col min="11775" max="11775" width="2.7109375" style="39" customWidth="1"/>
    <col min="11776" max="11776" width="18.5703125" style="39" customWidth="1"/>
    <col min="11777" max="11777" width="1.28515625" style="39" customWidth="1"/>
    <col min="11778" max="11778" width="58.85546875" style="39" customWidth="1"/>
    <col min="11779" max="11780" width="11.42578125" style="39"/>
    <col min="11781" max="11781" width="2.140625" style="39" customWidth="1"/>
    <col min="11782" max="11782" width="11.42578125" style="39"/>
    <col min="11783" max="11783" width="9.5703125" style="39" customWidth="1"/>
    <col min="11784" max="12029" width="11.42578125" style="39"/>
    <col min="12030" max="12030" width="0.140625" style="39" customWidth="1"/>
    <col min="12031" max="12031" width="2.7109375" style="39" customWidth="1"/>
    <col min="12032" max="12032" width="18.5703125" style="39" customWidth="1"/>
    <col min="12033" max="12033" width="1.28515625" style="39" customWidth="1"/>
    <col min="12034" max="12034" width="58.85546875" style="39" customWidth="1"/>
    <col min="12035" max="12036" width="11.42578125" style="39"/>
    <col min="12037" max="12037" width="2.140625" style="39" customWidth="1"/>
    <col min="12038" max="12038" width="11.42578125" style="39"/>
    <col min="12039" max="12039" width="9.5703125" style="39" customWidth="1"/>
    <col min="12040" max="12285" width="11.42578125" style="39"/>
    <col min="12286" max="12286" width="0.140625" style="39" customWidth="1"/>
    <col min="12287" max="12287" width="2.7109375" style="39" customWidth="1"/>
    <col min="12288" max="12288" width="18.5703125" style="39" customWidth="1"/>
    <col min="12289" max="12289" width="1.28515625" style="39" customWidth="1"/>
    <col min="12290" max="12290" width="58.85546875" style="39" customWidth="1"/>
    <col min="12291" max="12292" width="11.42578125" style="39"/>
    <col min="12293" max="12293" width="2.140625" style="39" customWidth="1"/>
    <col min="12294" max="12294" width="11.42578125" style="39"/>
    <col min="12295" max="12295" width="9.5703125" style="39" customWidth="1"/>
    <col min="12296" max="12541" width="11.42578125" style="39"/>
    <col min="12542" max="12542" width="0.140625" style="39" customWidth="1"/>
    <col min="12543" max="12543" width="2.7109375" style="39" customWidth="1"/>
    <col min="12544" max="12544" width="18.5703125" style="39" customWidth="1"/>
    <col min="12545" max="12545" width="1.28515625" style="39" customWidth="1"/>
    <col min="12546" max="12546" width="58.85546875" style="39" customWidth="1"/>
    <col min="12547" max="12548" width="11.42578125" style="39"/>
    <col min="12549" max="12549" width="2.140625" style="39" customWidth="1"/>
    <col min="12550" max="12550" width="11.42578125" style="39"/>
    <col min="12551" max="12551" width="9.5703125" style="39" customWidth="1"/>
    <col min="12552" max="12797" width="11.42578125" style="39"/>
    <col min="12798" max="12798" width="0.140625" style="39" customWidth="1"/>
    <col min="12799" max="12799" width="2.7109375" style="39" customWidth="1"/>
    <col min="12800" max="12800" width="18.5703125" style="39" customWidth="1"/>
    <col min="12801" max="12801" width="1.28515625" style="39" customWidth="1"/>
    <col min="12802" max="12802" width="58.85546875" style="39" customWidth="1"/>
    <col min="12803" max="12804" width="11.42578125" style="39"/>
    <col min="12805" max="12805" width="2.140625" style="39" customWidth="1"/>
    <col min="12806" max="12806" width="11.42578125" style="39"/>
    <col min="12807" max="12807" width="9.5703125" style="39" customWidth="1"/>
    <col min="12808" max="13053" width="11.42578125" style="39"/>
    <col min="13054" max="13054" width="0.140625" style="39" customWidth="1"/>
    <col min="13055" max="13055" width="2.7109375" style="39" customWidth="1"/>
    <col min="13056" max="13056" width="18.5703125" style="39" customWidth="1"/>
    <col min="13057" max="13057" width="1.28515625" style="39" customWidth="1"/>
    <col min="13058" max="13058" width="58.85546875" style="39" customWidth="1"/>
    <col min="13059" max="13060" width="11.42578125" style="39"/>
    <col min="13061" max="13061" width="2.140625" style="39" customWidth="1"/>
    <col min="13062" max="13062" width="11.42578125" style="39"/>
    <col min="13063" max="13063" width="9.5703125" style="39" customWidth="1"/>
    <col min="13064" max="13309" width="11.42578125" style="39"/>
    <col min="13310" max="13310" width="0.140625" style="39" customWidth="1"/>
    <col min="13311" max="13311" width="2.7109375" style="39" customWidth="1"/>
    <col min="13312" max="13312" width="18.5703125" style="39" customWidth="1"/>
    <col min="13313" max="13313" width="1.28515625" style="39" customWidth="1"/>
    <col min="13314" max="13314" width="58.85546875" style="39" customWidth="1"/>
    <col min="13315" max="13316" width="11.42578125" style="39"/>
    <col min="13317" max="13317" width="2.140625" style="39" customWidth="1"/>
    <col min="13318" max="13318" width="11.42578125" style="39"/>
    <col min="13319" max="13319" width="9.5703125" style="39" customWidth="1"/>
    <col min="13320" max="13565" width="11.42578125" style="39"/>
    <col min="13566" max="13566" width="0.140625" style="39" customWidth="1"/>
    <col min="13567" max="13567" width="2.7109375" style="39" customWidth="1"/>
    <col min="13568" max="13568" width="18.5703125" style="39" customWidth="1"/>
    <col min="13569" max="13569" width="1.28515625" style="39" customWidth="1"/>
    <col min="13570" max="13570" width="58.85546875" style="39" customWidth="1"/>
    <col min="13571" max="13572" width="11.42578125" style="39"/>
    <col min="13573" max="13573" width="2.140625" style="39" customWidth="1"/>
    <col min="13574" max="13574" width="11.42578125" style="39"/>
    <col min="13575" max="13575" width="9.5703125" style="39" customWidth="1"/>
    <col min="13576" max="13821" width="11.42578125" style="39"/>
    <col min="13822" max="13822" width="0.140625" style="39" customWidth="1"/>
    <col min="13823" max="13823" width="2.7109375" style="39" customWidth="1"/>
    <col min="13824" max="13824" width="18.5703125" style="39" customWidth="1"/>
    <col min="13825" max="13825" width="1.28515625" style="39" customWidth="1"/>
    <col min="13826" max="13826" width="58.85546875" style="39" customWidth="1"/>
    <col min="13827" max="13828" width="11.42578125" style="39"/>
    <col min="13829" max="13829" width="2.140625" style="39" customWidth="1"/>
    <col min="13830" max="13830" width="11.42578125" style="39"/>
    <col min="13831" max="13831" width="9.5703125" style="39" customWidth="1"/>
    <col min="13832" max="14077" width="11.42578125" style="39"/>
    <col min="14078" max="14078" width="0.140625" style="39" customWidth="1"/>
    <col min="14079" max="14079" width="2.7109375" style="39" customWidth="1"/>
    <col min="14080" max="14080" width="18.5703125" style="39" customWidth="1"/>
    <col min="14081" max="14081" width="1.28515625" style="39" customWidth="1"/>
    <col min="14082" max="14082" width="58.85546875" style="39" customWidth="1"/>
    <col min="14083" max="14084" width="11.42578125" style="39"/>
    <col min="14085" max="14085" width="2.140625" style="39" customWidth="1"/>
    <col min="14086" max="14086" width="11.42578125" style="39"/>
    <col min="14087" max="14087" width="9.5703125" style="39" customWidth="1"/>
    <col min="14088" max="14333" width="11.42578125" style="39"/>
    <col min="14334" max="14334" width="0.140625" style="39" customWidth="1"/>
    <col min="14335" max="14335" width="2.7109375" style="39" customWidth="1"/>
    <col min="14336" max="14336" width="18.5703125" style="39" customWidth="1"/>
    <col min="14337" max="14337" width="1.28515625" style="39" customWidth="1"/>
    <col min="14338" max="14338" width="58.85546875" style="39" customWidth="1"/>
    <col min="14339" max="14340" width="11.42578125" style="39"/>
    <col min="14341" max="14341" width="2.140625" style="39" customWidth="1"/>
    <col min="14342" max="14342" width="11.42578125" style="39"/>
    <col min="14343" max="14343" width="9.5703125" style="39" customWidth="1"/>
    <col min="14344" max="14589" width="11.42578125" style="39"/>
    <col min="14590" max="14590" width="0.140625" style="39" customWidth="1"/>
    <col min="14591" max="14591" width="2.7109375" style="39" customWidth="1"/>
    <col min="14592" max="14592" width="18.5703125" style="39" customWidth="1"/>
    <col min="14593" max="14593" width="1.28515625" style="39" customWidth="1"/>
    <col min="14594" max="14594" width="58.85546875" style="39" customWidth="1"/>
    <col min="14595" max="14596" width="11.42578125" style="39"/>
    <col min="14597" max="14597" width="2.140625" style="39" customWidth="1"/>
    <col min="14598" max="14598" width="11.42578125" style="39"/>
    <col min="14599" max="14599" width="9.5703125" style="39" customWidth="1"/>
    <col min="14600" max="14845" width="11.42578125" style="39"/>
    <col min="14846" max="14846" width="0.140625" style="39" customWidth="1"/>
    <col min="14847" max="14847" width="2.7109375" style="39" customWidth="1"/>
    <col min="14848" max="14848" width="18.5703125" style="39" customWidth="1"/>
    <col min="14849" max="14849" width="1.28515625" style="39" customWidth="1"/>
    <col min="14850" max="14850" width="58.85546875" style="39" customWidth="1"/>
    <col min="14851" max="14852" width="11.42578125" style="39"/>
    <col min="14853" max="14853" width="2.140625" style="39" customWidth="1"/>
    <col min="14854" max="14854" width="11.42578125" style="39"/>
    <col min="14855" max="14855" width="9.5703125" style="39" customWidth="1"/>
    <col min="14856" max="15101" width="11.42578125" style="39"/>
    <col min="15102" max="15102" width="0.140625" style="39" customWidth="1"/>
    <col min="15103" max="15103" width="2.7109375" style="39" customWidth="1"/>
    <col min="15104" max="15104" width="18.5703125" style="39" customWidth="1"/>
    <col min="15105" max="15105" width="1.28515625" style="39" customWidth="1"/>
    <col min="15106" max="15106" width="58.85546875" style="39" customWidth="1"/>
    <col min="15107" max="15108" width="11.42578125" style="39"/>
    <col min="15109" max="15109" width="2.140625" style="39" customWidth="1"/>
    <col min="15110" max="15110" width="11.42578125" style="39"/>
    <col min="15111" max="15111" width="9.5703125" style="39" customWidth="1"/>
    <col min="15112" max="15357" width="11.42578125" style="39"/>
    <col min="15358" max="15358" width="0.140625" style="39" customWidth="1"/>
    <col min="15359" max="15359" width="2.7109375" style="39" customWidth="1"/>
    <col min="15360" max="15360" width="18.5703125" style="39" customWidth="1"/>
    <col min="15361" max="15361" width="1.28515625" style="39" customWidth="1"/>
    <col min="15362" max="15362" width="58.85546875" style="39" customWidth="1"/>
    <col min="15363" max="15364" width="11.42578125" style="39"/>
    <col min="15365" max="15365" width="2.140625" style="39" customWidth="1"/>
    <col min="15366" max="15366" width="11.42578125" style="39"/>
    <col min="15367" max="15367" width="9.5703125" style="39" customWidth="1"/>
    <col min="15368" max="15613" width="11.42578125" style="39"/>
    <col min="15614" max="15614" width="0.140625" style="39" customWidth="1"/>
    <col min="15615" max="15615" width="2.7109375" style="39" customWidth="1"/>
    <col min="15616" max="15616" width="18.5703125" style="39" customWidth="1"/>
    <col min="15617" max="15617" width="1.28515625" style="39" customWidth="1"/>
    <col min="15618" max="15618" width="58.85546875" style="39" customWidth="1"/>
    <col min="15619" max="15620" width="11.42578125" style="39"/>
    <col min="15621" max="15621" width="2.140625" style="39" customWidth="1"/>
    <col min="15622" max="15622" width="11.42578125" style="39"/>
    <col min="15623" max="15623" width="9.5703125" style="39" customWidth="1"/>
    <col min="15624" max="15869" width="11.42578125" style="39"/>
    <col min="15870" max="15870" width="0.140625" style="39" customWidth="1"/>
    <col min="15871" max="15871" width="2.7109375" style="39" customWidth="1"/>
    <col min="15872" max="15872" width="18.5703125" style="39" customWidth="1"/>
    <col min="15873" max="15873" width="1.28515625" style="39" customWidth="1"/>
    <col min="15874" max="15874" width="58.85546875" style="39" customWidth="1"/>
    <col min="15875" max="15876" width="11.42578125" style="39"/>
    <col min="15877" max="15877" width="2.140625" style="39" customWidth="1"/>
    <col min="15878" max="15878" width="11.42578125" style="39"/>
    <col min="15879" max="15879" width="9.5703125" style="39" customWidth="1"/>
    <col min="15880" max="16125" width="11.42578125" style="39"/>
    <col min="16126" max="16126" width="0.140625" style="39" customWidth="1"/>
    <col min="16127" max="16127" width="2.7109375" style="39" customWidth="1"/>
    <col min="16128" max="16128" width="18.5703125" style="39" customWidth="1"/>
    <col min="16129" max="16129" width="1.28515625" style="39" customWidth="1"/>
    <col min="16130" max="16130" width="58.85546875" style="39" customWidth="1"/>
    <col min="16131" max="16132" width="11.42578125" style="39"/>
    <col min="16133" max="16133" width="2.140625" style="39" customWidth="1"/>
    <col min="16134" max="16134" width="11.42578125" style="39"/>
    <col min="16135" max="16135" width="9.5703125" style="39" customWidth="1"/>
    <col min="16136" max="16384" width="11.42578125" style="39"/>
  </cols>
  <sheetData>
    <row r="1" spans="2:12" s="40" customFormat="1" ht="0.75" customHeight="1"/>
    <row r="2" spans="2:12" s="40" customFormat="1" ht="21" customHeight="1">
      <c r="E2" s="38" t="s">
        <v>24</v>
      </c>
    </row>
    <row r="3" spans="2:12" s="40" customFormat="1" ht="15" customHeight="1">
      <c r="E3" s="55" t="str">
        <f>Indice!E3</f>
        <v>Octubre 2018</v>
      </c>
    </row>
    <row r="4" spans="2:12" s="42" customFormat="1" ht="20.25" customHeight="1">
      <c r="B4" s="50"/>
      <c r="C4" s="36" t="s">
        <v>51</v>
      </c>
    </row>
    <row r="5" spans="2:12" s="42" customFormat="1" ht="12.75" customHeight="1">
      <c r="B5" s="50"/>
      <c r="C5" s="54"/>
    </row>
    <row r="6" spans="2:12" s="42" customFormat="1" ht="13.5" customHeight="1">
      <c r="B6" s="50"/>
      <c r="C6" s="49"/>
      <c r="D6" s="48"/>
      <c r="E6" s="48"/>
    </row>
    <row r="7" spans="2:12" s="42" customFormat="1" ht="12.75" customHeight="1">
      <c r="B7" s="50"/>
      <c r="C7" s="204" t="s">
        <v>36</v>
      </c>
      <c r="D7" s="48"/>
      <c r="E7" s="52"/>
    </row>
    <row r="8" spans="2:12" s="42" customFormat="1" ht="12.75" customHeight="1">
      <c r="B8" s="50"/>
      <c r="C8" s="204"/>
      <c r="D8" s="48"/>
      <c r="E8" s="52"/>
      <c r="J8" s="41"/>
      <c r="K8" s="41"/>
      <c r="L8" s="41"/>
    </row>
    <row r="9" spans="2:12" s="42" customFormat="1" ht="12.75" customHeight="1">
      <c r="B9" s="50"/>
      <c r="C9" s="53"/>
      <c r="D9" s="48"/>
      <c r="E9" s="52"/>
      <c r="J9" s="41"/>
      <c r="K9" s="93"/>
      <c r="L9" s="94"/>
    </row>
    <row r="10" spans="2:12" s="42" customFormat="1" ht="12.75" customHeight="1">
      <c r="B10" s="50"/>
      <c r="C10" s="43"/>
      <c r="D10" s="48"/>
      <c r="E10" s="52"/>
      <c r="J10" s="41"/>
      <c r="K10" s="95"/>
      <c r="L10" s="92"/>
    </row>
    <row r="11" spans="2:12" s="42" customFormat="1" ht="12.75" customHeight="1">
      <c r="B11" s="50"/>
      <c r="D11" s="48"/>
      <c r="E11" s="48"/>
      <c r="J11" s="41"/>
      <c r="K11" s="95"/>
      <c r="L11" s="92"/>
    </row>
    <row r="12" spans="2:12" s="42" customFormat="1" ht="12.75" customHeight="1">
      <c r="B12" s="50"/>
      <c r="C12" s="51"/>
      <c r="D12" s="48"/>
      <c r="E12" s="48"/>
      <c r="J12" s="41"/>
      <c r="K12" s="95"/>
      <c r="L12" s="92"/>
    </row>
    <row r="13" spans="2:12" s="42" customFormat="1" ht="12.75" customHeight="1">
      <c r="B13" s="50"/>
      <c r="C13" s="51"/>
      <c r="D13" s="48"/>
      <c r="E13" s="48"/>
      <c r="J13" s="41"/>
      <c r="K13" s="41"/>
      <c r="L13" s="41"/>
    </row>
    <row r="14" spans="2:12" s="42" customFormat="1" ht="12.75" customHeight="1">
      <c r="B14" s="50"/>
      <c r="C14" s="51"/>
      <c r="D14" s="48"/>
      <c r="E14" s="48"/>
    </row>
    <row r="15" spans="2:12" s="42" customFormat="1" ht="12.75" customHeight="1">
      <c r="B15" s="50"/>
      <c r="C15" s="51"/>
      <c r="D15" s="48"/>
      <c r="E15" s="48"/>
    </row>
    <row r="16" spans="2:12" s="42" customFormat="1" ht="12.75" customHeight="1">
      <c r="B16" s="50"/>
      <c r="D16" s="48"/>
      <c r="E16" s="48"/>
      <c r="J16" s="41"/>
      <c r="K16" s="41"/>
      <c r="L16" s="41"/>
    </row>
    <row r="17" spans="2:12" s="42" customFormat="1" ht="12.75" customHeight="1">
      <c r="B17" s="50"/>
      <c r="D17" s="48"/>
      <c r="E17" s="48"/>
      <c r="J17" s="41"/>
      <c r="K17" s="41"/>
      <c r="L17" s="41"/>
    </row>
    <row r="18" spans="2:12" s="42" customFormat="1" ht="12.75" customHeight="1">
      <c r="B18" s="50"/>
      <c r="D18" s="48"/>
      <c r="E18" s="48"/>
      <c r="J18" s="41"/>
      <c r="K18" s="41"/>
      <c r="L18" s="41"/>
    </row>
    <row r="19" spans="2:12" s="42" customFormat="1" ht="12.75" customHeight="1">
      <c r="B19" s="50"/>
      <c r="C19" s="51"/>
      <c r="D19" s="48"/>
      <c r="E19" s="48"/>
      <c r="J19" s="41"/>
      <c r="K19" s="41"/>
      <c r="L19" s="41"/>
    </row>
    <row r="20" spans="2:12" s="42" customFormat="1" ht="12.75" customHeight="1">
      <c r="B20" s="50"/>
      <c r="C20" s="49"/>
      <c r="D20" s="48"/>
      <c r="E20" s="48"/>
      <c r="J20" s="41"/>
      <c r="K20" s="41"/>
      <c r="L20" s="41"/>
    </row>
    <row r="21" spans="2:12" s="42" customFormat="1" ht="12.75" customHeight="1">
      <c r="B21" s="50"/>
      <c r="C21" s="49"/>
      <c r="D21" s="48"/>
      <c r="E21" s="48"/>
      <c r="J21" s="41"/>
      <c r="K21" s="41"/>
    </row>
    <row r="22" spans="2:12" s="42" customFormat="1" ht="12.75" customHeight="1">
      <c r="B22" s="50"/>
      <c r="C22" s="49"/>
      <c r="D22" s="48"/>
      <c r="E22" s="48"/>
      <c r="J22" s="41"/>
      <c r="K22" s="41"/>
    </row>
    <row r="23" spans="2:12">
      <c r="E23" s="47"/>
      <c r="J23" s="42"/>
      <c r="K23" s="42"/>
    </row>
    <row r="24" spans="2:12">
      <c r="C24" s="204" t="s">
        <v>33</v>
      </c>
      <c r="E24" s="46"/>
      <c r="J24" s="42"/>
      <c r="K24" s="42"/>
    </row>
    <row r="25" spans="2:12">
      <c r="C25" s="204"/>
      <c r="E25" s="45"/>
      <c r="J25" s="41"/>
      <c r="K25" s="41"/>
    </row>
    <row r="26" spans="2:12" ht="12.75" customHeight="1">
      <c r="J26" s="93"/>
      <c r="K26" s="94"/>
    </row>
    <row r="27" spans="2:12">
      <c r="J27" s="95"/>
      <c r="K27" s="92"/>
    </row>
    <row r="28" spans="2:12">
      <c r="C28" s="44"/>
      <c r="J28" s="95"/>
      <c r="K28" s="92"/>
    </row>
    <row r="29" spans="2:12">
      <c r="C29" s="43"/>
      <c r="J29" s="95"/>
      <c r="K29" s="92"/>
    </row>
    <row r="30" spans="2:12">
      <c r="J30" s="41"/>
      <c r="K30" s="41"/>
    </row>
    <row r="31" spans="2:12" ht="12.75" customHeight="1">
      <c r="J31" s="42"/>
      <c r="K31" s="42"/>
    </row>
    <row r="32" spans="2:12">
      <c r="J32" s="42"/>
      <c r="K32" s="42"/>
    </row>
    <row r="33" spans="10:11">
      <c r="J33" s="41"/>
      <c r="K33" s="41"/>
    </row>
    <row r="34" spans="10:11">
      <c r="J34" s="41"/>
      <c r="K34" s="41"/>
    </row>
    <row r="35" spans="10:11">
      <c r="J35" s="41"/>
      <c r="K35" s="41"/>
    </row>
    <row r="36" spans="10:11">
      <c r="J36" s="41"/>
      <c r="K36" s="41"/>
    </row>
    <row r="37" spans="10:11">
      <c r="J37" s="41"/>
      <c r="K37" s="41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T49"/>
  <sheetViews>
    <sheetView showGridLines="0" showRowColHeaders="0" zoomScaleNormal="100" workbookViewId="0">
      <selection activeCell="J27" sqref="J27"/>
    </sheetView>
  </sheetViews>
  <sheetFormatPr baseColWidth="10" defaultRowHeight="15"/>
  <cols>
    <col min="1" max="1" width="0.140625" style="60" customWidth="1"/>
    <col min="2" max="2" width="2.7109375" style="60" customWidth="1"/>
    <col min="3" max="3" width="23.7109375" style="60" customWidth="1"/>
    <col min="4" max="4" width="1.28515625" style="60" customWidth="1"/>
    <col min="5" max="5" width="105.7109375" style="60" customWidth="1"/>
    <col min="6" max="6" width="10.7109375" style="59" customWidth="1"/>
    <col min="7" max="7" width="21" style="59" bestFit="1" customWidth="1"/>
    <col min="8" max="244" width="11.42578125" style="59"/>
    <col min="245" max="245" width="0.140625" style="59" customWidth="1"/>
    <col min="246" max="246" width="2.7109375" style="59" customWidth="1"/>
    <col min="247" max="247" width="18.5703125" style="59" customWidth="1"/>
    <col min="248" max="248" width="1.28515625" style="59" customWidth="1"/>
    <col min="249" max="249" width="30.7109375" style="59" customWidth="1"/>
    <col min="250" max="254" width="10.7109375" style="59" customWidth="1"/>
    <col min="255" max="500" width="11.42578125" style="59"/>
    <col min="501" max="501" width="0.140625" style="59" customWidth="1"/>
    <col min="502" max="502" width="2.7109375" style="59" customWidth="1"/>
    <col min="503" max="503" width="18.5703125" style="59" customWidth="1"/>
    <col min="504" max="504" width="1.28515625" style="59" customWidth="1"/>
    <col min="505" max="505" width="30.7109375" style="59" customWidth="1"/>
    <col min="506" max="510" width="10.7109375" style="59" customWidth="1"/>
    <col min="511" max="756" width="11.42578125" style="59"/>
    <col min="757" max="757" width="0.140625" style="59" customWidth="1"/>
    <col min="758" max="758" width="2.7109375" style="59" customWidth="1"/>
    <col min="759" max="759" width="18.5703125" style="59" customWidth="1"/>
    <col min="760" max="760" width="1.28515625" style="59" customWidth="1"/>
    <col min="761" max="761" width="30.7109375" style="59" customWidth="1"/>
    <col min="762" max="766" width="10.7109375" style="59" customWidth="1"/>
    <col min="767" max="1012" width="11.42578125" style="59"/>
    <col min="1013" max="1013" width="0.140625" style="59" customWidth="1"/>
    <col min="1014" max="1014" width="2.7109375" style="59" customWidth="1"/>
    <col min="1015" max="1015" width="18.5703125" style="59" customWidth="1"/>
    <col min="1016" max="1016" width="1.28515625" style="59" customWidth="1"/>
    <col min="1017" max="1017" width="30.7109375" style="59" customWidth="1"/>
    <col min="1018" max="1022" width="10.7109375" style="59" customWidth="1"/>
    <col min="1023" max="1268" width="11.42578125" style="59"/>
    <col min="1269" max="1269" width="0.140625" style="59" customWidth="1"/>
    <col min="1270" max="1270" width="2.7109375" style="59" customWidth="1"/>
    <col min="1271" max="1271" width="18.5703125" style="59" customWidth="1"/>
    <col min="1272" max="1272" width="1.28515625" style="59" customWidth="1"/>
    <col min="1273" max="1273" width="30.7109375" style="59" customWidth="1"/>
    <col min="1274" max="1278" width="10.7109375" style="59" customWidth="1"/>
    <col min="1279" max="1524" width="11.42578125" style="59"/>
    <col min="1525" max="1525" width="0.140625" style="59" customWidth="1"/>
    <col min="1526" max="1526" width="2.7109375" style="59" customWidth="1"/>
    <col min="1527" max="1527" width="18.5703125" style="59" customWidth="1"/>
    <col min="1528" max="1528" width="1.28515625" style="59" customWidth="1"/>
    <col min="1529" max="1529" width="30.7109375" style="59" customWidth="1"/>
    <col min="1530" max="1534" width="10.7109375" style="59" customWidth="1"/>
    <col min="1535" max="1780" width="11.42578125" style="59"/>
    <col min="1781" max="1781" width="0.140625" style="59" customWidth="1"/>
    <col min="1782" max="1782" width="2.7109375" style="59" customWidth="1"/>
    <col min="1783" max="1783" width="18.5703125" style="59" customWidth="1"/>
    <col min="1784" max="1784" width="1.28515625" style="59" customWidth="1"/>
    <col min="1785" max="1785" width="30.7109375" style="59" customWidth="1"/>
    <col min="1786" max="1790" width="10.7109375" style="59" customWidth="1"/>
    <col min="1791" max="2036" width="11.42578125" style="59"/>
    <col min="2037" max="2037" width="0.140625" style="59" customWidth="1"/>
    <col min="2038" max="2038" width="2.7109375" style="59" customWidth="1"/>
    <col min="2039" max="2039" width="18.5703125" style="59" customWidth="1"/>
    <col min="2040" max="2040" width="1.28515625" style="59" customWidth="1"/>
    <col min="2041" max="2041" width="30.7109375" style="59" customWidth="1"/>
    <col min="2042" max="2046" width="10.7109375" style="59" customWidth="1"/>
    <col min="2047" max="2292" width="11.42578125" style="59"/>
    <col min="2293" max="2293" width="0.140625" style="59" customWidth="1"/>
    <col min="2294" max="2294" width="2.7109375" style="59" customWidth="1"/>
    <col min="2295" max="2295" width="18.5703125" style="59" customWidth="1"/>
    <col min="2296" max="2296" width="1.28515625" style="59" customWidth="1"/>
    <col min="2297" max="2297" width="30.7109375" style="59" customWidth="1"/>
    <col min="2298" max="2302" width="10.7109375" style="59" customWidth="1"/>
    <col min="2303" max="2548" width="11.42578125" style="59"/>
    <col min="2549" max="2549" width="0.140625" style="59" customWidth="1"/>
    <col min="2550" max="2550" width="2.7109375" style="59" customWidth="1"/>
    <col min="2551" max="2551" width="18.5703125" style="59" customWidth="1"/>
    <col min="2552" max="2552" width="1.28515625" style="59" customWidth="1"/>
    <col min="2553" max="2553" width="30.7109375" style="59" customWidth="1"/>
    <col min="2554" max="2558" width="10.7109375" style="59" customWidth="1"/>
    <col min="2559" max="2804" width="11.42578125" style="59"/>
    <col min="2805" max="2805" width="0.140625" style="59" customWidth="1"/>
    <col min="2806" max="2806" width="2.7109375" style="59" customWidth="1"/>
    <col min="2807" max="2807" width="18.5703125" style="59" customWidth="1"/>
    <col min="2808" max="2808" width="1.28515625" style="59" customWidth="1"/>
    <col min="2809" max="2809" width="30.7109375" style="59" customWidth="1"/>
    <col min="2810" max="2814" width="10.7109375" style="59" customWidth="1"/>
    <col min="2815" max="3060" width="11.42578125" style="59"/>
    <col min="3061" max="3061" width="0.140625" style="59" customWidth="1"/>
    <col min="3062" max="3062" width="2.7109375" style="59" customWidth="1"/>
    <col min="3063" max="3063" width="18.5703125" style="59" customWidth="1"/>
    <col min="3064" max="3064" width="1.28515625" style="59" customWidth="1"/>
    <col min="3065" max="3065" width="30.7109375" style="59" customWidth="1"/>
    <col min="3066" max="3070" width="10.7109375" style="59" customWidth="1"/>
    <col min="3071" max="3316" width="11.42578125" style="59"/>
    <col min="3317" max="3317" width="0.140625" style="59" customWidth="1"/>
    <col min="3318" max="3318" width="2.7109375" style="59" customWidth="1"/>
    <col min="3319" max="3319" width="18.5703125" style="59" customWidth="1"/>
    <col min="3320" max="3320" width="1.28515625" style="59" customWidth="1"/>
    <col min="3321" max="3321" width="30.7109375" style="59" customWidth="1"/>
    <col min="3322" max="3326" width="10.7109375" style="59" customWidth="1"/>
    <col min="3327" max="3572" width="11.42578125" style="59"/>
    <col min="3573" max="3573" width="0.140625" style="59" customWidth="1"/>
    <col min="3574" max="3574" width="2.7109375" style="59" customWidth="1"/>
    <col min="3575" max="3575" width="18.5703125" style="59" customWidth="1"/>
    <col min="3576" max="3576" width="1.28515625" style="59" customWidth="1"/>
    <col min="3577" max="3577" width="30.7109375" style="59" customWidth="1"/>
    <col min="3578" max="3582" width="10.7109375" style="59" customWidth="1"/>
    <col min="3583" max="3828" width="11.42578125" style="59"/>
    <col min="3829" max="3829" width="0.140625" style="59" customWidth="1"/>
    <col min="3830" max="3830" width="2.7109375" style="59" customWidth="1"/>
    <col min="3831" max="3831" width="18.5703125" style="59" customWidth="1"/>
    <col min="3832" max="3832" width="1.28515625" style="59" customWidth="1"/>
    <col min="3833" max="3833" width="30.7109375" style="59" customWidth="1"/>
    <col min="3834" max="3838" width="10.7109375" style="59" customWidth="1"/>
    <col min="3839" max="4084" width="11.42578125" style="59"/>
    <col min="4085" max="4085" width="0.140625" style="59" customWidth="1"/>
    <col min="4086" max="4086" width="2.7109375" style="59" customWidth="1"/>
    <col min="4087" max="4087" width="18.5703125" style="59" customWidth="1"/>
    <col min="4088" max="4088" width="1.28515625" style="59" customWidth="1"/>
    <col min="4089" max="4089" width="30.7109375" style="59" customWidth="1"/>
    <col min="4090" max="4094" width="10.7109375" style="59" customWidth="1"/>
    <col min="4095" max="4340" width="11.42578125" style="59"/>
    <col min="4341" max="4341" width="0.140625" style="59" customWidth="1"/>
    <col min="4342" max="4342" width="2.7109375" style="59" customWidth="1"/>
    <col min="4343" max="4343" width="18.5703125" style="59" customWidth="1"/>
    <col min="4344" max="4344" width="1.28515625" style="59" customWidth="1"/>
    <col min="4345" max="4345" width="30.7109375" style="59" customWidth="1"/>
    <col min="4346" max="4350" width="10.7109375" style="59" customWidth="1"/>
    <col min="4351" max="4596" width="11.42578125" style="59"/>
    <col min="4597" max="4597" width="0.140625" style="59" customWidth="1"/>
    <col min="4598" max="4598" width="2.7109375" style="59" customWidth="1"/>
    <col min="4599" max="4599" width="18.5703125" style="59" customWidth="1"/>
    <col min="4600" max="4600" width="1.28515625" style="59" customWidth="1"/>
    <col min="4601" max="4601" width="30.7109375" style="59" customWidth="1"/>
    <col min="4602" max="4606" width="10.7109375" style="59" customWidth="1"/>
    <col min="4607" max="4852" width="11.42578125" style="59"/>
    <col min="4853" max="4853" width="0.140625" style="59" customWidth="1"/>
    <col min="4854" max="4854" width="2.7109375" style="59" customWidth="1"/>
    <col min="4855" max="4855" width="18.5703125" style="59" customWidth="1"/>
    <col min="4856" max="4856" width="1.28515625" style="59" customWidth="1"/>
    <col min="4857" max="4857" width="30.7109375" style="59" customWidth="1"/>
    <col min="4858" max="4862" width="10.7109375" style="59" customWidth="1"/>
    <col min="4863" max="5108" width="11.42578125" style="59"/>
    <col min="5109" max="5109" width="0.140625" style="59" customWidth="1"/>
    <col min="5110" max="5110" width="2.7109375" style="59" customWidth="1"/>
    <col min="5111" max="5111" width="18.5703125" style="59" customWidth="1"/>
    <col min="5112" max="5112" width="1.28515625" style="59" customWidth="1"/>
    <col min="5113" max="5113" width="30.7109375" style="59" customWidth="1"/>
    <col min="5114" max="5118" width="10.7109375" style="59" customWidth="1"/>
    <col min="5119" max="5364" width="11.42578125" style="59"/>
    <col min="5365" max="5365" width="0.140625" style="59" customWidth="1"/>
    <col min="5366" max="5366" width="2.7109375" style="59" customWidth="1"/>
    <col min="5367" max="5367" width="18.5703125" style="59" customWidth="1"/>
    <col min="5368" max="5368" width="1.28515625" style="59" customWidth="1"/>
    <col min="5369" max="5369" width="30.7109375" style="59" customWidth="1"/>
    <col min="5370" max="5374" width="10.7109375" style="59" customWidth="1"/>
    <col min="5375" max="5620" width="11.42578125" style="59"/>
    <col min="5621" max="5621" width="0.140625" style="59" customWidth="1"/>
    <col min="5622" max="5622" width="2.7109375" style="59" customWidth="1"/>
    <col min="5623" max="5623" width="18.5703125" style="59" customWidth="1"/>
    <col min="5624" max="5624" width="1.28515625" style="59" customWidth="1"/>
    <col min="5625" max="5625" width="30.7109375" style="59" customWidth="1"/>
    <col min="5626" max="5630" width="10.7109375" style="59" customWidth="1"/>
    <col min="5631" max="5876" width="11.42578125" style="59"/>
    <col min="5877" max="5877" width="0.140625" style="59" customWidth="1"/>
    <col min="5878" max="5878" width="2.7109375" style="59" customWidth="1"/>
    <col min="5879" max="5879" width="18.5703125" style="59" customWidth="1"/>
    <col min="5880" max="5880" width="1.28515625" style="59" customWidth="1"/>
    <col min="5881" max="5881" width="30.7109375" style="59" customWidth="1"/>
    <col min="5882" max="5886" width="10.7109375" style="59" customWidth="1"/>
    <col min="5887" max="6132" width="11.42578125" style="59"/>
    <col min="6133" max="6133" width="0.140625" style="59" customWidth="1"/>
    <col min="6134" max="6134" width="2.7109375" style="59" customWidth="1"/>
    <col min="6135" max="6135" width="18.5703125" style="59" customWidth="1"/>
    <col min="6136" max="6136" width="1.28515625" style="59" customWidth="1"/>
    <col min="6137" max="6137" width="30.7109375" style="59" customWidth="1"/>
    <col min="6138" max="6142" width="10.7109375" style="59" customWidth="1"/>
    <col min="6143" max="6388" width="11.42578125" style="59"/>
    <col min="6389" max="6389" width="0.140625" style="59" customWidth="1"/>
    <col min="6390" max="6390" width="2.7109375" style="59" customWidth="1"/>
    <col min="6391" max="6391" width="18.5703125" style="59" customWidth="1"/>
    <col min="6392" max="6392" width="1.28515625" style="59" customWidth="1"/>
    <col min="6393" max="6393" width="30.7109375" style="59" customWidth="1"/>
    <col min="6394" max="6398" width="10.7109375" style="59" customWidth="1"/>
    <col min="6399" max="6644" width="11.42578125" style="59"/>
    <col min="6645" max="6645" width="0.140625" style="59" customWidth="1"/>
    <col min="6646" max="6646" width="2.7109375" style="59" customWidth="1"/>
    <col min="6647" max="6647" width="18.5703125" style="59" customWidth="1"/>
    <col min="6648" max="6648" width="1.28515625" style="59" customWidth="1"/>
    <col min="6649" max="6649" width="30.7109375" style="59" customWidth="1"/>
    <col min="6650" max="6654" width="10.7109375" style="59" customWidth="1"/>
    <col min="6655" max="6900" width="11.42578125" style="59"/>
    <col min="6901" max="6901" width="0.140625" style="59" customWidth="1"/>
    <col min="6902" max="6902" width="2.7109375" style="59" customWidth="1"/>
    <col min="6903" max="6903" width="18.5703125" style="59" customWidth="1"/>
    <col min="6904" max="6904" width="1.28515625" style="59" customWidth="1"/>
    <col min="6905" max="6905" width="30.7109375" style="59" customWidth="1"/>
    <col min="6906" max="6910" width="10.7109375" style="59" customWidth="1"/>
    <col min="6911" max="7156" width="11.42578125" style="59"/>
    <col min="7157" max="7157" width="0.140625" style="59" customWidth="1"/>
    <col min="7158" max="7158" width="2.7109375" style="59" customWidth="1"/>
    <col min="7159" max="7159" width="18.5703125" style="59" customWidth="1"/>
    <col min="7160" max="7160" width="1.28515625" style="59" customWidth="1"/>
    <col min="7161" max="7161" width="30.7109375" style="59" customWidth="1"/>
    <col min="7162" max="7166" width="10.7109375" style="59" customWidth="1"/>
    <col min="7167" max="7412" width="11.42578125" style="59"/>
    <col min="7413" max="7413" width="0.140625" style="59" customWidth="1"/>
    <col min="7414" max="7414" width="2.7109375" style="59" customWidth="1"/>
    <col min="7415" max="7415" width="18.5703125" style="59" customWidth="1"/>
    <col min="7416" max="7416" width="1.28515625" style="59" customWidth="1"/>
    <col min="7417" max="7417" width="30.7109375" style="59" customWidth="1"/>
    <col min="7418" max="7422" width="10.7109375" style="59" customWidth="1"/>
    <col min="7423" max="7668" width="11.42578125" style="59"/>
    <col min="7669" max="7669" width="0.140625" style="59" customWidth="1"/>
    <col min="7670" max="7670" width="2.7109375" style="59" customWidth="1"/>
    <col min="7671" max="7671" width="18.5703125" style="59" customWidth="1"/>
    <col min="7672" max="7672" width="1.28515625" style="59" customWidth="1"/>
    <col min="7673" max="7673" width="30.7109375" style="59" customWidth="1"/>
    <col min="7674" max="7678" width="10.7109375" style="59" customWidth="1"/>
    <col min="7679" max="7924" width="11.42578125" style="59"/>
    <col min="7925" max="7925" width="0.140625" style="59" customWidth="1"/>
    <col min="7926" max="7926" width="2.7109375" style="59" customWidth="1"/>
    <col min="7927" max="7927" width="18.5703125" style="59" customWidth="1"/>
    <col min="7928" max="7928" width="1.28515625" style="59" customWidth="1"/>
    <col min="7929" max="7929" width="30.7109375" style="59" customWidth="1"/>
    <col min="7930" max="7934" width="10.7109375" style="59" customWidth="1"/>
    <col min="7935" max="8180" width="11.42578125" style="59"/>
    <col min="8181" max="8181" width="0.140625" style="59" customWidth="1"/>
    <col min="8182" max="8182" width="2.7109375" style="59" customWidth="1"/>
    <col min="8183" max="8183" width="18.5703125" style="59" customWidth="1"/>
    <col min="8184" max="8184" width="1.28515625" style="59" customWidth="1"/>
    <col min="8185" max="8185" width="30.7109375" style="59" customWidth="1"/>
    <col min="8186" max="8190" width="10.7109375" style="59" customWidth="1"/>
    <col min="8191" max="8436" width="11.42578125" style="59"/>
    <col min="8437" max="8437" width="0.140625" style="59" customWidth="1"/>
    <col min="8438" max="8438" width="2.7109375" style="59" customWidth="1"/>
    <col min="8439" max="8439" width="18.5703125" style="59" customWidth="1"/>
    <col min="8440" max="8440" width="1.28515625" style="59" customWidth="1"/>
    <col min="8441" max="8441" width="30.7109375" style="59" customWidth="1"/>
    <col min="8442" max="8446" width="10.7109375" style="59" customWidth="1"/>
    <col min="8447" max="8692" width="11.42578125" style="59"/>
    <col min="8693" max="8693" width="0.140625" style="59" customWidth="1"/>
    <col min="8694" max="8694" width="2.7109375" style="59" customWidth="1"/>
    <col min="8695" max="8695" width="18.5703125" style="59" customWidth="1"/>
    <col min="8696" max="8696" width="1.28515625" style="59" customWidth="1"/>
    <col min="8697" max="8697" width="30.7109375" style="59" customWidth="1"/>
    <col min="8698" max="8702" width="10.7109375" style="59" customWidth="1"/>
    <col min="8703" max="8948" width="11.42578125" style="59"/>
    <col min="8949" max="8949" width="0.140625" style="59" customWidth="1"/>
    <col min="8950" max="8950" width="2.7109375" style="59" customWidth="1"/>
    <col min="8951" max="8951" width="18.5703125" style="59" customWidth="1"/>
    <col min="8952" max="8952" width="1.28515625" style="59" customWidth="1"/>
    <col min="8953" max="8953" width="30.7109375" style="59" customWidth="1"/>
    <col min="8954" max="8958" width="10.7109375" style="59" customWidth="1"/>
    <col min="8959" max="9204" width="11.42578125" style="59"/>
    <col min="9205" max="9205" width="0.140625" style="59" customWidth="1"/>
    <col min="9206" max="9206" width="2.7109375" style="59" customWidth="1"/>
    <col min="9207" max="9207" width="18.5703125" style="59" customWidth="1"/>
    <col min="9208" max="9208" width="1.28515625" style="59" customWidth="1"/>
    <col min="9209" max="9209" width="30.7109375" style="59" customWidth="1"/>
    <col min="9210" max="9214" width="10.7109375" style="59" customWidth="1"/>
    <col min="9215" max="9460" width="11.42578125" style="59"/>
    <col min="9461" max="9461" width="0.140625" style="59" customWidth="1"/>
    <col min="9462" max="9462" width="2.7109375" style="59" customWidth="1"/>
    <col min="9463" max="9463" width="18.5703125" style="59" customWidth="1"/>
    <col min="9464" max="9464" width="1.28515625" style="59" customWidth="1"/>
    <col min="9465" max="9465" width="30.7109375" style="59" customWidth="1"/>
    <col min="9466" max="9470" width="10.7109375" style="59" customWidth="1"/>
    <col min="9471" max="9716" width="11.42578125" style="59"/>
    <col min="9717" max="9717" width="0.140625" style="59" customWidth="1"/>
    <col min="9718" max="9718" width="2.7109375" style="59" customWidth="1"/>
    <col min="9719" max="9719" width="18.5703125" style="59" customWidth="1"/>
    <col min="9720" max="9720" width="1.28515625" style="59" customWidth="1"/>
    <col min="9721" max="9721" width="30.7109375" style="59" customWidth="1"/>
    <col min="9722" max="9726" width="10.7109375" style="59" customWidth="1"/>
    <col min="9727" max="9972" width="11.42578125" style="59"/>
    <col min="9973" max="9973" width="0.140625" style="59" customWidth="1"/>
    <col min="9974" max="9974" width="2.7109375" style="59" customWidth="1"/>
    <col min="9975" max="9975" width="18.5703125" style="59" customWidth="1"/>
    <col min="9976" max="9976" width="1.28515625" style="59" customWidth="1"/>
    <col min="9977" max="9977" width="30.7109375" style="59" customWidth="1"/>
    <col min="9978" max="9982" width="10.7109375" style="59" customWidth="1"/>
    <col min="9983" max="10228" width="11.42578125" style="59"/>
    <col min="10229" max="10229" width="0.140625" style="59" customWidth="1"/>
    <col min="10230" max="10230" width="2.7109375" style="59" customWidth="1"/>
    <col min="10231" max="10231" width="18.5703125" style="59" customWidth="1"/>
    <col min="10232" max="10232" width="1.28515625" style="59" customWidth="1"/>
    <col min="10233" max="10233" width="30.7109375" style="59" customWidth="1"/>
    <col min="10234" max="10238" width="10.7109375" style="59" customWidth="1"/>
    <col min="10239" max="10484" width="11.42578125" style="59"/>
    <col min="10485" max="10485" width="0.140625" style="59" customWidth="1"/>
    <col min="10486" max="10486" width="2.7109375" style="59" customWidth="1"/>
    <col min="10487" max="10487" width="18.5703125" style="59" customWidth="1"/>
    <col min="10488" max="10488" width="1.28515625" style="59" customWidth="1"/>
    <col min="10489" max="10489" width="30.7109375" style="59" customWidth="1"/>
    <col min="10490" max="10494" width="10.7109375" style="59" customWidth="1"/>
    <col min="10495" max="10740" width="11.42578125" style="59"/>
    <col min="10741" max="10741" width="0.140625" style="59" customWidth="1"/>
    <col min="10742" max="10742" width="2.7109375" style="59" customWidth="1"/>
    <col min="10743" max="10743" width="18.5703125" style="59" customWidth="1"/>
    <col min="10744" max="10744" width="1.28515625" style="59" customWidth="1"/>
    <col min="10745" max="10745" width="30.7109375" style="59" customWidth="1"/>
    <col min="10746" max="10750" width="10.7109375" style="59" customWidth="1"/>
    <col min="10751" max="10996" width="11.42578125" style="59"/>
    <col min="10997" max="10997" width="0.140625" style="59" customWidth="1"/>
    <col min="10998" max="10998" width="2.7109375" style="59" customWidth="1"/>
    <col min="10999" max="10999" width="18.5703125" style="59" customWidth="1"/>
    <col min="11000" max="11000" width="1.28515625" style="59" customWidth="1"/>
    <col min="11001" max="11001" width="30.7109375" style="59" customWidth="1"/>
    <col min="11002" max="11006" width="10.7109375" style="59" customWidth="1"/>
    <col min="11007" max="11252" width="11.42578125" style="59"/>
    <col min="11253" max="11253" width="0.140625" style="59" customWidth="1"/>
    <col min="11254" max="11254" width="2.7109375" style="59" customWidth="1"/>
    <col min="11255" max="11255" width="18.5703125" style="59" customWidth="1"/>
    <col min="11256" max="11256" width="1.28515625" style="59" customWidth="1"/>
    <col min="11257" max="11257" width="30.7109375" style="59" customWidth="1"/>
    <col min="11258" max="11262" width="10.7109375" style="59" customWidth="1"/>
    <col min="11263" max="11508" width="11.42578125" style="59"/>
    <col min="11509" max="11509" width="0.140625" style="59" customWidth="1"/>
    <col min="11510" max="11510" width="2.7109375" style="59" customWidth="1"/>
    <col min="11511" max="11511" width="18.5703125" style="59" customWidth="1"/>
    <col min="11512" max="11512" width="1.28515625" style="59" customWidth="1"/>
    <col min="11513" max="11513" width="30.7109375" style="59" customWidth="1"/>
    <col min="11514" max="11518" width="10.7109375" style="59" customWidth="1"/>
    <col min="11519" max="11764" width="11.42578125" style="59"/>
    <col min="11765" max="11765" width="0.140625" style="59" customWidth="1"/>
    <col min="11766" max="11766" width="2.7109375" style="59" customWidth="1"/>
    <col min="11767" max="11767" width="18.5703125" style="59" customWidth="1"/>
    <col min="11768" max="11768" width="1.28515625" style="59" customWidth="1"/>
    <col min="11769" max="11769" width="30.7109375" style="59" customWidth="1"/>
    <col min="11770" max="11774" width="10.7109375" style="59" customWidth="1"/>
    <col min="11775" max="12020" width="11.42578125" style="59"/>
    <col min="12021" max="12021" width="0.140625" style="59" customWidth="1"/>
    <col min="12022" max="12022" width="2.7109375" style="59" customWidth="1"/>
    <col min="12023" max="12023" width="18.5703125" style="59" customWidth="1"/>
    <col min="12024" max="12024" width="1.28515625" style="59" customWidth="1"/>
    <col min="12025" max="12025" width="30.7109375" style="59" customWidth="1"/>
    <col min="12026" max="12030" width="10.7109375" style="59" customWidth="1"/>
    <col min="12031" max="12276" width="11.42578125" style="59"/>
    <col min="12277" max="12277" width="0.140625" style="59" customWidth="1"/>
    <col min="12278" max="12278" width="2.7109375" style="59" customWidth="1"/>
    <col min="12279" max="12279" width="18.5703125" style="59" customWidth="1"/>
    <col min="12280" max="12280" width="1.28515625" style="59" customWidth="1"/>
    <col min="12281" max="12281" width="30.7109375" style="59" customWidth="1"/>
    <col min="12282" max="12286" width="10.7109375" style="59" customWidth="1"/>
    <col min="12287" max="12532" width="11.42578125" style="59"/>
    <col min="12533" max="12533" width="0.140625" style="59" customWidth="1"/>
    <col min="12534" max="12534" width="2.7109375" style="59" customWidth="1"/>
    <col min="12535" max="12535" width="18.5703125" style="59" customWidth="1"/>
    <col min="12536" max="12536" width="1.28515625" style="59" customWidth="1"/>
    <col min="12537" max="12537" width="30.7109375" style="59" customWidth="1"/>
    <col min="12538" max="12542" width="10.7109375" style="59" customWidth="1"/>
    <col min="12543" max="12788" width="11.42578125" style="59"/>
    <col min="12789" max="12789" width="0.140625" style="59" customWidth="1"/>
    <col min="12790" max="12790" width="2.7109375" style="59" customWidth="1"/>
    <col min="12791" max="12791" width="18.5703125" style="59" customWidth="1"/>
    <col min="12792" max="12792" width="1.28515625" style="59" customWidth="1"/>
    <col min="12793" max="12793" width="30.7109375" style="59" customWidth="1"/>
    <col min="12794" max="12798" width="10.7109375" style="59" customWidth="1"/>
    <col min="12799" max="13044" width="11.42578125" style="59"/>
    <col min="13045" max="13045" width="0.140625" style="59" customWidth="1"/>
    <col min="13046" max="13046" width="2.7109375" style="59" customWidth="1"/>
    <col min="13047" max="13047" width="18.5703125" style="59" customWidth="1"/>
    <col min="13048" max="13048" width="1.28515625" style="59" customWidth="1"/>
    <col min="13049" max="13049" width="30.7109375" style="59" customWidth="1"/>
    <col min="13050" max="13054" width="10.7109375" style="59" customWidth="1"/>
    <col min="13055" max="13300" width="11.42578125" style="59"/>
    <col min="13301" max="13301" width="0.140625" style="59" customWidth="1"/>
    <col min="13302" max="13302" width="2.7109375" style="59" customWidth="1"/>
    <col min="13303" max="13303" width="18.5703125" style="59" customWidth="1"/>
    <col min="13304" max="13304" width="1.28515625" style="59" customWidth="1"/>
    <col min="13305" max="13305" width="30.7109375" style="59" customWidth="1"/>
    <col min="13306" max="13310" width="10.7109375" style="59" customWidth="1"/>
    <col min="13311" max="13556" width="11.42578125" style="59"/>
    <col min="13557" max="13557" width="0.140625" style="59" customWidth="1"/>
    <col min="13558" max="13558" width="2.7109375" style="59" customWidth="1"/>
    <col min="13559" max="13559" width="18.5703125" style="59" customWidth="1"/>
    <col min="13560" max="13560" width="1.28515625" style="59" customWidth="1"/>
    <col min="13561" max="13561" width="30.7109375" style="59" customWidth="1"/>
    <col min="13562" max="13566" width="10.7109375" style="59" customWidth="1"/>
    <col min="13567" max="13812" width="11.42578125" style="59"/>
    <col min="13813" max="13813" width="0.140625" style="59" customWidth="1"/>
    <col min="13814" max="13814" width="2.7109375" style="59" customWidth="1"/>
    <col min="13815" max="13815" width="18.5703125" style="59" customWidth="1"/>
    <col min="13816" max="13816" width="1.28515625" style="59" customWidth="1"/>
    <col min="13817" max="13817" width="30.7109375" style="59" customWidth="1"/>
    <col min="13818" max="13822" width="10.7109375" style="59" customWidth="1"/>
    <col min="13823" max="14068" width="11.42578125" style="59"/>
    <col min="14069" max="14069" width="0.140625" style="59" customWidth="1"/>
    <col min="14070" max="14070" width="2.7109375" style="59" customWidth="1"/>
    <col min="14071" max="14071" width="18.5703125" style="59" customWidth="1"/>
    <col min="14072" max="14072" width="1.28515625" style="59" customWidth="1"/>
    <col min="14073" max="14073" width="30.7109375" style="59" customWidth="1"/>
    <col min="14074" max="14078" width="10.7109375" style="59" customWidth="1"/>
    <col min="14079" max="14324" width="11.42578125" style="59"/>
    <col min="14325" max="14325" width="0.140625" style="59" customWidth="1"/>
    <col min="14326" max="14326" width="2.7109375" style="59" customWidth="1"/>
    <col min="14327" max="14327" width="18.5703125" style="59" customWidth="1"/>
    <col min="14328" max="14328" width="1.28515625" style="59" customWidth="1"/>
    <col min="14329" max="14329" width="30.7109375" style="59" customWidth="1"/>
    <col min="14330" max="14334" width="10.7109375" style="59" customWidth="1"/>
    <col min="14335" max="14580" width="11.42578125" style="59"/>
    <col min="14581" max="14581" width="0.140625" style="59" customWidth="1"/>
    <col min="14582" max="14582" width="2.7109375" style="59" customWidth="1"/>
    <col min="14583" max="14583" width="18.5703125" style="59" customWidth="1"/>
    <col min="14584" max="14584" width="1.28515625" style="59" customWidth="1"/>
    <col min="14585" max="14585" width="30.7109375" style="59" customWidth="1"/>
    <col min="14586" max="14590" width="10.7109375" style="59" customWidth="1"/>
    <col min="14591" max="14836" width="11.42578125" style="59"/>
    <col min="14837" max="14837" width="0.140625" style="59" customWidth="1"/>
    <col min="14838" max="14838" width="2.7109375" style="59" customWidth="1"/>
    <col min="14839" max="14839" width="18.5703125" style="59" customWidth="1"/>
    <col min="14840" max="14840" width="1.28515625" style="59" customWidth="1"/>
    <col min="14841" max="14841" width="30.7109375" style="59" customWidth="1"/>
    <col min="14842" max="14846" width="10.7109375" style="59" customWidth="1"/>
    <col min="14847" max="15092" width="11.42578125" style="59"/>
    <col min="15093" max="15093" width="0.140625" style="59" customWidth="1"/>
    <col min="15094" max="15094" width="2.7109375" style="59" customWidth="1"/>
    <col min="15095" max="15095" width="18.5703125" style="59" customWidth="1"/>
    <col min="15096" max="15096" width="1.28515625" style="59" customWidth="1"/>
    <col min="15097" max="15097" width="30.7109375" style="59" customWidth="1"/>
    <col min="15098" max="15102" width="10.7109375" style="59" customWidth="1"/>
    <col min="15103" max="15348" width="11.42578125" style="59"/>
    <col min="15349" max="15349" width="0.140625" style="59" customWidth="1"/>
    <col min="15350" max="15350" width="2.7109375" style="59" customWidth="1"/>
    <col min="15351" max="15351" width="18.5703125" style="59" customWidth="1"/>
    <col min="15352" max="15352" width="1.28515625" style="59" customWidth="1"/>
    <col min="15353" max="15353" width="30.7109375" style="59" customWidth="1"/>
    <col min="15354" max="15358" width="10.7109375" style="59" customWidth="1"/>
    <col min="15359" max="15604" width="11.42578125" style="59"/>
    <col min="15605" max="15605" width="0.140625" style="59" customWidth="1"/>
    <col min="15606" max="15606" width="2.7109375" style="59" customWidth="1"/>
    <col min="15607" max="15607" width="18.5703125" style="59" customWidth="1"/>
    <col min="15608" max="15608" width="1.28515625" style="59" customWidth="1"/>
    <col min="15609" max="15609" width="30.7109375" style="59" customWidth="1"/>
    <col min="15610" max="15614" width="10.7109375" style="59" customWidth="1"/>
    <col min="15615" max="15860" width="11.42578125" style="59"/>
    <col min="15861" max="15861" width="0.140625" style="59" customWidth="1"/>
    <col min="15862" max="15862" width="2.7109375" style="59" customWidth="1"/>
    <col min="15863" max="15863" width="18.5703125" style="59" customWidth="1"/>
    <col min="15864" max="15864" width="1.28515625" style="59" customWidth="1"/>
    <col min="15865" max="15865" width="30.7109375" style="59" customWidth="1"/>
    <col min="15866" max="15870" width="10.7109375" style="59" customWidth="1"/>
    <col min="15871" max="16116" width="11.42578125" style="59"/>
    <col min="16117" max="16117" width="0.140625" style="59" customWidth="1"/>
    <col min="16118" max="16118" width="2.7109375" style="59" customWidth="1"/>
    <col min="16119" max="16119" width="18.5703125" style="59" customWidth="1"/>
    <col min="16120" max="16120" width="1.28515625" style="59" customWidth="1"/>
    <col min="16121" max="16121" width="30.7109375" style="59" customWidth="1"/>
    <col min="16122" max="16126" width="10.7109375" style="59" customWidth="1"/>
    <col min="16127" max="16384" width="11.42578125" style="59"/>
  </cols>
  <sheetData>
    <row r="1" spans="1:20" s="60" customFormat="1" ht="0.75" customHeight="1"/>
    <row r="2" spans="1:20" s="60" customFormat="1" ht="21" customHeight="1">
      <c r="B2" s="77"/>
      <c r="E2" s="38" t="s">
        <v>24</v>
      </c>
      <c r="F2" s="76"/>
      <c r="G2" s="76"/>
    </row>
    <row r="3" spans="1:20" s="60" customFormat="1" ht="15" customHeight="1">
      <c r="E3" s="55" t="str">
        <f>Indice!E3</f>
        <v>Octubre 2018</v>
      </c>
      <c r="F3" s="75"/>
      <c r="G3" s="75"/>
    </row>
    <row r="4" spans="1:20" s="71" customFormat="1" ht="20.25" customHeight="1">
      <c r="B4" s="70"/>
      <c r="C4" s="36" t="s">
        <v>51</v>
      </c>
    </row>
    <row r="5" spans="1:20" s="71" customFormat="1" ht="12.75" customHeight="1">
      <c r="B5" s="70"/>
      <c r="C5" s="74"/>
    </row>
    <row r="6" spans="1:20" s="71" customFormat="1" ht="13.5" customHeight="1">
      <c r="B6" s="70"/>
      <c r="C6" s="69"/>
      <c r="D6" s="68"/>
      <c r="E6" s="68"/>
      <c r="G6" s="57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s="71" customFormat="1" ht="12.75" customHeight="1">
      <c r="B7" s="70"/>
      <c r="C7" s="205" t="s">
        <v>37</v>
      </c>
      <c r="D7" s="68"/>
      <c r="E7" s="72"/>
    </row>
    <row r="8" spans="1:20" s="60" customFormat="1" ht="12.75" customHeight="1">
      <c r="A8" s="71"/>
      <c r="B8" s="70"/>
      <c r="C8" s="205"/>
      <c r="D8" s="68"/>
      <c r="E8" s="72"/>
      <c r="F8" s="67"/>
    </row>
    <row r="9" spans="1:20" s="60" customFormat="1" ht="12.75" customHeight="1">
      <c r="A9" s="71"/>
      <c r="B9" s="70"/>
      <c r="C9" s="205"/>
      <c r="D9" s="68"/>
      <c r="E9" s="72"/>
      <c r="F9" s="67"/>
    </row>
    <row r="10" spans="1:20" s="60" customFormat="1" ht="12.75" customHeight="1">
      <c r="A10" s="71"/>
      <c r="B10" s="70"/>
      <c r="C10" s="43"/>
      <c r="D10" s="68"/>
      <c r="E10" s="72"/>
      <c r="F10" s="67"/>
    </row>
    <row r="11" spans="1:20" s="60" customFormat="1" ht="12.75" customHeight="1">
      <c r="A11" s="71"/>
      <c r="B11" s="70"/>
      <c r="D11" s="68"/>
      <c r="E11" s="68"/>
      <c r="F11" s="67"/>
    </row>
    <row r="12" spans="1:20" s="60" customFormat="1" ht="12.75" customHeight="1">
      <c r="A12" s="71"/>
      <c r="B12" s="70"/>
      <c r="D12" s="68"/>
      <c r="E12" s="68"/>
      <c r="F12" s="67"/>
    </row>
    <row r="13" spans="1:20" s="60" customFormat="1" ht="12.75" customHeight="1">
      <c r="A13" s="71"/>
      <c r="B13" s="70"/>
      <c r="C13" s="69"/>
      <c r="D13" s="68"/>
      <c r="E13" s="68"/>
      <c r="F13" s="67"/>
    </row>
    <row r="14" spans="1:20" s="60" customFormat="1" ht="12.75" customHeight="1">
      <c r="A14" s="71"/>
      <c r="B14" s="70"/>
      <c r="C14" s="69"/>
      <c r="D14" s="68"/>
      <c r="E14" s="68"/>
      <c r="F14" s="67"/>
    </row>
    <row r="15" spans="1:20" s="60" customFormat="1" ht="12.75" customHeight="1">
      <c r="A15" s="71"/>
      <c r="B15" s="70"/>
      <c r="C15" s="69"/>
      <c r="D15" s="68"/>
      <c r="E15" s="68"/>
      <c r="F15" s="67"/>
    </row>
    <row r="16" spans="1:20" s="60" customFormat="1" ht="12.75" customHeight="1">
      <c r="A16" s="71"/>
      <c r="B16" s="70"/>
      <c r="C16" s="69"/>
      <c r="D16" s="68"/>
      <c r="E16" s="68"/>
      <c r="F16" s="67"/>
    </row>
    <row r="17" spans="1:7" s="60" customFormat="1" ht="12.75" customHeight="1">
      <c r="A17" s="71"/>
      <c r="B17" s="70"/>
      <c r="C17" s="69"/>
      <c r="D17" s="68"/>
      <c r="E17" s="68"/>
      <c r="F17" s="67"/>
    </row>
    <row r="18" spans="1:7" s="60" customFormat="1" ht="12.75" customHeight="1">
      <c r="A18" s="71"/>
      <c r="B18" s="70"/>
      <c r="C18" s="69"/>
      <c r="D18" s="68"/>
      <c r="E18" s="68"/>
      <c r="F18" s="67"/>
    </row>
    <row r="19" spans="1:7" s="60" customFormat="1" ht="12.75" customHeight="1">
      <c r="A19" s="71"/>
      <c r="B19" s="70"/>
      <c r="C19" s="69"/>
      <c r="D19" s="68"/>
      <c r="E19" s="68"/>
      <c r="F19" s="67"/>
    </row>
    <row r="20" spans="1:7" s="60" customFormat="1" ht="12.75" customHeight="1">
      <c r="A20" s="71"/>
      <c r="B20" s="70"/>
      <c r="C20" s="69"/>
      <c r="D20" s="68"/>
      <c r="E20" s="68"/>
      <c r="F20" s="67"/>
    </row>
    <row r="21" spans="1:7" s="60" customFormat="1" ht="12.75" customHeight="1">
      <c r="A21" s="71"/>
      <c r="B21" s="70"/>
      <c r="C21" s="69"/>
      <c r="D21" s="68"/>
      <c r="E21" s="68"/>
      <c r="F21" s="67"/>
    </row>
    <row r="22" spans="1:7" ht="12.75" customHeight="1"/>
    <row r="23" spans="1:7" ht="12.75" customHeight="1"/>
    <row r="24" spans="1:7" ht="12.75" customHeight="1">
      <c r="E24" s="64"/>
      <c r="F24" s="64"/>
      <c r="G24" s="64"/>
    </row>
    <row r="25" spans="1:7" ht="12.75" customHeight="1">
      <c r="E25" s="61" t="s">
        <v>58</v>
      </c>
      <c r="F25" s="66"/>
      <c r="G25" s="66"/>
    </row>
    <row r="26" spans="1:7" ht="12.75" customHeight="1">
      <c r="E26" s="61" t="s">
        <v>59</v>
      </c>
      <c r="F26" s="66"/>
      <c r="G26" s="66"/>
    </row>
    <row r="27" spans="1:7" ht="12.75" customHeight="1">
      <c r="E27" s="61"/>
      <c r="F27" s="64"/>
      <c r="G27" s="64"/>
    </row>
    <row r="28" spans="1:7" ht="12.75" customHeight="1">
      <c r="E28" s="65"/>
      <c r="F28" s="64"/>
      <c r="G28" s="64"/>
    </row>
    <row r="29" spans="1:7" ht="12.75" customHeight="1">
      <c r="F29" s="64"/>
      <c r="G29" s="64"/>
    </row>
    <row r="30" spans="1:7" ht="12.75" customHeight="1">
      <c r="F30" s="64"/>
      <c r="G30" s="64"/>
    </row>
    <row r="31" spans="1:7" ht="12.75" customHeight="1">
      <c r="E31" s="6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61"/>
    </row>
    <row r="48" spans="5:5">
      <c r="E48" s="62"/>
    </row>
    <row r="49" spans="5:5">
      <c r="E49" s="6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L39"/>
  <sheetViews>
    <sheetView showGridLines="0" showRowColHeaders="0" zoomScaleNormal="100" workbookViewId="0">
      <selection activeCell="H15" sqref="H15"/>
    </sheetView>
  </sheetViews>
  <sheetFormatPr baseColWidth="10" defaultRowHeight="12.75"/>
  <cols>
    <col min="1" max="1" width="0.140625" style="40" customWidth="1"/>
    <col min="2" max="2" width="2.7109375" style="40" customWidth="1"/>
    <col min="3" max="3" width="23.7109375" style="40" customWidth="1"/>
    <col min="4" max="4" width="1.28515625" style="40" customWidth="1"/>
    <col min="5" max="5" width="58.85546875" style="40" customWidth="1"/>
    <col min="6" max="6" width="11.42578125" style="39"/>
    <col min="7" max="7" width="19.85546875" style="39" customWidth="1"/>
    <col min="8" max="9" width="11.42578125" style="39"/>
    <col min="10" max="10" width="11" style="39" bestFit="1" customWidth="1"/>
    <col min="11" max="253" width="11.42578125" style="39"/>
    <col min="254" max="254" width="0.140625" style="39" customWidth="1"/>
    <col min="255" max="255" width="2.7109375" style="39" customWidth="1"/>
    <col min="256" max="256" width="18.5703125" style="39" customWidth="1"/>
    <col min="257" max="257" width="1.28515625" style="39" customWidth="1"/>
    <col min="258" max="258" width="58.85546875" style="39" customWidth="1"/>
    <col min="259" max="260" width="11.42578125" style="39"/>
    <col min="261" max="261" width="2.140625" style="39" customWidth="1"/>
    <col min="262" max="262" width="11.42578125" style="39"/>
    <col min="263" max="263" width="9.5703125" style="39" customWidth="1"/>
    <col min="264" max="509" width="11.42578125" style="39"/>
    <col min="510" max="510" width="0.140625" style="39" customWidth="1"/>
    <col min="511" max="511" width="2.7109375" style="39" customWidth="1"/>
    <col min="512" max="512" width="18.5703125" style="39" customWidth="1"/>
    <col min="513" max="513" width="1.28515625" style="39" customWidth="1"/>
    <col min="514" max="514" width="58.85546875" style="39" customWidth="1"/>
    <col min="515" max="516" width="11.42578125" style="39"/>
    <col min="517" max="517" width="2.140625" style="39" customWidth="1"/>
    <col min="518" max="518" width="11.42578125" style="39"/>
    <col min="519" max="519" width="9.5703125" style="39" customWidth="1"/>
    <col min="520" max="765" width="11.42578125" style="39"/>
    <col min="766" max="766" width="0.140625" style="39" customWidth="1"/>
    <col min="767" max="767" width="2.7109375" style="39" customWidth="1"/>
    <col min="768" max="768" width="18.5703125" style="39" customWidth="1"/>
    <col min="769" max="769" width="1.28515625" style="39" customWidth="1"/>
    <col min="770" max="770" width="58.85546875" style="39" customWidth="1"/>
    <col min="771" max="772" width="11.42578125" style="39"/>
    <col min="773" max="773" width="2.140625" style="39" customWidth="1"/>
    <col min="774" max="774" width="11.42578125" style="39"/>
    <col min="775" max="775" width="9.5703125" style="39" customWidth="1"/>
    <col min="776" max="1021" width="11.42578125" style="39"/>
    <col min="1022" max="1022" width="0.140625" style="39" customWidth="1"/>
    <col min="1023" max="1023" width="2.7109375" style="39" customWidth="1"/>
    <col min="1024" max="1024" width="18.5703125" style="39" customWidth="1"/>
    <col min="1025" max="1025" width="1.28515625" style="39" customWidth="1"/>
    <col min="1026" max="1026" width="58.85546875" style="39" customWidth="1"/>
    <col min="1027" max="1028" width="11.42578125" style="39"/>
    <col min="1029" max="1029" width="2.140625" style="39" customWidth="1"/>
    <col min="1030" max="1030" width="11.42578125" style="39"/>
    <col min="1031" max="1031" width="9.5703125" style="39" customWidth="1"/>
    <col min="1032" max="1277" width="11.42578125" style="39"/>
    <col min="1278" max="1278" width="0.140625" style="39" customWidth="1"/>
    <col min="1279" max="1279" width="2.7109375" style="39" customWidth="1"/>
    <col min="1280" max="1280" width="18.5703125" style="39" customWidth="1"/>
    <col min="1281" max="1281" width="1.28515625" style="39" customWidth="1"/>
    <col min="1282" max="1282" width="58.85546875" style="39" customWidth="1"/>
    <col min="1283" max="1284" width="11.42578125" style="39"/>
    <col min="1285" max="1285" width="2.140625" style="39" customWidth="1"/>
    <col min="1286" max="1286" width="11.42578125" style="39"/>
    <col min="1287" max="1287" width="9.5703125" style="39" customWidth="1"/>
    <col min="1288" max="1533" width="11.42578125" style="39"/>
    <col min="1534" max="1534" width="0.140625" style="39" customWidth="1"/>
    <col min="1535" max="1535" width="2.7109375" style="39" customWidth="1"/>
    <col min="1536" max="1536" width="18.5703125" style="39" customWidth="1"/>
    <col min="1537" max="1537" width="1.28515625" style="39" customWidth="1"/>
    <col min="1538" max="1538" width="58.85546875" style="39" customWidth="1"/>
    <col min="1539" max="1540" width="11.42578125" style="39"/>
    <col min="1541" max="1541" width="2.140625" style="39" customWidth="1"/>
    <col min="1542" max="1542" width="11.42578125" style="39"/>
    <col min="1543" max="1543" width="9.5703125" style="39" customWidth="1"/>
    <col min="1544" max="1789" width="11.42578125" style="39"/>
    <col min="1790" max="1790" width="0.140625" style="39" customWidth="1"/>
    <col min="1791" max="1791" width="2.7109375" style="39" customWidth="1"/>
    <col min="1792" max="1792" width="18.5703125" style="39" customWidth="1"/>
    <col min="1793" max="1793" width="1.28515625" style="39" customWidth="1"/>
    <col min="1794" max="1794" width="58.85546875" style="39" customWidth="1"/>
    <col min="1795" max="1796" width="11.42578125" style="39"/>
    <col min="1797" max="1797" width="2.140625" style="39" customWidth="1"/>
    <col min="1798" max="1798" width="11.42578125" style="39"/>
    <col min="1799" max="1799" width="9.5703125" style="39" customWidth="1"/>
    <col min="1800" max="2045" width="11.42578125" style="39"/>
    <col min="2046" max="2046" width="0.140625" style="39" customWidth="1"/>
    <col min="2047" max="2047" width="2.7109375" style="39" customWidth="1"/>
    <col min="2048" max="2048" width="18.5703125" style="39" customWidth="1"/>
    <col min="2049" max="2049" width="1.28515625" style="39" customWidth="1"/>
    <col min="2050" max="2050" width="58.85546875" style="39" customWidth="1"/>
    <col min="2051" max="2052" width="11.42578125" style="39"/>
    <col min="2053" max="2053" width="2.140625" style="39" customWidth="1"/>
    <col min="2054" max="2054" width="11.42578125" style="39"/>
    <col min="2055" max="2055" width="9.5703125" style="39" customWidth="1"/>
    <col min="2056" max="2301" width="11.42578125" style="39"/>
    <col min="2302" max="2302" width="0.140625" style="39" customWidth="1"/>
    <col min="2303" max="2303" width="2.7109375" style="39" customWidth="1"/>
    <col min="2304" max="2304" width="18.5703125" style="39" customWidth="1"/>
    <col min="2305" max="2305" width="1.28515625" style="39" customWidth="1"/>
    <col min="2306" max="2306" width="58.85546875" style="39" customWidth="1"/>
    <col min="2307" max="2308" width="11.42578125" style="39"/>
    <col min="2309" max="2309" width="2.140625" style="39" customWidth="1"/>
    <col min="2310" max="2310" width="11.42578125" style="39"/>
    <col min="2311" max="2311" width="9.5703125" style="39" customWidth="1"/>
    <col min="2312" max="2557" width="11.42578125" style="39"/>
    <col min="2558" max="2558" width="0.140625" style="39" customWidth="1"/>
    <col min="2559" max="2559" width="2.7109375" style="39" customWidth="1"/>
    <col min="2560" max="2560" width="18.5703125" style="39" customWidth="1"/>
    <col min="2561" max="2561" width="1.28515625" style="39" customWidth="1"/>
    <col min="2562" max="2562" width="58.85546875" style="39" customWidth="1"/>
    <col min="2563" max="2564" width="11.42578125" style="39"/>
    <col min="2565" max="2565" width="2.140625" style="39" customWidth="1"/>
    <col min="2566" max="2566" width="11.42578125" style="39"/>
    <col min="2567" max="2567" width="9.5703125" style="39" customWidth="1"/>
    <col min="2568" max="2813" width="11.42578125" style="39"/>
    <col min="2814" max="2814" width="0.140625" style="39" customWidth="1"/>
    <col min="2815" max="2815" width="2.7109375" style="39" customWidth="1"/>
    <col min="2816" max="2816" width="18.5703125" style="39" customWidth="1"/>
    <col min="2817" max="2817" width="1.28515625" style="39" customWidth="1"/>
    <col min="2818" max="2818" width="58.85546875" style="39" customWidth="1"/>
    <col min="2819" max="2820" width="11.42578125" style="39"/>
    <col min="2821" max="2821" width="2.140625" style="39" customWidth="1"/>
    <col min="2822" max="2822" width="11.42578125" style="39"/>
    <col min="2823" max="2823" width="9.5703125" style="39" customWidth="1"/>
    <col min="2824" max="3069" width="11.42578125" style="39"/>
    <col min="3070" max="3070" width="0.140625" style="39" customWidth="1"/>
    <col min="3071" max="3071" width="2.7109375" style="39" customWidth="1"/>
    <col min="3072" max="3072" width="18.5703125" style="39" customWidth="1"/>
    <col min="3073" max="3073" width="1.28515625" style="39" customWidth="1"/>
    <col min="3074" max="3074" width="58.85546875" style="39" customWidth="1"/>
    <col min="3075" max="3076" width="11.42578125" style="39"/>
    <col min="3077" max="3077" width="2.140625" style="39" customWidth="1"/>
    <col min="3078" max="3078" width="11.42578125" style="39"/>
    <col min="3079" max="3079" width="9.5703125" style="39" customWidth="1"/>
    <col min="3080" max="3325" width="11.42578125" style="39"/>
    <col min="3326" max="3326" width="0.140625" style="39" customWidth="1"/>
    <col min="3327" max="3327" width="2.7109375" style="39" customWidth="1"/>
    <col min="3328" max="3328" width="18.5703125" style="39" customWidth="1"/>
    <col min="3329" max="3329" width="1.28515625" style="39" customWidth="1"/>
    <col min="3330" max="3330" width="58.85546875" style="39" customWidth="1"/>
    <col min="3331" max="3332" width="11.42578125" style="39"/>
    <col min="3333" max="3333" width="2.140625" style="39" customWidth="1"/>
    <col min="3334" max="3334" width="11.42578125" style="39"/>
    <col min="3335" max="3335" width="9.5703125" style="39" customWidth="1"/>
    <col min="3336" max="3581" width="11.42578125" style="39"/>
    <col min="3582" max="3582" width="0.140625" style="39" customWidth="1"/>
    <col min="3583" max="3583" width="2.7109375" style="39" customWidth="1"/>
    <col min="3584" max="3584" width="18.5703125" style="39" customWidth="1"/>
    <col min="3585" max="3585" width="1.28515625" style="39" customWidth="1"/>
    <col min="3586" max="3586" width="58.85546875" style="39" customWidth="1"/>
    <col min="3587" max="3588" width="11.42578125" style="39"/>
    <col min="3589" max="3589" width="2.140625" style="39" customWidth="1"/>
    <col min="3590" max="3590" width="11.42578125" style="39"/>
    <col min="3591" max="3591" width="9.5703125" style="39" customWidth="1"/>
    <col min="3592" max="3837" width="11.42578125" style="39"/>
    <col min="3838" max="3838" width="0.140625" style="39" customWidth="1"/>
    <col min="3839" max="3839" width="2.7109375" style="39" customWidth="1"/>
    <col min="3840" max="3840" width="18.5703125" style="39" customWidth="1"/>
    <col min="3841" max="3841" width="1.28515625" style="39" customWidth="1"/>
    <col min="3842" max="3842" width="58.85546875" style="39" customWidth="1"/>
    <col min="3843" max="3844" width="11.42578125" style="39"/>
    <col min="3845" max="3845" width="2.140625" style="39" customWidth="1"/>
    <col min="3846" max="3846" width="11.42578125" style="39"/>
    <col min="3847" max="3847" width="9.5703125" style="39" customWidth="1"/>
    <col min="3848" max="4093" width="11.42578125" style="39"/>
    <col min="4094" max="4094" width="0.140625" style="39" customWidth="1"/>
    <col min="4095" max="4095" width="2.7109375" style="39" customWidth="1"/>
    <col min="4096" max="4096" width="18.5703125" style="39" customWidth="1"/>
    <col min="4097" max="4097" width="1.28515625" style="39" customWidth="1"/>
    <col min="4098" max="4098" width="58.85546875" style="39" customWidth="1"/>
    <col min="4099" max="4100" width="11.42578125" style="39"/>
    <col min="4101" max="4101" width="2.140625" style="39" customWidth="1"/>
    <col min="4102" max="4102" width="11.42578125" style="39"/>
    <col min="4103" max="4103" width="9.5703125" style="39" customWidth="1"/>
    <col min="4104" max="4349" width="11.42578125" style="39"/>
    <col min="4350" max="4350" width="0.140625" style="39" customWidth="1"/>
    <col min="4351" max="4351" width="2.7109375" style="39" customWidth="1"/>
    <col min="4352" max="4352" width="18.5703125" style="39" customWidth="1"/>
    <col min="4353" max="4353" width="1.28515625" style="39" customWidth="1"/>
    <col min="4354" max="4354" width="58.85546875" style="39" customWidth="1"/>
    <col min="4355" max="4356" width="11.42578125" style="39"/>
    <col min="4357" max="4357" width="2.140625" style="39" customWidth="1"/>
    <col min="4358" max="4358" width="11.42578125" style="39"/>
    <col min="4359" max="4359" width="9.5703125" style="39" customWidth="1"/>
    <col min="4360" max="4605" width="11.42578125" style="39"/>
    <col min="4606" max="4606" width="0.140625" style="39" customWidth="1"/>
    <col min="4607" max="4607" width="2.7109375" style="39" customWidth="1"/>
    <col min="4608" max="4608" width="18.5703125" style="39" customWidth="1"/>
    <col min="4609" max="4609" width="1.28515625" style="39" customWidth="1"/>
    <col min="4610" max="4610" width="58.85546875" style="39" customWidth="1"/>
    <col min="4611" max="4612" width="11.42578125" style="39"/>
    <col min="4613" max="4613" width="2.140625" style="39" customWidth="1"/>
    <col min="4614" max="4614" width="11.42578125" style="39"/>
    <col min="4615" max="4615" width="9.5703125" style="39" customWidth="1"/>
    <col min="4616" max="4861" width="11.42578125" style="39"/>
    <col min="4862" max="4862" width="0.140625" style="39" customWidth="1"/>
    <col min="4863" max="4863" width="2.7109375" style="39" customWidth="1"/>
    <col min="4864" max="4864" width="18.5703125" style="39" customWidth="1"/>
    <col min="4865" max="4865" width="1.28515625" style="39" customWidth="1"/>
    <col min="4866" max="4866" width="58.85546875" style="39" customWidth="1"/>
    <col min="4867" max="4868" width="11.42578125" style="39"/>
    <col min="4869" max="4869" width="2.140625" style="39" customWidth="1"/>
    <col min="4870" max="4870" width="11.42578125" style="39"/>
    <col min="4871" max="4871" width="9.5703125" style="39" customWidth="1"/>
    <col min="4872" max="5117" width="11.42578125" style="39"/>
    <col min="5118" max="5118" width="0.140625" style="39" customWidth="1"/>
    <col min="5119" max="5119" width="2.7109375" style="39" customWidth="1"/>
    <col min="5120" max="5120" width="18.5703125" style="39" customWidth="1"/>
    <col min="5121" max="5121" width="1.28515625" style="39" customWidth="1"/>
    <col min="5122" max="5122" width="58.85546875" style="39" customWidth="1"/>
    <col min="5123" max="5124" width="11.42578125" style="39"/>
    <col min="5125" max="5125" width="2.140625" style="39" customWidth="1"/>
    <col min="5126" max="5126" width="11.42578125" style="39"/>
    <col min="5127" max="5127" width="9.5703125" style="39" customWidth="1"/>
    <col min="5128" max="5373" width="11.42578125" style="39"/>
    <col min="5374" max="5374" width="0.140625" style="39" customWidth="1"/>
    <col min="5375" max="5375" width="2.7109375" style="39" customWidth="1"/>
    <col min="5376" max="5376" width="18.5703125" style="39" customWidth="1"/>
    <col min="5377" max="5377" width="1.28515625" style="39" customWidth="1"/>
    <col min="5378" max="5378" width="58.85546875" style="39" customWidth="1"/>
    <col min="5379" max="5380" width="11.42578125" style="39"/>
    <col min="5381" max="5381" width="2.140625" style="39" customWidth="1"/>
    <col min="5382" max="5382" width="11.42578125" style="39"/>
    <col min="5383" max="5383" width="9.5703125" style="39" customWidth="1"/>
    <col min="5384" max="5629" width="11.42578125" style="39"/>
    <col min="5630" max="5630" width="0.140625" style="39" customWidth="1"/>
    <col min="5631" max="5631" width="2.7109375" style="39" customWidth="1"/>
    <col min="5632" max="5632" width="18.5703125" style="39" customWidth="1"/>
    <col min="5633" max="5633" width="1.28515625" style="39" customWidth="1"/>
    <col min="5634" max="5634" width="58.85546875" style="39" customWidth="1"/>
    <col min="5635" max="5636" width="11.42578125" style="39"/>
    <col min="5637" max="5637" width="2.140625" style="39" customWidth="1"/>
    <col min="5638" max="5638" width="11.42578125" style="39"/>
    <col min="5639" max="5639" width="9.5703125" style="39" customWidth="1"/>
    <col min="5640" max="5885" width="11.42578125" style="39"/>
    <col min="5886" max="5886" width="0.140625" style="39" customWidth="1"/>
    <col min="5887" max="5887" width="2.7109375" style="39" customWidth="1"/>
    <col min="5888" max="5888" width="18.5703125" style="39" customWidth="1"/>
    <col min="5889" max="5889" width="1.28515625" style="39" customWidth="1"/>
    <col min="5890" max="5890" width="58.85546875" style="39" customWidth="1"/>
    <col min="5891" max="5892" width="11.42578125" style="39"/>
    <col min="5893" max="5893" width="2.140625" style="39" customWidth="1"/>
    <col min="5894" max="5894" width="11.42578125" style="39"/>
    <col min="5895" max="5895" width="9.5703125" style="39" customWidth="1"/>
    <col min="5896" max="6141" width="11.42578125" style="39"/>
    <col min="6142" max="6142" width="0.140625" style="39" customWidth="1"/>
    <col min="6143" max="6143" width="2.7109375" style="39" customWidth="1"/>
    <col min="6144" max="6144" width="18.5703125" style="39" customWidth="1"/>
    <col min="6145" max="6145" width="1.28515625" style="39" customWidth="1"/>
    <col min="6146" max="6146" width="58.85546875" style="39" customWidth="1"/>
    <col min="6147" max="6148" width="11.42578125" style="39"/>
    <col min="6149" max="6149" width="2.140625" style="39" customWidth="1"/>
    <col min="6150" max="6150" width="11.42578125" style="39"/>
    <col min="6151" max="6151" width="9.5703125" style="39" customWidth="1"/>
    <col min="6152" max="6397" width="11.42578125" style="39"/>
    <col min="6398" max="6398" width="0.140625" style="39" customWidth="1"/>
    <col min="6399" max="6399" width="2.7109375" style="39" customWidth="1"/>
    <col min="6400" max="6400" width="18.5703125" style="39" customWidth="1"/>
    <col min="6401" max="6401" width="1.28515625" style="39" customWidth="1"/>
    <col min="6402" max="6402" width="58.85546875" style="39" customWidth="1"/>
    <col min="6403" max="6404" width="11.42578125" style="39"/>
    <col min="6405" max="6405" width="2.140625" style="39" customWidth="1"/>
    <col min="6406" max="6406" width="11.42578125" style="39"/>
    <col min="6407" max="6407" width="9.5703125" style="39" customWidth="1"/>
    <col min="6408" max="6653" width="11.42578125" style="39"/>
    <col min="6654" max="6654" width="0.140625" style="39" customWidth="1"/>
    <col min="6655" max="6655" width="2.7109375" style="39" customWidth="1"/>
    <col min="6656" max="6656" width="18.5703125" style="39" customWidth="1"/>
    <col min="6657" max="6657" width="1.28515625" style="39" customWidth="1"/>
    <col min="6658" max="6658" width="58.85546875" style="39" customWidth="1"/>
    <col min="6659" max="6660" width="11.42578125" style="39"/>
    <col min="6661" max="6661" width="2.140625" style="39" customWidth="1"/>
    <col min="6662" max="6662" width="11.42578125" style="39"/>
    <col min="6663" max="6663" width="9.5703125" style="39" customWidth="1"/>
    <col min="6664" max="6909" width="11.42578125" style="39"/>
    <col min="6910" max="6910" width="0.140625" style="39" customWidth="1"/>
    <col min="6911" max="6911" width="2.7109375" style="39" customWidth="1"/>
    <col min="6912" max="6912" width="18.5703125" style="39" customWidth="1"/>
    <col min="6913" max="6913" width="1.28515625" style="39" customWidth="1"/>
    <col min="6914" max="6914" width="58.85546875" style="39" customWidth="1"/>
    <col min="6915" max="6916" width="11.42578125" style="39"/>
    <col min="6917" max="6917" width="2.140625" style="39" customWidth="1"/>
    <col min="6918" max="6918" width="11.42578125" style="39"/>
    <col min="6919" max="6919" width="9.5703125" style="39" customWidth="1"/>
    <col min="6920" max="7165" width="11.42578125" style="39"/>
    <col min="7166" max="7166" width="0.140625" style="39" customWidth="1"/>
    <col min="7167" max="7167" width="2.7109375" style="39" customWidth="1"/>
    <col min="7168" max="7168" width="18.5703125" style="39" customWidth="1"/>
    <col min="7169" max="7169" width="1.28515625" style="39" customWidth="1"/>
    <col min="7170" max="7170" width="58.85546875" style="39" customWidth="1"/>
    <col min="7171" max="7172" width="11.42578125" style="39"/>
    <col min="7173" max="7173" width="2.140625" style="39" customWidth="1"/>
    <col min="7174" max="7174" width="11.42578125" style="39"/>
    <col min="7175" max="7175" width="9.5703125" style="39" customWidth="1"/>
    <col min="7176" max="7421" width="11.42578125" style="39"/>
    <col min="7422" max="7422" width="0.140625" style="39" customWidth="1"/>
    <col min="7423" max="7423" width="2.7109375" style="39" customWidth="1"/>
    <col min="7424" max="7424" width="18.5703125" style="39" customWidth="1"/>
    <col min="7425" max="7425" width="1.28515625" style="39" customWidth="1"/>
    <col min="7426" max="7426" width="58.85546875" style="39" customWidth="1"/>
    <col min="7427" max="7428" width="11.42578125" style="39"/>
    <col min="7429" max="7429" width="2.140625" style="39" customWidth="1"/>
    <col min="7430" max="7430" width="11.42578125" style="39"/>
    <col min="7431" max="7431" width="9.5703125" style="39" customWidth="1"/>
    <col min="7432" max="7677" width="11.42578125" style="39"/>
    <col min="7678" max="7678" width="0.140625" style="39" customWidth="1"/>
    <col min="7679" max="7679" width="2.7109375" style="39" customWidth="1"/>
    <col min="7680" max="7680" width="18.5703125" style="39" customWidth="1"/>
    <col min="7681" max="7681" width="1.28515625" style="39" customWidth="1"/>
    <col min="7682" max="7682" width="58.85546875" style="39" customWidth="1"/>
    <col min="7683" max="7684" width="11.42578125" style="39"/>
    <col min="7685" max="7685" width="2.140625" style="39" customWidth="1"/>
    <col min="7686" max="7686" width="11.42578125" style="39"/>
    <col min="7687" max="7687" width="9.5703125" style="39" customWidth="1"/>
    <col min="7688" max="7933" width="11.42578125" style="39"/>
    <col min="7934" max="7934" width="0.140625" style="39" customWidth="1"/>
    <col min="7935" max="7935" width="2.7109375" style="39" customWidth="1"/>
    <col min="7936" max="7936" width="18.5703125" style="39" customWidth="1"/>
    <col min="7937" max="7937" width="1.28515625" style="39" customWidth="1"/>
    <col min="7938" max="7938" width="58.85546875" style="39" customWidth="1"/>
    <col min="7939" max="7940" width="11.42578125" style="39"/>
    <col min="7941" max="7941" width="2.140625" style="39" customWidth="1"/>
    <col min="7942" max="7942" width="11.42578125" style="39"/>
    <col min="7943" max="7943" width="9.5703125" style="39" customWidth="1"/>
    <col min="7944" max="8189" width="11.42578125" style="39"/>
    <col min="8190" max="8190" width="0.140625" style="39" customWidth="1"/>
    <col min="8191" max="8191" width="2.7109375" style="39" customWidth="1"/>
    <col min="8192" max="8192" width="18.5703125" style="39" customWidth="1"/>
    <col min="8193" max="8193" width="1.28515625" style="39" customWidth="1"/>
    <col min="8194" max="8194" width="58.85546875" style="39" customWidth="1"/>
    <col min="8195" max="8196" width="11.42578125" style="39"/>
    <col min="8197" max="8197" width="2.140625" style="39" customWidth="1"/>
    <col min="8198" max="8198" width="11.42578125" style="39"/>
    <col min="8199" max="8199" width="9.5703125" style="39" customWidth="1"/>
    <col min="8200" max="8445" width="11.42578125" style="39"/>
    <col min="8446" max="8446" width="0.140625" style="39" customWidth="1"/>
    <col min="8447" max="8447" width="2.7109375" style="39" customWidth="1"/>
    <col min="8448" max="8448" width="18.5703125" style="39" customWidth="1"/>
    <col min="8449" max="8449" width="1.28515625" style="39" customWidth="1"/>
    <col min="8450" max="8450" width="58.85546875" style="39" customWidth="1"/>
    <col min="8451" max="8452" width="11.42578125" style="39"/>
    <col min="8453" max="8453" width="2.140625" style="39" customWidth="1"/>
    <col min="8454" max="8454" width="11.42578125" style="39"/>
    <col min="8455" max="8455" width="9.5703125" style="39" customWidth="1"/>
    <col min="8456" max="8701" width="11.42578125" style="39"/>
    <col min="8702" max="8702" width="0.140625" style="39" customWidth="1"/>
    <col min="8703" max="8703" width="2.7109375" style="39" customWidth="1"/>
    <col min="8704" max="8704" width="18.5703125" style="39" customWidth="1"/>
    <col min="8705" max="8705" width="1.28515625" style="39" customWidth="1"/>
    <col min="8706" max="8706" width="58.85546875" style="39" customWidth="1"/>
    <col min="8707" max="8708" width="11.42578125" style="39"/>
    <col min="8709" max="8709" width="2.140625" style="39" customWidth="1"/>
    <col min="8710" max="8710" width="11.42578125" style="39"/>
    <col min="8711" max="8711" width="9.5703125" style="39" customWidth="1"/>
    <col min="8712" max="8957" width="11.42578125" style="39"/>
    <col min="8958" max="8958" width="0.140625" style="39" customWidth="1"/>
    <col min="8959" max="8959" width="2.7109375" style="39" customWidth="1"/>
    <col min="8960" max="8960" width="18.5703125" style="39" customWidth="1"/>
    <col min="8961" max="8961" width="1.28515625" style="39" customWidth="1"/>
    <col min="8962" max="8962" width="58.85546875" style="39" customWidth="1"/>
    <col min="8963" max="8964" width="11.42578125" style="39"/>
    <col min="8965" max="8965" width="2.140625" style="39" customWidth="1"/>
    <col min="8966" max="8966" width="11.42578125" style="39"/>
    <col min="8967" max="8967" width="9.5703125" style="39" customWidth="1"/>
    <col min="8968" max="9213" width="11.42578125" style="39"/>
    <col min="9214" max="9214" width="0.140625" style="39" customWidth="1"/>
    <col min="9215" max="9215" width="2.7109375" style="39" customWidth="1"/>
    <col min="9216" max="9216" width="18.5703125" style="39" customWidth="1"/>
    <col min="9217" max="9217" width="1.28515625" style="39" customWidth="1"/>
    <col min="9218" max="9218" width="58.85546875" style="39" customWidth="1"/>
    <col min="9219" max="9220" width="11.42578125" style="39"/>
    <col min="9221" max="9221" width="2.140625" style="39" customWidth="1"/>
    <col min="9222" max="9222" width="11.42578125" style="39"/>
    <col min="9223" max="9223" width="9.5703125" style="39" customWidth="1"/>
    <col min="9224" max="9469" width="11.42578125" style="39"/>
    <col min="9470" max="9470" width="0.140625" style="39" customWidth="1"/>
    <col min="9471" max="9471" width="2.7109375" style="39" customWidth="1"/>
    <col min="9472" max="9472" width="18.5703125" style="39" customWidth="1"/>
    <col min="9473" max="9473" width="1.28515625" style="39" customWidth="1"/>
    <col min="9474" max="9474" width="58.85546875" style="39" customWidth="1"/>
    <col min="9475" max="9476" width="11.42578125" style="39"/>
    <col min="9477" max="9477" width="2.140625" style="39" customWidth="1"/>
    <col min="9478" max="9478" width="11.42578125" style="39"/>
    <col min="9479" max="9479" width="9.5703125" style="39" customWidth="1"/>
    <col min="9480" max="9725" width="11.42578125" style="39"/>
    <col min="9726" max="9726" width="0.140625" style="39" customWidth="1"/>
    <col min="9727" max="9727" width="2.7109375" style="39" customWidth="1"/>
    <col min="9728" max="9728" width="18.5703125" style="39" customWidth="1"/>
    <col min="9729" max="9729" width="1.28515625" style="39" customWidth="1"/>
    <col min="9730" max="9730" width="58.85546875" style="39" customWidth="1"/>
    <col min="9731" max="9732" width="11.42578125" style="39"/>
    <col min="9733" max="9733" width="2.140625" style="39" customWidth="1"/>
    <col min="9734" max="9734" width="11.42578125" style="39"/>
    <col min="9735" max="9735" width="9.5703125" style="39" customWidth="1"/>
    <col min="9736" max="9981" width="11.42578125" style="39"/>
    <col min="9982" max="9982" width="0.140625" style="39" customWidth="1"/>
    <col min="9983" max="9983" width="2.7109375" style="39" customWidth="1"/>
    <col min="9984" max="9984" width="18.5703125" style="39" customWidth="1"/>
    <col min="9985" max="9985" width="1.28515625" style="39" customWidth="1"/>
    <col min="9986" max="9986" width="58.85546875" style="39" customWidth="1"/>
    <col min="9987" max="9988" width="11.42578125" style="39"/>
    <col min="9989" max="9989" width="2.140625" style="39" customWidth="1"/>
    <col min="9990" max="9990" width="11.42578125" style="39"/>
    <col min="9991" max="9991" width="9.5703125" style="39" customWidth="1"/>
    <col min="9992" max="10237" width="11.42578125" style="39"/>
    <col min="10238" max="10238" width="0.140625" style="39" customWidth="1"/>
    <col min="10239" max="10239" width="2.7109375" style="39" customWidth="1"/>
    <col min="10240" max="10240" width="18.5703125" style="39" customWidth="1"/>
    <col min="10241" max="10241" width="1.28515625" style="39" customWidth="1"/>
    <col min="10242" max="10242" width="58.85546875" style="39" customWidth="1"/>
    <col min="10243" max="10244" width="11.42578125" style="39"/>
    <col min="10245" max="10245" width="2.140625" style="39" customWidth="1"/>
    <col min="10246" max="10246" width="11.42578125" style="39"/>
    <col min="10247" max="10247" width="9.5703125" style="39" customWidth="1"/>
    <col min="10248" max="10493" width="11.42578125" style="39"/>
    <col min="10494" max="10494" width="0.140625" style="39" customWidth="1"/>
    <col min="10495" max="10495" width="2.7109375" style="39" customWidth="1"/>
    <col min="10496" max="10496" width="18.5703125" style="39" customWidth="1"/>
    <col min="10497" max="10497" width="1.28515625" style="39" customWidth="1"/>
    <col min="10498" max="10498" width="58.85546875" style="39" customWidth="1"/>
    <col min="10499" max="10500" width="11.42578125" style="39"/>
    <col min="10501" max="10501" width="2.140625" style="39" customWidth="1"/>
    <col min="10502" max="10502" width="11.42578125" style="39"/>
    <col min="10503" max="10503" width="9.5703125" style="39" customWidth="1"/>
    <col min="10504" max="10749" width="11.42578125" style="39"/>
    <col min="10750" max="10750" width="0.140625" style="39" customWidth="1"/>
    <col min="10751" max="10751" width="2.7109375" style="39" customWidth="1"/>
    <col min="10752" max="10752" width="18.5703125" style="39" customWidth="1"/>
    <col min="10753" max="10753" width="1.28515625" style="39" customWidth="1"/>
    <col min="10754" max="10754" width="58.85546875" style="39" customWidth="1"/>
    <col min="10755" max="10756" width="11.42578125" style="39"/>
    <col min="10757" max="10757" width="2.140625" style="39" customWidth="1"/>
    <col min="10758" max="10758" width="11.42578125" style="39"/>
    <col min="10759" max="10759" width="9.5703125" style="39" customWidth="1"/>
    <col min="10760" max="11005" width="11.42578125" style="39"/>
    <col min="11006" max="11006" width="0.140625" style="39" customWidth="1"/>
    <col min="11007" max="11007" width="2.7109375" style="39" customWidth="1"/>
    <col min="11008" max="11008" width="18.5703125" style="39" customWidth="1"/>
    <col min="11009" max="11009" width="1.28515625" style="39" customWidth="1"/>
    <col min="11010" max="11010" width="58.85546875" style="39" customWidth="1"/>
    <col min="11011" max="11012" width="11.42578125" style="39"/>
    <col min="11013" max="11013" width="2.140625" style="39" customWidth="1"/>
    <col min="11014" max="11014" width="11.42578125" style="39"/>
    <col min="11015" max="11015" width="9.5703125" style="39" customWidth="1"/>
    <col min="11016" max="11261" width="11.42578125" style="39"/>
    <col min="11262" max="11262" width="0.140625" style="39" customWidth="1"/>
    <col min="11263" max="11263" width="2.7109375" style="39" customWidth="1"/>
    <col min="11264" max="11264" width="18.5703125" style="39" customWidth="1"/>
    <col min="11265" max="11265" width="1.28515625" style="39" customWidth="1"/>
    <col min="11266" max="11266" width="58.85546875" style="39" customWidth="1"/>
    <col min="11267" max="11268" width="11.42578125" style="39"/>
    <col min="11269" max="11269" width="2.140625" style="39" customWidth="1"/>
    <col min="11270" max="11270" width="11.42578125" style="39"/>
    <col min="11271" max="11271" width="9.5703125" style="39" customWidth="1"/>
    <col min="11272" max="11517" width="11.42578125" style="39"/>
    <col min="11518" max="11518" width="0.140625" style="39" customWidth="1"/>
    <col min="11519" max="11519" width="2.7109375" style="39" customWidth="1"/>
    <col min="11520" max="11520" width="18.5703125" style="39" customWidth="1"/>
    <col min="11521" max="11521" width="1.28515625" style="39" customWidth="1"/>
    <col min="11522" max="11522" width="58.85546875" style="39" customWidth="1"/>
    <col min="11523" max="11524" width="11.42578125" style="39"/>
    <col min="11525" max="11525" width="2.140625" style="39" customWidth="1"/>
    <col min="11526" max="11526" width="11.42578125" style="39"/>
    <col min="11527" max="11527" width="9.5703125" style="39" customWidth="1"/>
    <col min="11528" max="11773" width="11.42578125" style="39"/>
    <col min="11774" max="11774" width="0.140625" style="39" customWidth="1"/>
    <col min="11775" max="11775" width="2.7109375" style="39" customWidth="1"/>
    <col min="11776" max="11776" width="18.5703125" style="39" customWidth="1"/>
    <col min="11777" max="11777" width="1.28515625" style="39" customWidth="1"/>
    <col min="11778" max="11778" width="58.85546875" style="39" customWidth="1"/>
    <col min="11779" max="11780" width="11.42578125" style="39"/>
    <col min="11781" max="11781" width="2.140625" style="39" customWidth="1"/>
    <col min="11782" max="11782" width="11.42578125" style="39"/>
    <col min="11783" max="11783" width="9.5703125" style="39" customWidth="1"/>
    <col min="11784" max="12029" width="11.42578125" style="39"/>
    <col min="12030" max="12030" width="0.140625" style="39" customWidth="1"/>
    <col min="12031" max="12031" width="2.7109375" style="39" customWidth="1"/>
    <col min="12032" max="12032" width="18.5703125" style="39" customWidth="1"/>
    <col min="12033" max="12033" width="1.28515625" style="39" customWidth="1"/>
    <col min="12034" max="12034" width="58.85546875" style="39" customWidth="1"/>
    <col min="12035" max="12036" width="11.42578125" style="39"/>
    <col min="12037" max="12037" width="2.140625" style="39" customWidth="1"/>
    <col min="12038" max="12038" width="11.42578125" style="39"/>
    <col min="12039" max="12039" width="9.5703125" style="39" customWidth="1"/>
    <col min="12040" max="12285" width="11.42578125" style="39"/>
    <col min="12286" max="12286" width="0.140625" style="39" customWidth="1"/>
    <col min="12287" max="12287" width="2.7109375" style="39" customWidth="1"/>
    <col min="12288" max="12288" width="18.5703125" style="39" customWidth="1"/>
    <col min="12289" max="12289" width="1.28515625" style="39" customWidth="1"/>
    <col min="12290" max="12290" width="58.85546875" style="39" customWidth="1"/>
    <col min="12291" max="12292" width="11.42578125" style="39"/>
    <col min="12293" max="12293" width="2.140625" style="39" customWidth="1"/>
    <col min="12294" max="12294" width="11.42578125" style="39"/>
    <col min="12295" max="12295" width="9.5703125" style="39" customWidth="1"/>
    <col min="12296" max="12541" width="11.42578125" style="39"/>
    <col min="12542" max="12542" width="0.140625" style="39" customWidth="1"/>
    <col min="12543" max="12543" width="2.7109375" style="39" customWidth="1"/>
    <col min="12544" max="12544" width="18.5703125" style="39" customWidth="1"/>
    <col min="12545" max="12545" width="1.28515625" style="39" customWidth="1"/>
    <col min="12546" max="12546" width="58.85546875" style="39" customWidth="1"/>
    <col min="12547" max="12548" width="11.42578125" style="39"/>
    <col min="12549" max="12549" width="2.140625" style="39" customWidth="1"/>
    <col min="12550" max="12550" width="11.42578125" style="39"/>
    <col min="12551" max="12551" width="9.5703125" style="39" customWidth="1"/>
    <col min="12552" max="12797" width="11.42578125" style="39"/>
    <col min="12798" max="12798" width="0.140625" style="39" customWidth="1"/>
    <col min="12799" max="12799" width="2.7109375" style="39" customWidth="1"/>
    <col min="12800" max="12800" width="18.5703125" style="39" customWidth="1"/>
    <col min="12801" max="12801" width="1.28515625" style="39" customWidth="1"/>
    <col min="12802" max="12802" width="58.85546875" style="39" customWidth="1"/>
    <col min="12803" max="12804" width="11.42578125" style="39"/>
    <col min="12805" max="12805" width="2.140625" style="39" customWidth="1"/>
    <col min="12806" max="12806" width="11.42578125" style="39"/>
    <col min="12807" max="12807" width="9.5703125" style="39" customWidth="1"/>
    <col min="12808" max="13053" width="11.42578125" style="39"/>
    <col min="13054" max="13054" width="0.140625" style="39" customWidth="1"/>
    <col min="13055" max="13055" width="2.7109375" style="39" customWidth="1"/>
    <col min="13056" max="13056" width="18.5703125" style="39" customWidth="1"/>
    <col min="13057" max="13057" width="1.28515625" style="39" customWidth="1"/>
    <col min="13058" max="13058" width="58.85546875" style="39" customWidth="1"/>
    <col min="13059" max="13060" width="11.42578125" style="39"/>
    <col min="13061" max="13061" width="2.140625" style="39" customWidth="1"/>
    <col min="13062" max="13062" width="11.42578125" style="39"/>
    <col min="13063" max="13063" width="9.5703125" style="39" customWidth="1"/>
    <col min="13064" max="13309" width="11.42578125" style="39"/>
    <col min="13310" max="13310" width="0.140625" style="39" customWidth="1"/>
    <col min="13311" max="13311" width="2.7109375" style="39" customWidth="1"/>
    <col min="13312" max="13312" width="18.5703125" style="39" customWidth="1"/>
    <col min="13313" max="13313" width="1.28515625" style="39" customWidth="1"/>
    <col min="13314" max="13314" width="58.85546875" style="39" customWidth="1"/>
    <col min="13315" max="13316" width="11.42578125" style="39"/>
    <col min="13317" max="13317" width="2.140625" style="39" customWidth="1"/>
    <col min="13318" max="13318" width="11.42578125" style="39"/>
    <col min="13319" max="13319" width="9.5703125" style="39" customWidth="1"/>
    <col min="13320" max="13565" width="11.42578125" style="39"/>
    <col min="13566" max="13566" width="0.140625" style="39" customWidth="1"/>
    <col min="13567" max="13567" width="2.7109375" style="39" customWidth="1"/>
    <col min="13568" max="13568" width="18.5703125" style="39" customWidth="1"/>
    <col min="13569" max="13569" width="1.28515625" style="39" customWidth="1"/>
    <col min="13570" max="13570" width="58.85546875" style="39" customWidth="1"/>
    <col min="13571" max="13572" width="11.42578125" style="39"/>
    <col min="13573" max="13573" width="2.140625" style="39" customWidth="1"/>
    <col min="13574" max="13574" width="11.42578125" style="39"/>
    <col min="13575" max="13575" width="9.5703125" style="39" customWidth="1"/>
    <col min="13576" max="13821" width="11.42578125" style="39"/>
    <col min="13822" max="13822" width="0.140625" style="39" customWidth="1"/>
    <col min="13823" max="13823" width="2.7109375" style="39" customWidth="1"/>
    <col min="13824" max="13824" width="18.5703125" style="39" customWidth="1"/>
    <col min="13825" max="13825" width="1.28515625" style="39" customWidth="1"/>
    <col min="13826" max="13826" width="58.85546875" style="39" customWidth="1"/>
    <col min="13827" max="13828" width="11.42578125" style="39"/>
    <col min="13829" max="13829" width="2.140625" style="39" customWidth="1"/>
    <col min="13830" max="13830" width="11.42578125" style="39"/>
    <col min="13831" max="13831" width="9.5703125" style="39" customWidth="1"/>
    <col min="13832" max="14077" width="11.42578125" style="39"/>
    <col min="14078" max="14078" width="0.140625" style="39" customWidth="1"/>
    <col min="14079" max="14079" width="2.7109375" style="39" customWidth="1"/>
    <col min="14080" max="14080" width="18.5703125" style="39" customWidth="1"/>
    <col min="14081" max="14081" width="1.28515625" style="39" customWidth="1"/>
    <col min="14082" max="14082" width="58.85546875" style="39" customWidth="1"/>
    <col min="14083" max="14084" width="11.42578125" style="39"/>
    <col min="14085" max="14085" width="2.140625" style="39" customWidth="1"/>
    <col min="14086" max="14086" width="11.42578125" style="39"/>
    <col min="14087" max="14087" width="9.5703125" style="39" customWidth="1"/>
    <col min="14088" max="14333" width="11.42578125" style="39"/>
    <col min="14334" max="14334" width="0.140625" style="39" customWidth="1"/>
    <col min="14335" max="14335" width="2.7109375" style="39" customWidth="1"/>
    <col min="14336" max="14336" width="18.5703125" style="39" customWidth="1"/>
    <col min="14337" max="14337" width="1.28515625" style="39" customWidth="1"/>
    <col min="14338" max="14338" width="58.85546875" style="39" customWidth="1"/>
    <col min="14339" max="14340" width="11.42578125" style="39"/>
    <col min="14341" max="14341" width="2.140625" style="39" customWidth="1"/>
    <col min="14342" max="14342" width="11.42578125" style="39"/>
    <col min="14343" max="14343" width="9.5703125" style="39" customWidth="1"/>
    <col min="14344" max="14589" width="11.42578125" style="39"/>
    <col min="14590" max="14590" width="0.140625" style="39" customWidth="1"/>
    <col min="14591" max="14591" width="2.7109375" style="39" customWidth="1"/>
    <col min="14592" max="14592" width="18.5703125" style="39" customWidth="1"/>
    <col min="14593" max="14593" width="1.28515625" style="39" customWidth="1"/>
    <col min="14594" max="14594" width="58.85546875" style="39" customWidth="1"/>
    <col min="14595" max="14596" width="11.42578125" style="39"/>
    <col min="14597" max="14597" width="2.140625" style="39" customWidth="1"/>
    <col min="14598" max="14598" width="11.42578125" style="39"/>
    <col min="14599" max="14599" width="9.5703125" style="39" customWidth="1"/>
    <col min="14600" max="14845" width="11.42578125" style="39"/>
    <col min="14846" max="14846" width="0.140625" style="39" customWidth="1"/>
    <col min="14847" max="14847" width="2.7109375" style="39" customWidth="1"/>
    <col min="14848" max="14848" width="18.5703125" style="39" customWidth="1"/>
    <col min="14849" max="14849" width="1.28515625" style="39" customWidth="1"/>
    <col min="14850" max="14850" width="58.85546875" style="39" customWidth="1"/>
    <col min="14851" max="14852" width="11.42578125" style="39"/>
    <col min="14853" max="14853" width="2.140625" style="39" customWidth="1"/>
    <col min="14854" max="14854" width="11.42578125" style="39"/>
    <col min="14855" max="14855" width="9.5703125" style="39" customWidth="1"/>
    <col min="14856" max="15101" width="11.42578125" style="39"/>
    <col min="15102" max="15102" width="0.140625" style="39" customWidth="1"/>
    <col min="15103" max="15103" width="2.7109375" style="39" customWidth="1"/>
    <col min="15104" max="15104" width="18.5703125" style="39" customWidth="1"/>
    <col min="15105" max="15105" width="1.28515625" style="39" customWidth="1"/>
    <col min="15106" max="15106" width="58.85546875" style="39" customWidth="1"/>
    <col min="15107" max="15108" width="11.42578125" style="39"/>
    <col min="15109" max="15109" width="2.140625" style="39" customWidth="1"/>
    <col min="15110" max="15110" width="11.42578125" style="39"/>
    <col min="15111" max="15111" width="9.5703125" style="39" customWidth="1"/>
    <col min="15112" max="15357" width="11.42578125" style="39"/>
    <col min="15358" max="15358" width="0.140625" style="39" customWidth="1"/>
    <col min="15359" max="15359" width="2.7109375" style="39" customWidth="1"/>
    <col min="15360" max="15360" width="18.5703125" style="39" customWidth="1"/>
    <col min="15361" max="15361" width="1.28515625" style="39" customWidth="1"/>
    <col min="15362" max="15362" width="58.85546875" style="39" customWidth="1"/>
    <col min="15363" max="15364" width="11.42578125" style="39"/>
    <col min="15365" max="15365" width="2.140625" style="39" customWidth="1"/>
    <col min="15366" max="15366" width="11.42578125" style="39"/>
    <col min="15367" max="15367" width="9.5703125" style="39" customWidth="1"/>
    <col min="15368" max="15613" width="11.42578125" style="39"/>
    <col min="15614" max="15614" width="0.140625" style="39" customWidth="1"/>
    <col min="15615" max="15615" width="2.7109375" style="39" customWidth="1"/>
    <col min="15616" max="15616" width="18.5703125" style="39" customWidth="1"/>
    <col min="15617" max="15617" width="1.28515625" style="39" customWidth="1"/>
    <col min="15618" max="15618" width="58.85546875" style="39" customWidth="1"/>
    <col min="15619" max="15620" width="11.42578125" style="39"/>
    <col min="15621" max="15621" width="2.140625" style="39" customWidth="1"/>
    <col min="15622" max="15622" width="11.42578125" style="39"/>
    <col min="15623" max="15623" width="9.5703125" style="39" customWidth="1"/>
    <col min="15624" max="15869" width="11.42578125" style="39"/>
    <col min="15870" max="15870" width="0.140625" style="39" customWidth="1"/>
    <col min="15871" max="15871" width="2.7109375" style="39" customWidth="1"/>
    <col min="15872" max="15872" width="18.5703125" style="39" customWidth="1"/>
    <col min="15873" max="15873" width="1.28515625" style="39" customWidth="1"/>
    <col min="15874" max="15874" width="58.85546875" style="39" customWidth="1"/>
    <col min="15875" max="15876" width="11.42578125" style="39"/>
    <col min="15877" max="15877" width="2.140625" style="39" customWidth="1"/>
    <col min="15878" max="15878" width="11.42578125" style="39"/>
    <col min="15879" max="15879" width="9.5703125" style="39" customWidth="1"/>
    <col min="15880" max="16125" width="11.42578125" style="39"/>
    <col min="16126" max="16126" width="0.140625" style="39" customWidth="1"/>
    <col min="16127" max="16127" width="2.7109375" style="39" customWidth="1"/>
    <col min="16128" max="16128" width="18.5703125" style="39" customWidth="1"/>
    <col min="16129" max="16129" width="1.28515625" style="39" customWidth="1"/>
    <col min="16130" max="16130" width="58.85546875" style="39" customWidth="1"/>
    <col min="16131" max="16132" width="11.42578125" style="39"/>
    <col min="16133" max="16133" width="2.140625" style="39" customWidth="1"/>
    <col min="16134" max="16134" width="11.42578125" style="39"/>
    <col min="16135" max="16135" width="9.5703125" style="39" customWidth="1"/>
    <col min="16136" max="16384" width="11.42578125" style="39"/>
  </cols>
  <sheetData>
    <row r="1" spans="2:12" s="40" customFormat="1" ht="0.75" customHeight="1"/>
    <row r="2" spans="2:12" s="40" customFormat="1" ht="21" customHeight="1">
      <c r="E2" s="38" t="s">
        <v>24</v>
      </c>
    </row>
    <row r="3" spans="2:12" s="40" customFormat="1" ht="15" customHeight="1">
      <c r="E3" s="55" t="str">
        <f>Indice!E3</f>
        <v>Octubre 2018</v>
      </c>
    </row>
    <row r="4" spans="2:12" s="42" customFormat="1" ht="20.25" customHeight="1">
      <c r="B4" s="50"/>
      <c r="C4" s="36" t="s">
        <v>51</v>
      </c>
    </row>
    <row r="5" spans="2:12" s="42" customFormat="1" ht="12.75" customHeight="1">
      <c r="B5" s="50"/>
      <c r="C5" s="54"/>
    </row>
    <row r="6" spans="2:12" s="42" customFormat="1" ht="13.5" customHeight="1">
      <c r="B6" s="50"/>
      <c r="C6" s="49"/>
      <c r="D6" s="48"/>
      <c r="E6" s="48"/>
    </row>
    <row r="7" spans="2:12" s="42" customFormat="1" ht="12.75" customHeight="1">
      <c r="B7" s="50"/>
      <c r="C7" s="204" t="s">
        <v>40</v>
      </c>
      <c r="D7" s="48"/>
      <c r="E7" s="52"/>
    </row>
    <row r="8" spans="2:12" s="42" customFormat="1" ht="12.75" customHeight="1">
      <c r="B8" s="50"/>
      <c r="C8" s="204"/>
      <c r="D8" s="48"/>
      <c r="E8" s="52"/>
      <c r="F8" s="56"/>
      <c r="J8" s="41"/>
      <c r="K8" s="41"/>
      <c r="L8" s="41"/>
    </row>
    <row r="9" spans="2:12" s="42" customFormat="1" ht="12.75" customHeight="1">
      <c r="B9" s="50"/>
      <c r="C9" s="53"/>
      <c r="D9" s="48"/>
      <c r="E9" s="52"/>
      <c r="F9" s="56"/>
      <c r="J9" s="41"/>
      <c r="K9" s="93"/>
      <c r="L9" s="94"/>
    </row>
    <row r="10" spans="2:12" s="42" customFormat="1" ht="12.75" customHeight="1">
      <c r="B10" s="50"/>
      <c r="C10" s="43"/>
      <c r="D10" s="48"/>
      <c r="E10" s="52"/>
      <c r="F10" s="56"/>
      <c r="J10" s="41"/>
      <c r="K10" s="95"/>
      <c r="L10" s="92"/>
    </row>
    <row r="11" spans="2:12" s="42" customFormat="1" ht="12.75" customHeight="1">
      <c r="B11" s="50"/>
      <c r="D11" s="48"/>
      <c r="E11" s="48"/>
      <c r="F11" s="56"/>
      <c r="J11" s="41"/>
      <c r="K11" s="95"/>
      <c r="L11" s="92"/>
    </row>
    <row r="12" spans="2:12" s="42" customFormat="1" ht="12.75" customHeight="1">
      <c r="B12" s="50"/>
      <c r="C12" s="51"/>
      <c r="D12" s="48"/>
      <c r="E12" s="48"/>
      <c r="F12" s="56"/>
      <c r="J12" s="41"/>
    </row>
    <row r="13" spans="2:12" s="42" customFormat="1" ht="12.75" customHeight="1">
      <c r="B13" s="50"/>
      <c r="C13" s="51"/>
      <c r="D13" s="48"/>
      <c r="E13" s="48"/>
      <c r="J13" s="41"/>
      <c r="K13" s="41"/>
      <c r="L13" s="41"/>
    </row>
    <row r="14" spans="2:12" s="42" customFormat="1" ht="12.75" customHeight="1">
      <c r="B14" s="50"/>
      <c r="C14" s="51"/>
      <c r="D14" s="48"/>
      <c r="E14" s="48"/>
      <c r="F14" s="186"/>
    </row>
    <row r="15" spans="2:12" s="42" customFormat="1" ht="12.75" customHeight="1">
      <c r="B15" s="50"/>
      <c r="C15" s="51"/>
      <c r="D15" s="48"/>
      <c r="E15" s="48"/>
      <c r="F15" s="56"/>
    </row>
    <row r="16" spans="2:12" s="42" customFormat="1" ht="12.75" customHeight="1">
      <c r="B16" s="50"/>
      <c r="D16" s="48"/>
      <c r="E16" s="48"/>
      <c r="F16" s="56"/>
      <c r="J16" s="41"/>
      <c r="K16" s="41"/>
      <c r="L16" s="41"/>
    </row>
    <row r="17" spans="2:12" s="42" customFormat="1" ht="12.75" customHeight="1">
      <c r="B17" s="50"/>
      <c r="D17" s="48"/>
      <c r="E17" s="48"/>
      <c r="F17" s="56"/>
      <c r="J17" s="41"/>
      <c r="K17" s="41"/>
      <c r="L17" s="41"/>
    </row>
    <row r="18" spans="2:12" s="42" customFormat="1" ht="12.75" customHeight="1">
      <c r="B18" s="50"/>
      <c r="D18" s="48"/>
      <c r="E18" s="48"/>
      <c r="F18" s="56"/>
      <c r="J18" s="41"/>
      <c r="K18" s="41"/>
      <c r="L18" s="41"/>
    </row>
    <row r="19" spans="2:12" s="42" customFormat="1" ht="12.75" customHeight="1">
      <c r="B19" s="50"/>
      <c r="C19" s="51"/>
      <c r="D19" s="48"/>
      <c r="E19" s="48"/>
      <c r="F19" s="56"/>
      <c r="J19" s="41"/>
      <c r="K19" s="41"/>
      <c r="L19" s="41"/>
    </row>
    <row r="20" spans="2:12" s="42" customFormat="1" ht="12.75" customHeight="1">
      <c r="B20" s="50"/>
      <c r="C20" s="49"/>
      <c r="D20" s="48"/>
      <c r="E20" s="48"/>
      <c r="F20" s="56"/>
      <c r="J20" s="41"/>
      <c r="K20" s="41"/>
    </row>
    <row r="21" spans="2:12" s="42" customFormat="1" ht="12.75" customHeight="1">
      <c r="B21" s="50"/>
      <c r="C21" s="49"/>
      <c r="D21" s="48"/>
      <c r="E21" s="48"/>
      <c r="F21" s="56"/>
      <c r="J21" s="41"/>
      <c r="K21" s="41"/>
    </row>
    <row r="22" spans="2:12" s="42" customFormat="1" ht="12.75" customHeight="1">
      <c r="B22" s="50"/>
      <c r="C22" s="49"/>
      <c r="D22" s="48"/>
      <c r="E22" s="48"/>
      <c r="J22" s="41"/>
      <c r="K22" s="41"/>
    </row>
    <row r="23" spans="2:12">
      <c r="E23" s="47"/>
      <c r="J23" s="42"/>
      <c r="K23" s="42"/>
    </row>
    <row r="24" spans="2:12" ht="12.75" customHeight="1">
      <c r="C24" s="204" t="s">
        <v>54</v>
      </c>
      <c r="E24" s="46"/>
      <c r="J24" s="42"/>
      <c r="K24" s="42"/>
    </row>
    <row r="25" spans="2:12">
      <c r="C25" s="204"/>
      <c r="E25" s="45"/>
      <c r="J25" s="41"/>
      <c r="K25" s="41"/>
    </row>
    <row r="26" spans="2:12" ht="12.75" customHeight="1">
      <c r="C26" s="44"/>
      <c r="J26" s="93"/>
      <c r="K26" s="94"/>
    </row>
    <row r="27" spans="2:12">
      <c r="C27" s="78"/>
      <c r="J27" s="95"/>
      <c r="K27" s="92"/>
    </row>
    <row r="28" spans="2:12">
      <c r="C28" s="78"/>
      <c r="F28" s="56"/>
      <c r="J28" s="95"/>
      <c r="K28" s="92"/>
    </row>
    <row r="29" spans="2:12">
      <c r="C29" s="43"/>
      <c r="F29" s="56"/>
      <c r="J29" s="42"/>
      <c r="K29" s="42"/>
    </row>
    <row r="30" spans="2:12">
      <c r="F30" s="56"/>
      <c r="J30" s="41"/>
      <c r="K30" s="41"/>
    </row>
    <row r="31" spans="2:12">
      <c r="F31" s="56"/>
      <c r="J31" s="42"/>
      <c r="K31" s="42"/>
    </row>
    <row r="32" spans="2:12">
      <c r="F32" s="56"/>
      <c r="J32" s="42"/>
      <c r="K32" s="42"/>
    </row>
    <row r="33" spans="6:11">
      <c r="F33" s="56"/>
      <c r="J33" s="41"/>
      <c r="K33" s="41"/>
    </row>
    <row r="34" spans="6:11">
      <c r="F34" s="56"/>
      <c r="J34" s="41"/>
      <c r="K34" s="41"/>
    </row>
    <row r="35" spans="6:11">
      <c r="F35" s="56"/>
      <c r="J35" s="41"/>
      <c r="K35" s="41"/>
    </row>
    <row r="36" spans="6:11">
      <c r="F36" s="56"/>
      <c r="J36" s="41"/>
      <c r="K36" s="41"/>
    </row>
    <row r="37" spans="6:11">
      <c r="F37" s="56"/>
    </row>
    <row r="38" spans="6:11">
      <c r="F38" s="56"/>
    </row>
    <row r="39" spans="6:11">
      <c r="F39" s="56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T46"/>
  <sheetViews>
    <sheetView showGridLines="0" showRowColHeaders="0" zoomScaleNormal="100" workbookViewId="0">
      <selection activeCell="K27" sqref="K26:K27"/>
    </sheetView>
  </sheetViews>
  <sheetFormatPr baseColWidth="10" defaultRowHeight="15"/>
  <cols>
    <col min="1" max="1" width="0.140625" style="60" customWidth="1"/>
    <col min="2" max="2" width="2.7109375" style="60" customWidth="1"/>
    <col min="3" max="3" width="23.7109375" style="60" customWidth="1"/>
    <col min="4" max="4" width="1.28515625" style="60" customWidth="1"/>
    <col min="5" max="5" width="105.7109375" style="60" customWidth="1"/>
    <col min="6" max="6" width="10.7109375" style="59" customWidth="1"/>
    <col min="7" max="7" width="21" style="59" bestFit="1" customWidth="1"/>
    <col min="8" max="244" width="11.42578125" style="59"/>
    <col min="245" max="245" width="0.140625" style="59" customWidth="1"/>
    <col min="246" max="246" width="2.7109375" style="59" customWidth="1"/>
    <col min="247" max="247" width="18.5703125" style="59" customWidth="1"/>
    <col min="248" max="248" width="1.28515625" style="59" customWidth="1"/>
    <col min="249" max="249" width="30.7109375" style="59" customWidth="1"/>
    <col min="250" max="254" width="10.7109375" style="59" customWidth="1"/>
    <col min="255" max="500" width="11.42578125" style="59"/>
    <col min="501" max="501" width="0.140625" style="59" customWidth="1"/>
    <col min="502" max="502" width="2.7109375" style="59" customWidth="1"/>
    <col min="503" max="503" width="18.5703125" style="59" customWidth="1"/>
    <col min="504" max="504" width="1.28515625" style="59" customWidth="1"/>
    <col min="505" max="505" width="30.7109375" style="59" customWidth="1"/>
    <col min="506" max="510" width="10.7109375" style="59" customWidth="1"/>
    <col min="511" max="756" width="11.42578125" style="59"/>
    <col min="757" max="757" width="0.140625" style="59" customWidth="1"/>
    <col min="758" max="758" width="2.7109375" style="59" customWidth="1"/>
    <col min="759" max="759" width="18.5703125" style="59" customWidth="1"/>
    <col min="760" max="760" width="1.28515625" style="59" customWidth="1"/>
    <col min="761" max="761" width="30.7109375" style="59" customWidth="1"/>
    <col min="762" max="766" width="10.7109375" style="59" customWidth="1"/>
    <col min="767" max="1012" width="11.42578125" style="59"/>
    <col min="1013" max="1013" width="0.140625" style="59" customWidth="1"/>
    <col min="1014" max="1014" width="2.7109375" style="59" customWidth="1"/>
    <col min="1015" max="1015" width="18.5703125" style="59" customWidth="1"/>
    <col min="1016" max="1016" width="1.28515625" style="59" customWidth="1"/>
    <col min="1017" max="1017" width="30.7109375" style="59" customWidth="1"/>
    <col min="1018" max="1022" width="10.7109375" style="59" customWidth="1"/>
    <col min="1023" max="1268" width="11.42578125" style="59"/>
    <col min="1269" max="1269" width="0.140625" style="59" customWidth="1"/>
    <col min="1270" max="1270" width="2.7109375" style="59" customWidth="1"/>
    <col min="1271" max="1271" width="18.5703125" style="59" customWidth="1"/>
    <col min="1272" max="1272" width="1.28515625" style="59" customWidth="1"/>
    <col min="1273" max="1273" width="30.7109375" style="59" customWidth="1"/>
    <col min="1274" max="1278" width="10.7109375" style="59" customWidth="1"/>
    <col min="1279" max="1524" width="11.42578125" style="59"/>
    <col min="1525" max="1525" width="0.140625" style="59" customWidth="1"/>
    <col min="1526" max="1526" width="2.7109375" style="59" customWidth="1"/>
    <col min="1527" max="1527" width="18.5703125" style="59" customWidth="1"/>
    <col min="1528" max="1528" width="1.28515625" style="59" customWidth="1"/>
    <col min="1529" max="1529" width="30.7109375" style="59" customWidth="1"/>
    <col min="1530" max="1534" width="10.7109375" style="59" customWidth="1"/>
    <col min="1535" max="1780" width="11.42578125" style="59"/>
    <col min="1781" max="1781" width="0.140625" style="59" customWidth="1"/>
    <col min="1782" max="1782" width="2.7109375" style="59" customWidth="1"/>
    <col min="1783" max="1783" width="18.5703125" style="59" customWidth="1"/>
    <col min="1784" max="1784" width="1.28515625" style="59" customWidth="1"/>
    <col min="1785" max="1785" width="30.7109375" style="59" customWidth="1"/>
    <col min="1786" max="1790" width="10.7109375" style="59" customWidth="1"/>
    <col min="1791" max="2036" width="11.42578125" style="59"/>
    <col min="2037" max="2037" width="0.140625" style="59" customWidth="1"/>
    <col min="2038" max="2038" width="2.7109375" style="59" customWidth="1"/>
    <col min="2039" max="2039" width="18.5703125" style="59" customWidth="1"/>
    <col min="2040" max="2040" width="1.28515625" style="59" customWidth="1"/>
    <col min="2041" max="2041" width="30.7109375" style="59" customWidth="1"/>
    <col min="2042" max="2046" width="10.7109375" style="59" customWidth="1"/>
    <col min="2047" max="2292" width="11.42578125" style="59"/>
    <col min="2293" max="2293" width="0.140625" style="59" customWidth="1"/>
    <col min="2294" max="2294" width="2.7109375" style="59" customWidth="1"/>
    <col min="2295" max="2295" width="18.5703125" style="59" customWidth="1"/>
    <col min="2296" max="2296" width="1.28515625" style="59" customWidth="1"/>
    <col min="2297" max="2297" width="30.7109375" style="59" customWidth="1"/>
    <col min="2298" max="2302" width="10.7109375" style="59" customWidth="1"/>
    <col min="2303" max="2548" width="11.42578125" style="59"/>
    <col min="2549" max="2549" width="0.140625" style="59" customWidth="1"/>
    <col min="2550" max="2550" width="2.7109375" style="59" customWidth="1"/>
    <col min="2551" max="2551" width="18.5703125" style="59" customWidth="1"/>
    <col min="2552" max="2552" width="1.28515625" style="59" customWidth="1"/>
    <col min="2553" max="2553" width="30.7109375" style="59" customWidth="1"/>
    <col min="2554" max="2558" width="10.7109375" style="59" customWidth="1"/>
    <col min="2559" max="2804" width="11.42578125" style="59"/>
    <col min="2805" max="2805" width="0.140625" style="59" customWidth="1"/>
    <col min="2806" max="2806" width="2.7109375" style="59" customWidth="1"/>
    <col min="2807" max="2807" width="18.5703125" style="59" customWidth="1"/>
    <col min="2808" max="2808" width="1.28515625" style="59" customWidth="1"/>
    <col min="2809" max="2809" width="30.7109375" style="59" customWidth="1"/>
    <col min="2810" max="2814" width="10.7109375" style="59" customWidth="1"/>
    <col min="2815" max="3060" width="11.42578125" style="59"/>
    <col min="3061" max="3061" width="0.140625" style="59" customWidth="1"/>
    <col min="3062" max="3062" width="2.7109375" style="59" customWidth="1"/>
    <col min="3063" max="3063" width="18.5703125" style="59" customWidth="1"/>
    <col min="3064" max="3064" width="1.28515625" style="59" customWidth="1"/>
    <col min="3065" max="3065" width="30.7109375" style="59" customWidth="1"/>
    <col min="3066" max="3070" width="10.7109375" style="59" customWidth="1"/>
    <col min="3071" max="3316" width="11.42578125" style="59"/>
    <col min="3317" max="3317" width="0.140625" style="59" customWidth="1"/>
    <col min="3318" max="3318" width="2.7109375" style="59" customWidth="1"/>
    <col min="3319" max="3319" width="18.5703125" style="59" customWidth="1"/>
    <col min="3320" max="3320" width="1.28515625" style="59" customWidth="1"/>
    <col min="3321" max="3321" width="30.7109375" style="59" customWidth="1"/>
    <col min="3322" max="3326" width="10.7109375" style="59" customWidth="1"/>
    <col min="3327" max="3572" width="11.42578125" style="59"/>
    <col min="3573" max="3573" width="0.140625" style="59" customWidth="1"/>
    <col min="3574" max="3574" width="2.7109375" style="59" customWidth="1"/>
    <col min="3575" max="3575" width="18.5703125" style="59" customWidth="1"/>
    <col min="3576" max="3576" width="1.28515625" style="59" customWidth="1"/>
    <col min="3577" max="3577" width="30.7109375" style="59" customWidth="1"/>
    <col min="3578" max="3582" width="10.7109375" style="59" customWidth="1"/>
    <col min="3583" max="3828" width="11.42578125" style="59"/>
    <col min="3829" max="3829" width="0.140625" style="59" customWidth="1"/>
    <col min="3830" max="3830" width="2.7109375" style="59" customWidth="1"/>
    <col min="3831" max="3831" width="18.5703125" style="59" customWidth="1"/>
    <col min="3832" max="3832" width="1.28515625" style="59" customWidth="1"/>
    <col min="3833" max="3833" width="30.7109375" style="59" customWidth="1"/>
    <col min="3834" max="3838" width="10.7109375" style="59" customWidth="1"/>
    <col min="3839" max="4084" width="11.42578125" style="59"/>
    <col min="4085" max="4085" width="0.140625" style="59" customWidth="1"/>
    <col min="4086" max="4086" width="2.7109375" style="59" customWidth="1"/>
    <col min="4087" max="4087" width="18.5703125" style="59" customWidth="1"/>
    <col min="4088" max="4088" width="1.28515625" style="59" customWidth="1"/>
    <col min="4089" max="4089" width="30.7109375" style="59" customWidth="1"/>
    <col min="4090" max="4094" width="10.7109375" style="59" customWidth="1"/>
    <col min="4095" max="4340" width="11.42578125" style="59"/>
    <col min="4341" max="4341" width="0.140625" style="59" customWidth="1"/>
    <col min="4342" max="4342" width="2.7109375" style="59" customWidth="1"/>
    <col min="4343" max="4343" width="18.5703125" style="59" customWidth="1"/>
    <col min="4344" max="4344" width="1.28515625" style="59" customWidth="1"/>
    <col min="4345" max="4345" width="30.7109375" style="59" customWidth="1"/>
    <col min="4346" max="4350" width="10.7109375" style="59" customWidth="1"/>
    <col min="4351" max="4596" width="11.42578125" style="59"/>
    <col min="4597" max="4597" width="0.140625" style="59" customWidth="1"/>
    <col min="4598" max="4598" width="2.7109375" style="59" customWidth="1"/>
    <col min="4599" max="4599" width="18.5703125" style="59" customWidth="1"/>
    <col min="4600" max="4600" width="1.28515625" style="59" customWidth="1"/>
    <col min="4601" max="4601" width="30.7109375" style="59" customWidth="1"/>
    <col min="4602" max="4606" width="10.7109375" style="59" customWidth="1"/>
    <col min="4607" max="4852" width="11.42578125" style="59"/>
    <col min="4853" max="4853" width="0.140625" style="59" customWidth="1"/>
    <col min="4854" max="4854" width="2.7109375" style="59" customWidth="1"/>
    <col min="4855" max="4855" width="18.5703125" style="59" customWidth="1"/>
    <col min="4856" max="4856" width="1.28515625" style="59" customWidth="1"/>
    <col min="4857" max="4857" width="30.7109375" style="59" customWidth="1"/>
    <col min="4858" max="4862" width="10.7109375" style="59" customWidth="1"/>
    <col min="4863" max="5108" width="11.42578125" style="59"/>
    <col min="5109" max="5109" width="0.140625" style="59" customWidth="1"/>
    <col min="5110" max="5110" width="2.7109375" style="59" customWidth="1"/>
    <col min="5111" max="5111" width="18.5703125" style="59" customWidth="1"/>
    <col min="5112" max="5112" width="1.28515625" style="59" customWidth="1"/>
    <col min="5113" max="5113" width="30.7109375" style="59" customWidth="1"/>
    <col min="5114" max="5118" width="10.7109375" style="59" customWidth="1"/>
    <col min="5119" max="5364" width="11.42578125" style="59"/>
    <col min="5365" max="5365" width="0.140625" style="59" customWidth="1"/>
    <col min="5366" max="5366" width="2.7109375" style="59" customWidth="1"/>
    <col min="5367" max="5367" width="18.5703125" style="59" customWidth="1"/>
    <col min="5368" max="5368" width="1.28515625" style="59" customWidth="1"/>
    <col min="5369" max="5369" width="30.7109375" style="59" customWidth="1"/>
    <col min="5370" max="5374" width="10.7109375" style="59" customWidth="1"/>
    <col min="5375" max="5620" width="11.42578125" style="59"/>
    <col min="5621" max="5621" width="0.140625" style="59" customWidth="1"/>
    <col min="5622" max="5622" width="2.7109375" style="59" customWidth="1"/>
    <col min="5623" max="5623" width="18.5703125" style="59" customWidth="1"/>
    <col min="5624" max="5624" width="1.28515625" style="59" customWidth="1"/>
    <col min="5625" max="5625" width="30.7109375" style="59" customWidth="1"/>
    <col min="5626" max="5630" width="10.7109375" style="59" customWidth="1"/>
    <col min="5631" max="5876" width="11.42578125" style="59"/>
    <col min="5877" max="5877" width="0.140625" style="59" customWidth="1"/>
    <col min="5878" max="5878" width="2.7109375" style="59" customWidth="1"/>
    <col min="5879" max="5879" width="18.5703125" style="59" customWidth="1"/>
    <col min="5880" max="5880" width="1.28515625" style="59" customWidth="1"/>
    <col min="5881" max="5881" width="30.7109375" style="59" customWidth="1"/>
    <col min="5882" max="5886" width="10.7109375" style="59" customWidth="1"/>
    <col min="5887" max="6132" width="11.42578125" style="59"/>
    <col min="6133" max="6133" width="0.140625" style="59" customWidth="1"/>
    <col min="6134" max="6134" width="2.7109375" style="59" customWidth="1"/>
    <col min="6135" max="6135" width="18.5703125" style="59" customWidth="1"/>
    <col min="6136" max="6136" width="1.28515625" style="59" customWidth="1"/>
    <col min="6137" max="6137" width="30.7109375" style="59" customWidth="1"/>
    <col min="6138" max="6142" width="10.7109375" style="59" customWidth="1"/>
    <col min="6143" max="6388" width="11.42578125" style="59"/>
    <col min="6389" max="6389" width="0.140625" style="59" customWidth="1"/>
    <col min="6390" max="6390" width="2.7109375" style="59" customWidth="1"/>
    <col min="6391" max="6391" width="18.5703125" style="59" customWidth="1"/>
    <col min="6392" max="6392" width="1.28515625" style="59" customWidth="1"/>
    <col min="6393" max="6393" width="30.7109375" style="59" customWidth="1"/>
    <col min="6394" max="6398" width="10.7109375" style="59" customWidth="1"/>
    <col min="6399" max="6644" width="11.42578125" style="59"/>
    <col min="6645" max="6645" width="0.140625" style="59" customWidth="1"/>
    <col min="6646" max="6646" width="2.7109375" style="59" customWidth="1"/>
    <col min="6647" max="6647" width="18.5703125" style="59" customWidth="1"/>
    <col min="6648" max="6648" width="1.28515625" style="59" customWidth="1"/>
    <col min="6649" max="6649" width="30.7109375" style="59" customWidth="1"/>
    <col min="6650" max="6654" width="10.7109375" style="59" customWidth="1"/>
    <col min="6655" max="6900" width="11.42578125" style="59"/>
    <col min="6901" max="6901" width="0.140625" style="59" customWidth="1"/>
    <col min="6902" max="6902" width="2.7109375" style="59" customWidth="1"/>
    <col min="6903" max="6903" width="18.5703125" style="59" customWidth="1"/>
    <col min="6904" max="6904" width="1.28515625" style="59" customWidth="1"/>
    <col min="6905" max="6905" width="30.7109375" style="59" customWidth="1"/>
    <col min="6906" max="6910" width="10.7109375" style="59" customWidth="1"/>
    <col min="6911" max="7156" width="11.42578125" style="59"/>
    <col min="7157" max="7157" width="0.140625" style="59" customWidth="1"/>
    <col min="7158" max="7158" width="2.7109375" style="59" customWidth="1"/>
    <col min="7159" max="7159" width="18.5703125" style="59" customWidth="1"/>
    <col min="7160" max="7160" width="1.28515625" style="59" customWidth="1"/>
    <col min="7161" max="7161" width="30.7109375" style="59" customWidth="1"/>
    <col min="7162" max="7166" width="10.7109375" style="59" customWidth="1"/>
    <col min="7167" max="7412" width="11.42578125" style="59"/>
    <col min="7413" max="7413" width="0.140625" style="59" customWidth="1"/>
    <col min="7414" max="7414" width="2.7109375" style="59" customWidth="1"/>
    <col min="7415" max="7415" width="18.5703125" style="59" customWidth="1"/>
    <col min="7416" max="7416" width="1.28515625" style="59" customWidth="1"/>
    <col min="7417" max="7417" width="30.7109375" style="59" customWidth="1"/>
    <col min="7418" max="7422" width="10.7109375" style="59" customWidth="1"/>
    <col min="7423" max="7668" width="11.42578125" style="59"/>
    <col min="7669" max="7669" width="0.140625" style="59" customWidth="1"/>
    <col min="7670" max="7670" width="2.7109375" style="59" customWidth="1"/>
    <col min="7671" max="7671" width="18.5703125" style="59" customWidth="1"/>
    <col min="7672" max="7672" width="1.28515625" style="59" customWidth="1"/>
    <col min="7673" max="7673" width="30.7109375" style="59" customWidth="1"/>
    <col min="7674" max="7678" width="10.7109375" style="59" customWidth="1"/>
    <col min="7679" max="7924" width="11.42578125" style="59"/>
    <col min="7925" max="7925" width="0.140625" style="59" customWidth="1"/>
    <col min="7926" max="7926" width="2.7109375" style="59" customWidth="1"/>
    <col min="7927" max="7927" width="18.5703125" style="59" customWidth="1"/>
    <col min="7928" max="7928" width="1.28515625" style="59" customWidth="1"/>
    <col min="7929" max="7929" width="30.7109375" style="59" customWidth="1"/>
    <col min="7930" max="7934" width="10.7109375" style="59" customWidth="1"/>
    <col min="7935" max="8180" width="11.42578125" style="59"/>
    <col min="8181" max="8181" width="0.140625" style="59" customWidth="1"/>
    <col min="8182" max="8182" width="2.7109375" style="59" customWidth="1"/>
    <col min="8183" max="8183" width="18.5703125" style="59" customWidth="1"/>
    <col min="8184" max="8184" width="1.28515625" style="59" customWidth="1"/>
    <col min="8185" max="8185" width="30.7109375" style="59" customWidth="1"/>
    <col min="8186" max="8190" width="10.7109375" style="59" customWidth="1"/>
    <col min="8191" max="8436" width="11.42578125" style="59"/>
    <col min="8437" max="8437" width="0.140625" style="59" customWidth="1"/>
    <col min="8438" max="8438" width="2.7109375" style="59" customWidth="1"/>
    <col min="8439" max="8439" width="18.5703125" style="59" customWidth="1"/>
    <col min="8440" max="8440" width="1.28515625" style="59" customWidth="1"/>
    <col min="8441" max="8441" width="30.7109375" style="59" customWidth="1"/>
    <col min="8442" max="8446" width="10.7109375" style="59" customWidth="1"/>
    <col min="8447" max="8692" width="11.42578125" style="59"/>
    <col min="8693" max="8693" width="0.140625" style="59" customWidth="1"/>
    <col min="8694" max="8694" width="2.7109375" style="59" customWidth="1"/>
    <col min="8695" max="8695" width="18.5703125" style="59" customWidth="1"/>
    <col min="8696" max="8696" width="1.28515625" style="59" customWidth="1"/>
    <col min="8697" max="8697" width="30.7109375" style="59" customWidth="1"/>
    <col min="8698" max="8702" width="10.7109375" style="59" customWidth="1"/>
    <col min="8703" max="8948" width="11.42578125" style="59"/>
    <col min="8949" max="8949" width="0.140625" style="59" customWidth="1"/>
    <col min="8950" max="8950" width="2.7109375" style="59" customWidth="1"/>
    <col min="8951" max="8951" width="18.5703125" style="59" customWidth="1"/>
    <col min="8952" max="8952" width="1.28515625" style="59" customWidth="1"/>
    <col min="8953" max="8953" width="30.7109375" style="59" customWidth="1"/>
    <col min="8954" max="8958" width="10.7109375" style="59" customWidth="1"/>
    <col min="8959" max="9204" width="11.42578125" style="59"/>
    <col min="9205" max="9205" width="0.140625" style="59" customWidth="1"/>
    <col min="9206" max="9206" width="2.7109375" style="59" customWidth="1"/>
    <col min="9207" max="9207" width="18.5703125" style="59" customWidth="1"/>
    <col min="9208" max="9208" width="1.28515625" style="59" customWidth="1"/>
    <col min="9209" max="9209" width="30.7109375" style="59" customWidth="1"/>
    <col min="9210" max="9214" width="10.7109375" style="59" customWidth="1"/>
    <col min="9215" max="9460" width="11.42578125" style="59"/>
    <col min="9461" max="9461" width="0.140625" style="59" customWidth="1"/>
    <col min="9462" max="9462" width="2.7109375" style="59" customWidth="1"/>
    <col min="9463" max="9463" width="18.5703125" style="59" customWidth="1"/>
    <col min="9464" max="9464" width="1.28515625" style="59" customWidth="1"/>
    <col min="9465" max="9465" width="30.7109375" style="59" customWidth="1"/>
    <col min="9466" max="9470" width="10.7109375" style="59" customWidth="1"/>
    <col min="9471" max="9716" width="11.42578125" style="59"/>
    <col min="9717" max="9717" width="0.140625" style="59" customWidth="1"/>
    <col min="9718" max="9718" width="2.7109375" style="59" customWidth="1"/>
    <col min="9719" max="9719" width="18.5703125" style="59" customWidth="1"/>
    <col min="9720" max="9720" width="1.28515625" style="59" customWidth="1"/>
    <col min="9721" max="9721" width="30.7109375" style="59" customWidth="1"/>
    <col min="9722" max="9726" width="10.7109375" style="59" customWidth="1"/>
    <col min="9727" max="9972" width="11.42578125" style="59"/>
    <col min="9973" max="9973" width="0.140625" style="59" customWidth="1"/>
    <col min="9974" max="9974" width="2.7109375" style="59" customWidth="1"/>
    <col min="9975" max="9975" width="18.5703125" style="59" customWidth="1"/>
    <col min="9976" max="9976" width="1.28515625" style="59" customWidth="1"/>
    <col min="9977" max="9977" width="30.7109375" style="59" customWidth="1"/>
    <col min="9978" max="9982" width="10.7109375" style="59" customWidth="1"/>
    <col min="9983" max="10228" width="11.42578125" style="59"/>
    <col min="10229" max="10229" width="0.140625" style="59" customWidth="1"/>
    <col min="10230" max="10230" width="2.7109375" style="59" customWidth="1"/>
    <col min="10231" max="10231" width="18.5703125" style="59" customWidth="1"/>
    <col min="10232" max="10232" width="1.28515625" style="59" customWidth="1"/>
    <col min="10233" max="10233" width="30.7109375" style="59" customWidth="1"/>
    <col min="10234" max="10238" width="10.7109375" style="59" customWidth="1"/>
    <col min="10239" max="10484" width="11.42578125" style="59"/>
    <col min="10485" max="10485" width="0.140625" style="59" customWidth="1"/>
    <col min="10486" max="10486" width="2.7109375" style="59" customWidth="1"/>
    <col min="10487" max="10487" width="18.5703125" style="59" customWidth="1"/>
    <col min="10488" max="10488" width="1.28515625" style="59" customWidth="1"/>
    <col min="10489" max="10489" width="30.7109375" style="59" customWidth="1"/>
    <col min="10490" max="10494" width="10.7109375" style="59" customWidth="1"/>
    <col min="10495" max="10740" width="11.42578125" style="59"/>
    <col min="10741" max="10741" width="0.140625" style="59" customWidth="1"/>
    <col min="10742" max="10742" width="2.7109375" style="59" customWidth="1"/>
    <col min="10743" max="10743" width="18.5703125" style="59" customWidth="1"/>
    <col min="10744" max="10744" width="1.28515625" style="59" customWidth="1"/>
    <col min="10745" max="10745" width="30.7109375" style="59" customWidth="1"/>
    <col min="10746" max="10750" width="10.7109375" style="59" customWidth="1"/>
    <col min="10751" max="10996" width="11.42578125" style="59"/>
    <col min="10997" max="10997" width="0.140625" style="59" customWidth="1"/>
    <col min="10998" max="10998" width="2.7109375" style="59" customWidth="1"/>
    <col min="10999" max="10999" width="18.5703125" style="59" customWidth="1"/>
    <col min="11000" max="11000" width="1.28515625" style="59" customWidth="1"/>
    <col min="11001" max="11001" width="30.7109375" style="59" customWidth="1"/>
    <col min="11002" max="11006" width="10.7109375" style="59" customWidth="1"/>
    <col min="11007" max="11252" width="11.42578125" style="59"/>
    <col min="11253" max="11253" width="0.140625" style="59" customWidth="1"/>
    <col min="11254" max="11254" width="2.7109375" style="59" customWidth="1"/>
    <col min="11255" max="11255" width="18.5703125" style="59" customWidth="1"/>
    <col min="11256" max="11256" width="1.28515625" style="59" customWidth="1"/>
    <col min="11257" max="11257" width="30.7109375" style="59" customWidth="1"/>
    <col min="11258" max="11262" width="10.7109375" style="59" customWidth="1"/>
    <col min="11263" max="11508" width="11.42578125" style="59"/>
    <col min="11509" max="11509" width="0.140625" style="59" customWidth="1"/>
    <col min="11510" max="11510" width="2.7109375" style="59" customWidth="1"/>
    <col min="11511" max="11511" width="18.5703125" style="59" customWidth="1"/>
    <col min="11512" max="11512" width="1.28515625" style="59" customWidth="1"/>
    <col min="11513" max="11513" width="30.7109375" style="59" customWidth="1"/>
    <col min="11514" max="11518" width="10.7109375" style="59" customWidth="1"/>
    <col min="11519" max="11764" width="11.42578125" style="59"/>
    <col min="11765" max="11765" width="0.140625" style="59" customWidth="1"/>
    <col min="11766" max="11766" width="2.7109375" style="59" customWidth="1"/>
    <col min="11767" max="11767" width="18.5703125" style="59" customWidth="1"/>
    <col min="11768" max="11768" width="1.28515625" style="59" customWidth="1"/>
    <col min="11769" max="11769" width="30.7109375" style="59" customWidth="1"/>
    <col min="11770" max="11774" width="10.7109375" style="59" customWidth="1"/>
    <col min="11775" max="12020" width="11.42578125" style="59"/>
    <col min="12021" max="12021" width="0.140625" style="59" customWidth="1"/>
    <col min="12022" max="12022" width="2.7109375" style="59" customWidth="1"/>
    <col min="12023" max="12023" width="18.5703125" style="59" customWidth="1"/>
    <col min="12024" max="12024" width="1.28515625" style="59" customWidth="1"/>
    <col min="12025" max="12025" width="30.7109375" style="59" customWidth="1"/>
    <col min="12026" max="12030" width="10.7109375" style="59" customWidth="1"/>
    <col min="12031" max="12276" width="11.42578125" style="59"/>
    <col min="12277" max="12277" width="0.140625" style="59" customWidth="1"/>
    <col min="12278" max="12278" width="2.7109375" style="59" customWidth="1"/>
    <col min="12279" max="12279" width="18.5703125" style="59" customWidth="1"/>
    <col min="12280" max="12280" width="1.28515625" style="59" customWidth="1"/>
    <col min="12281" max="12281" width="30.7109375" style="59" customWidth="1"/>
    <col min="12282" max="12286" width="10.7109375" style="59" customWidth="1"/>
    <col min="12287" max="12532" width="11.42578125" style="59"/>
    <col min="12533" max="12533" width="0.140625" style="59" customWidth="1"/>
    <col min="12534" max="12534" width="2.7109375" style="59" customWidth="1"/>
    <col min="12535" max="12535" width="18.5703125" style="59" customWidth="1"/>
    <col min="12536" max="12536" width="1.28515625" style="59" customWidth="1"/>
    <col min="12537" max="12537" width="30.7109375" style="59" customWidth="1"/>
    <col min="12538" max="12542" width="10.7109375" style="59" customWidth="1"/>
    <col min="12543" max="12788" width="11.42578125" style="59"/>
    <col min="12789" max="12789" width="0.140625" style="59" customWidth="1"/>
    <col min="12790" max="12790" width="2.7109375" style="59" customWidth="1"/>
    <col min="12791" max="12791" width="18.5703125" style="59" customWidth="1"/>
    <col min="12792" max="12792" width="1.28515625" style="59" customWidth="1"/>
    <col min="12793" max="12793" width="30.7109375" style="59" customWidth="1"/>
    <col min="12794" max="12798" width="10.7109375" style="59" customWidth="1"/>
    <col min="12799" max="13044" width="11.42578125" style="59"/>
    <col min="13045" max="13045" width="0.140625" style="59" customWidth="1"/>
    <col min="13046" max="13046" width="2.7109375" style="59" customWidth="1"/>
    <col min="13047" max="13047" width="18.5703125" style="59" customWidth="1"/>
    <col min="13048" max="13048" width="1.28515625" style="59" customWidth="1"/>
    <col min="13049" max="13049" width="30.7109375" style="59" customWidth="1"/>
    <col min="13050" max="13054" width="10.7109375" style="59" customWidth="1"/>
    <col min="13055" max="13300" width="11.42578125" style="59"/>
    <col min="13301" max="13301" width="0.140625" style="59" customWidth="1"/>
    <col min="13302" max="13302" width="2.7109375" style="59" customWidth="1"/>
    <col min="13303" max="13303" width="18.5703125" style="59" customWidth="1"/>
    <col min="13304" max="13304" width="1.28515625" style="59" customWidth="1"/>
    <col min="13305" max="13305" width="30.7109375" style="59" customWidth="1"/>
    <col min="13306" max="13310" width="10.7109375" style="59" customWidth="1"/>
    <col min="13311" max="13556" width="11.42578125" style="59"/>
    <col min="13557" max="13557" width="0.140625" style="59" customWidth="1"/>
    <col min="13558" max="13558" width="2.7109375" style="59" customWidth="1"/>
    <col min="13559" max="13559" width="18.5703125" style="59" customWidth="1"/>
    <col min="13560" max="13560" width="1.28515625" style="59" customWidth="1"/>
    <col min="13561" max="13561" width="30.7109375" style="59" customWidth="1"/>
    <col min="13562" max="13566" width="10.7109375" style="59" customWidth="1"/>
    <col min="13567" max="13812" width="11.42578125" style="59"/>
    <col min="13813" max="13813" width="0.140625" style="59" customWidth="1"/>
    <col min="13814" max="13814" width="2.7109375" style="59" customWidth="1"/>
    <col min="13815" max="13815" width="18.5703125" style="59" customWidth="1"/>
    <col min="13816" max="13816" width="1.28515625" style="59" customWidth="1"/>
    <col min="13817" max="13817" width="30.7109375" style="59" customWidth="1"/>
    <col min="13818" max="13822" width="10.7109375" style="59" customWidth="1"/>
    <col min="13823" max="14068" width="11.42578125" style="59"/>
    <col min="14069" max="14069" width="0.140625" style="59" customWidth="1"/>
    <col min="14070" max="14070" width="2.7109375" style="59" customWidth="1"/>
    <col min="14071" max="14071" width="18.5703125" style="59" customWidth="1"/>
    <col min="14072" max="14072" width="1.28515625" style="59" customWidth="1"/>
    <col min="14073" max="14073" width="30.7109375" style="59" customWidth="1"/>
    <col min="14074" max="14078" width="10.7109375" style="59" customWidth="1"/>
    <col min="14079" max="14324" width="11.42578125" style="59"/>
    <col min="14325" max="14325" width="0.140625" style="59" customWidth="1"/>
    <col min="14326" max="14326" width="2.7109375" style="59" customWidth="1"/>
    <col min="14327" max="14327" width="18.5703125" style="59" customWidth="1"/>
    <col min="14328" max="14328" width="1.28515625" style="59" customWidth="1"/>
    <col min="14329" max="14329" width="30.7109375" style="59" customWidth="1"/>
    <col min="14330" max="14334" width="10.7109375" style="59" customWidth="1"/>
    <col min="14335" max="14580" width="11.42578125" style="59"/>
    <col min="14581" max="14581" width="0.140625" style="59" customWidth="1"/>
    <col min="14582" max="14582" width="2.7109375" style="59" customWidth="1"/>
    <col min="14583" max="14583" width="18.5703125" style="59" customWidth="1"/>
    <col min="14584" max="14584" width="1.28515625" style="59" customWidth="1"/>
    <col min="14585" max="14585" width="30.7109375" style="59" customWidth="1"/>
    <col min="14586" max="14590" width="10.7109375" style="59" customWidth="1"/>
    <col min="14591" max="14836" width="11.42578125" style="59"/>
    <col min="14837" max="14837" width="0.140625" style="59" customWidth="1"/>
    <col min="14838" max="14838" width="2.7109375" style="59" customWidth="1"/>
    <col min="14839" max="14839" width="18.5703125" style="59" customWidth="1"/>
    <col min="14840" max="14840" width="1.28515625" style="59" customWidth="1"/>
    <col min="14841" max="14841" width="30.7109375" style="59" customWidth="1"/>
    <col min="14842" max="14846" width="10.7109375" style="59" customWidth="1"/>
    <col min="14847" max="15092" width="11.42578125" style="59"/>
    <col min="15093" max="15093" width="0.140625" style="59" customWidth="1"/>
    <col min="15094" max="15094" width="2.7109375" style="59" customWidth="1"/>
    <col min="15095" max="15095" width="18.5703125" style="59" customWidth="1"/>
    <col min="15096" max="15096" width="1.28515625" style="59" customWidth="1"/>
    <col min="15097" max="15097" width="30.7109375" style="59" customWidth="1"/>
    <col min="15098" max="15102" width="10.7109375" style="59" customWidth="1"/>
    <col min="15103" max="15348" width="11.42578125" style="59"/>
    <col min="15349" max="15349" width="0.140625" style="59" customWidth="1"/>
    <col min="15350" max="15350" width="2.7109375" style="59" customWidth="1"/>
    <col min="15351" max="15351" width="18.5703125" style="59" customWidth="1"/>
    <col min="15352" max="15352" width="1.28515625" style="59" customWidth="1"/>
    <col min="15353" max="15353" width="30.7109375" style="59" customWidth="1"/>
    <col min="15354" max="15358" width="10.7109375" style="59" customWidth="1"/>
    <col min="15359" max="15604" width="11.42578125" style="59"/>
    <col min="15605" max="15605" width="0.140625" style="59" customWidth="1"/>
    <col min="15606" max="15606" width="2.7109375" style="59" customWidth="1"/>
    <col min="15607" max="15607" width="18.5703125" style="59" customWidth="1"/>
    <col min="15608" max="15608" width="1.28515625" style="59" customWidth="1"/>
    <col min="15609" max="15609" width="30.7109375" style="59" customWidth="1"/>
    <col min="15610" max="15614" width="10.7109375" style="59" customWidth="1"/>
    <col min="15615" max="15860" width="11.42578125" style="59"/>
    <col min="15861" max="15861" width="0.140625" style="59" customWidth="1"/>
    <col min="15862" max="15862" width="2.7109375" style="59" customWidth="1"/>
    <col min="15863" max="15863" width="18.5703125" style="59" customWidth="1"/>
    <col min="15864" max="15864" width="1.28515625" style="59" customWidth="1"/>
    <col min="15865" max="15865" width="30.7109375" style="59" customWidth="1"/>
    <col min="15866" max="15870" width="10.7109375" style="59" customWidth="1"/>
    <col min="15871" max="16116" width="11.42578125" style="59"/>
    <col min="16117" max="16117" width="0.140625" style="59" customWidth="1"/>
    <col min="16118" max="16118" width="2.7109375" style="59" customWidth="1"/>
    <col min="16119" max="16119" width="18.5703125" style="59" customWidth="1"/>
    <col min="16120" max="16120" width="1.28515625" style="59" customWidth="1"/>
    <col min="16121" max="16121" width="30.7109375" style="59" customWidth="1"/>
    <col min="16122" max="16126" width="10.7109375" style="59" customWidth="1"/>
    <col min="16127" max="16384" width="11.42578125" style="59"/>
  </cols>
  <sheetData>
    <row r="1" spans="1:20" s="60" customFormat="1" ht="0.75" customHeight="1"/>
    <row r="2" spans="1:20" s="60" customFormat="1" ht="21" customHeight="1">
      <c r="B2" s="77"/>
      <c r="E2" s="38" t="s">
        <v>24</v>
      </c>
      <c r="F2" s="76"/>
      <c r="G2" s="76"/>
    </row>
    <row r="3" spans="1:20" s="60" customFormat="1" ht="15" customHeight="1">
      <c r="E3" s="55" t="str">
        <f>Indice!E3</f>
        <v>Octubre 2018</v>
      </c>
      <c r="F3" s="75"/>
      <c r="G3" s="75"/>
    </row>
    <row r="4" spans="1:20" s="71" customFormat="1" ht="20.25" customHeight="1">
      <c r="B4" s="70"/>
      <c r="C4" s="36" t="s">
        <v>51</v>
      </c>
    </row>
    <row r="5" spans="1:20" s="71" customFormat="1" ht="12.75" customHeight="1">
      <c r="B5" s="70"/>
      <c r="C5" s="74"/>
    </row>
    <row r="6" spans="1:20" s="71" customFormat="1" ht="13.5" customHeight="1">
      <c r="B6" s="70"/>
      <c r="C6" s="69"/>
      <c r="D6" s="68"/>
      <c r="E6" s="68"/>
      <c r="G6" s="57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s="71" customFormat="1" ht="12.75" customHeight="1">
      <c r="B7" s="70"/>
      <c r="C7" s="205" t="s">
        <v>41</v>
      </c>
      <c r="D7" s="68"/>
      <c r="E7" s="72"/>
    </row>
    <row r="8" spans="1:20" s="60" customFormat="1" ht="12.75" customHeight="1">
      <c r="A8" s="71"/>
      <c r="B8" s="70"/>
      <c r="C8" s="205"/>
      <c r="D8" s="68"/>
      <c r="E8" s="72"/>
      <c r="F8" s="67"/>
    </row>
    <row r="9" spans="1:20" s="60" customFormat="1" ht="12.75" customHeight="1">
      <c r="A9" s="71"/>
      <c r="B9" s="70"/>
      <c r="C9" s="205"/>
      <c r="D9" s="68"/>
      <c r="E9" s="72"/>
      <c r="F9" s="67"/>
    </row>
    <row r="10" spans="1:20" s="60" customFormat="1" ht="12.75" customHeight="1">
      <c r="A10" s="71"/>
      <c r="B10" s="70"/>
      <c r="C10" s="43"/>
      <c r="D10" s="68"/>
      <c r="E10" s="72"/>
      <c r="F10" s="67"/>
    </row>
    <row r="11" spans="1:20" s="60" customFormat="1" ht="12.75" customHeight="1">
      <c r="A11" s="71"/>
      <c r="B11" s="70"/>
      <c r="D11" s="68"/>
      <c r="E11" s="68"/>
      <c r="F11" s="67"/>
    </row>
    <row r="12" spans="1:20" s="60" customFormat="1" ht="12.75" customHeight="1">
      <c r="A12" s="71"/>
      <c r="B12" s="70"/>
      <c r="D12" s="68"/>
      <c r="E12" s="68"/>
      <c r="F12" s="67"/>
    </row>
    <row r="13" spans="1:20" s="60" customFormat="1" ht="12.75" customHeight="1">
      <c r="A13" s="71"/>
      <c r="B13" s="70"/>
      <c r="C13" s="69"/>
      <c r="D13" s="68"/>
      <c r="E13" s="68"/>
      <c r="F13" s="67"/>
    </row>
    <row r="14" spans="1:20" s="60" customFormat="1" ht="12.75" customHeight="1">
      <c r="A14" s="71"/>
      <c r="B14" s="70"/>
      <c r="C14" s="69"/>
      <c r="D14" s="68"/>
      <c r="E14" s="68"/>
      <c r="F14" s="67"/>
    </row>
    <row r="15" spans="1:20" s="60" customFormat="1" ht="12.75" customHeight="1">
      <c r="A15" s="71"/>
      <c r="B15" s="70"/>
      <c r="C15" s="69"/>
      <c r="D15" s="68"/>
      <c r="E15" s="68"/>
      <c r="F15" s="67"/>
    </row>
    <row r="16" spans="1:20" s="60" customFormat="1" ht="12.75" customHeight="1">
      <c r="A16" s="71"/>
      <c r="B16" s="70"/>
      <c r="C16" s="69"/>
      <c r="D16" s="68"/>
      <c r="E16" s="68"/>
      <c r="F16" s="67"/>
    </row>
    <row r="17" spans="1:7" s="60" customFormat="1" ht="12.75" customHeight="1">
      <c r="A17" s="71"/>
      <c r="B17" s="70"/>
      <c r="C17" s="69"/>
      <c r="D17" s="68"/>
      <c r="E17" s="68"/>
      <c r="F17" s="67"/>
    </row>
    <row r="18" spans="1:7" s="60" customFormat="1" ht="12.75" customHeight="1">
      <c r="A18" s="71"/>
      <c r="B18" s="70"/>
      <c r="C18" s="69"/>
      <c r="D18" s="68"/>
      <c r="E18" s="68"/>
      <c r="F18" s="67"/>
    </row>
    <row r="19" spans="1:7" s="60" customFormat="1" ht="12.75" customHeight="1">
      <c r="A19" s="71"/>
      <c r="B19" s="70"/>
      <c r="C19" s="69"/>
      <c r="D19" s="68"/>
      <c r="E19" s="68"/>
      <c r="F19" s="67"/>
    </row>
    <row r="20" spans="1:7" s="60" customFormat="1" ht="12.75" customHeight="1">
      <c r="A20" s="71"/>
      <c r="B20" s="70"/>
      <c r="C20" s="69"/>
      <c r="D20" s="68"/>
      <c r="E20" s="68"/>
      <c r="F20" s="67"/>
    </row>
    <row r="21" spans="1:7" ht="12.75" customHeight="1"/>
    <row r="22" spans="1:7" ht="12.75" customHeight="1"/>
    <row r="23" spans="1:7" ht="12.75" customHeight="1"/>
    <row r="24" spans="1:7" ht="12.75" customHeight="1">
      <c r="E24" s="64"/>
      <c r="F24" s="64"/>
      <c r="G24" s="64"/>
    </row>
    <row r="25" spans="1:7" ht="12.75" customHeight="1">
      <c r="E25" s="61" t="s">
        <v>58</v>
      </c>
      <c r="F25" s="66"/>
      <c r="G25" s="66"/>
    </row>
    <row r="26" spans="1:7" ht="12.75" customHeight="1">
      <c r="E26" s="61" t="s">
        <v>59</v>
      </c>
      <c r="F26" s="66"/>
      <c r="G26" s="66"/>
    </row>
    <row r="27" spans="1:7" ht="12.75" customHeight="1">
      <c r="E27" s="59"/>
      <c r="F27" s="64"/>
      <c r="G27" s="64"/>
    </row>
    <row r="28" spans="1:7" ht="12.75" customHeight="1">
      <c r="E28" s="65"/>
      <c r="F28" s="64"/>
      <c r="G28" s="64"/>
    </row>
    <row r="29" spans="1:7" ht="12.75" customHeight="1">
      <c r="F29" s="64"/>
      <c r="G29" s="64"/>
    </row>
    <row r="30" spans="1:7" ht="12.75" customHeight="1">
      <c r="F30" s="64"/>
      <c r="G30" s="64"/>
    </row>
    <row r="31" spans="1:7" ht="12.75" customHeight="1">
      <c r="E31" s="6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61"/>
    </row>
    <row r="46" spans="5:5">
      <c r="E46" s="6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  <vt:lpstr>Data 1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2018-11-15T12:38:58Z</dcterms:modified>
</cp:coreProperties>
</file>