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NOV\INF_ELABORADA\"/>
    </mc:Choice>
  </mc:AlternateContent>
  <xr:revisionPtr revIDLastSave="0" documentId="13_ncr:1_{A6597D29-4BDD-4AE9-9FF2-9FB9A0024F63}" xr6:coauthVersionLast="46" xr6:coauthVersionMax="46" xr10:uidLastSave="{00000000-0000-0000-0000-000000000000}"/>
  <bookViews>
    <workbookView xWindow="3150" yWindow="3150" windowWidth="21600" windowHeight="11385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22" l="1"/>
  <c r="K20" i="22"/>
  <c r="M18" i="22"/>
  <c r="M12" i="22"/>
  <c r="I9" i="22"/>
  <c r="C47" i="18" l="1"/>
  <c r="C68" i="18" l="1"/>
  <c r="K18" i="22" l="1"/>
  <c r="I13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<sst xmlns="http://schemas.openxmlformats.org/spreadsheetml/2006/main" count="431" uniqueCount="137">
  <si>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</si>
  <si>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</si>
  <si>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</si>
  <si>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</si>
  <si>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</si>
  <si>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</si>
  <si>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</si>
  <si>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</si>
  <si>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</si>
  <si>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</si>
  <si>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</si>
  <si>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</si>
  <si>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</si>
  <si>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</si>
  <si>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</si>
  <si>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</si>
  <si>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</si>
  <si>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</si>
  <si>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</si>
  <si>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</si>
  <si>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</si>
  <si>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</si>
  <si>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</si>
  <si>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</si>
  <si>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</si>
  <si>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</si>
  <si>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</si>
  <si>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</si>
  <si>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</si>
  <si>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</si>
  <si>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</si>
  <si>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</si>
  <si>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</si>
  <si>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</si>
  <si>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</si>
  <si>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</si>
  <si>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</si>
  <si>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</si>
  <si>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</si>
  <si>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</si>
  <si>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</si>
  <si>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</si>
  <si>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</si>
  <si>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</si>
  <si>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</si>
  <si>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</si>
  <si>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</si>
  <si>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</si>
  <si>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</si>
  <si>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</si>
  <si>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</si>
  <si>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</si>
  <si>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</si>
  <si>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</si>
  <si>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</si>
  <si>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</si>
  <si>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</si>
  <si>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</si>
  <si>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</si>
  <si>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</si>
  <si>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</si>
  <si>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</si>
  <si>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</si>
  <si>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</si>
  <si>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</si>
  <si>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</si>
  <si>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</si>
  <si>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</si>
  <si>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</si>
  <si>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</si>
  <si>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</si>
  <si>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</si>
  <si>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</si>
  <si>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</si>
  <si>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</si>
  <si>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</si>
  <si>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</si>
  <si>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</si>
  <si>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</si>
  <si>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</si>
  <si>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</si>
  <si>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</si>
  <si>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</si>
  <si>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</si>
  <si>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</si>
  <si>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</si>
  <si>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</si>
  <si>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</si>
  <si>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</si>
  <si>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</si>
  <si>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</si>
  <si>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</si>
  <si>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</si>
  <si>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</si>
  <si>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</si>
  <si>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</si>
  <si>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</si>
  <si>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</si>
  <si>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</si>
  <si>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</si>
  <si>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</si>
  <si>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</si>
  <si>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</si>
  <si>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</si>
  <si>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</si>
  <si>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</si>
  <si>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</si>
  <si>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</si>
  <si>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</si>
  <si>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</si>
  <si>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</si>
  <si>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</si>
  <si>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</si>
  <si>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</si>
  <si>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</si>
  <si>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</si>
  <si>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</si>
  <si>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</si>
  <si>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</si>
  <si>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</si>
  <si>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</si>
  <si>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</si>
  <si>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</si>
  <si>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</si>
  <si>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</si>
  <si>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</si>
  <si>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</si>
  <si>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</si>
  <si>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</si>
  <si>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30/11/2021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</si>
  <si>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11:05:41"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msgID="F40DB2EA11EC54282CEF0080EF854469"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</si>
  <si>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11:10:57"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msgID="FF51AF6C11EC54282CEF0080EF55E469"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nrr="952" nrc="1792"&gt;&lt;pg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</si>
  <si>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Diciembre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</si>
  <si>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ut="12/03/2021 11:20:04"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msgID="6E134F7D11EC542A2CEF0080EF55E367"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nrr="1352" nrc="1065"&gt;&lt;pg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</si>
  <si>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ut="12/03/2021 11:41:06" si="2.00000001f1e50adb2e822a88628b6b4bc21fc8193379fb0b41cd152196f845be2794381e320bc447d55705a2ed636476249082edab7da5ca0a0b4e3f208ab6bfd01773d1ef73b29099292296c10897f59e90947008d071196efdd862fd9d138aa787dc20df985aa7b6a70f321654067c3b9773dbca04c850dbd0154f18d29b56eb451e0817dbecb2304ee8aa46851e694b420f76a90e6fbd2a9630fa1ede1e516993.p.3082.0.1.Europe/Madrid.upriv*_1*_pidn2*_9*_session*-lat*_1.00000001b39369253498e220ba4a04f320bf2a25bc6025e08f8710c3bfb5b704a1db96de0a7a1ef607320bb758e0b43d0bc5b52c2defb08a.000000015cacb8e012e0b3019e8947ce58cc68e4bc6025e05c1eef22cf97e295032766986bd4964d5a14185430afcdd5562d09e7819c65ad.0.1.1.BDEbi.D066E1C611E6257C10D00080EF253B44.0-3082.1.1_-0.1.0_-3082.1.1_5.5.0.*0.00000001e4a3bfddfd90033e93fbfca2a7df8241c911585acdf5217b10d2d0f7e5f981ade2842e9e.0.23.11*.2*.0400*.31152J.e.00000001500e5a1f97cd3de937c8a3f341a7bd17c911585aa1b757ca4c1e13c031d9f54391c2925a.0.10*.131*.122*.122.0.0" msgID="DEDC882F11EC542D2CEF0080EF650469"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nrr="82" nrc="420"&gt;&lt;pg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</si>
  <si>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86674f5098fb43409909ed7c1b0e3b69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</si>
  <si>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ut="12/03/2021 11:41:46" si="2.00000001f1e50adb2e822a88628b6b4bc21fc8193379fb0b41cd152196f845be2794381e320bc447d55705a2ed636476249082edab7da5ca0a0b4e3f208ab6bfd01773d1ef73b29099292296c10897f59e90947008d071196efdd862fd9d138aa787dc20df985aa7b6a70f321654067c3b9773dbca04c850dbd0154f18d29b56eb451e0817dbecb2304ee8aa46851e694b420f76a90e6fbd2a9630fa1ede1e516993.p.3082.0.1.Europe/Madrid.upriv*_1*_pidn2*_9*_session*-lat*_1.00000001b39369253498e220ba4a04f320bf2a25bc6025e08f8710c3bfb5b704a1db96de0a7a1ef607320bb758e0b43d0bc5b52c2defb08a.000000015cacb8e012e0b3019e8947ce58cc68e4bc6025e05c1eef22cf97e295032766986bd4964d5a14185430afcdd5562d09e7819c65ad.0.1.1.BDEbi.D066E1C611E6257C10D00080EF253B44.0-3082.1.1_-0.1.0_-3082.1.1_5.5.0.*0.00000001e4a3bfddfd90033e93fbfca2a7df8241c911585acdf5217b10d2d0f7e5f981ade2842e9e.0.23.11*.2*.0400*.31152J.e.00000001500e5a1f97cd3de937c8a3f341a7bd17c911585aa1b757ca4c1e13c031d9f54391c2925a.0.10*.131*.122*.122.0.0" msgID="F82F743011EC542D2CEF0080EFA58368"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nrr="37" nrc="456"&gt;&lt;pg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</si>
</sst>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4" fontId="32" fillId="6" borderId="10" xfId="13" applyNumberFormat="1" applyAlignment="1">
      <alignment horizontal="right" vertical="center"/>
    </xf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0162601626016249"/>
                  <c:y val="3.8429442643198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0421061391716281"/>
                  <c:y val="6.4215686274509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72522885858780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9.1056910569105753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3.5772357723577175E-2"/>
                  <c:y val="-0.154419870310328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0.13983739837398373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764227642276411"/>
                  <c:y val="-3.9661494519067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4.4493761823228981</c:v>
                </c:pt>
                <c:pt idx="2">
                  <c:v>3.1380567159782817</c:v>
                </c:pt>
                <c:pt idx="3">
                  <c:v>75.97512422039469</c:v>
                </c:pt>
                <c:pt idx="4">
                  <c:v>0</c:v>
                </c:pt>
                <c:pt idx="5">
                  <c:v>0.37962144971286804</c:v>
                </c:pt>
                <c:pt idx="6">
                  <c:v>3.4737311932327972</c:v>
                </c:pt>
                <c:pt idx="7">
                  <c:v>3.4737311932327972</c:v>
                </c:pt>
                <c:pt idx="8">
                  <c:v>8.9777313081853952E-2</c:v>
                </c:pt>
                <c:pt idx="9">
                  <c:v>2.0380126376650303</c:v>
                </c:pt>
                <c:pt idx="10">
                  <c:v>6.1742424742711771E-2</c:v>
                </c:pt>
                <c:pt idx="11">
                  <c:v>6.920826669636079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11.778978572150507</c:v>
                </c:pt>
                <c:pt idx="1">
                  <c:v>6.8075854600239669</c:v>
                </c:pt>
                <c:pt idx="2">
                  <c:v>29.452329920663228</c:v>
                </c:pt>
                <c:pt idx="3">
                  <c:v>40.186241571404032</c:v>
                </c:pt>
                <c:pt idx="4">
                  <c:v>0</c:v>
                </c:pt>
                <c:pt idx="5">
                  <c:v>0.56272458576654349</c:v>
                </c:pt>
                <c:pt idx="6">
                  <c:v>1.8264253673235031</c:v>
                </c:pt>
                <c:pt idx="7">
                  <c:v>1.8264253673235031</c:v>
                </c:pt>
                <c:pt idx="8">
                  <c:v>0.17617191210212668</c:v>
                </c:pt>
                <c:pt idx="9">
                  <c:v>7.2790989001303057</c:v>
                </c:pt>
                <c:pt idx="10">
                  <c:v>0.10401834311227437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18.689830000000001</c:v>
                </c:pt>
                <c:pt idx="1">
                  <c:v>78.075038000000006</c:v>
                </c:pt>
                <c:pt idx="2">
                  <c:v>-0.63269200000000003</c:v>
                </c:pt>
                <c:pt idx="3">
                  <c:v>-0.606159</c:v>
                </c:pt>
                <c:pt idx="4">
                  <c:v>-0.651559</c:v>
                </c:pt>
                <c:pt idx="5">
                  <c:v>-0.59136100000000003</c:v>
                </c:pt>
                <c:pt idx="6">
                  <c:v>-1.103416</c:v>
                </c:pt>
                <c:pt idx="7">
                  <c:v>41.953423999999998</c:v>
                </c:pt>
                <c:pt idx="8">
                  <c:v>9.292719</c:v>
                </c:pt>
                <c:pt idx="9">
                  <c:v>-0.72875599999999996</c:v>
                </c:pt>
                <c:pt idx="10">
                  <c:v>-0.54997399999999996</c:v>
                </c:pt>
                <c:pt idx="11">
                  <c:v>-0.58327700000000005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29.083095999999998</c:v>
                </c:pt>
                <c:pt idx="1">
                  <c:v>33.649616000000002</c:v>
                </c:pt>
                <c:pt idx="2">
                  <c:v>45.739437000000002</c:v>
                </c:pt>
                <c:pt idx="3">
                  <c:v>26.606086999999999</c:v>
                </c:pt>
                <c:pt idx="4">
                  <c:v>27.369999999999997</c:v>
                </c:pt>
                <c:pt idx="5">
                  <c:v>26.434747999999999</c:v>
                </c:pt>
                <c:pt idx="6">
                  <c:v>28.996893</c:v>
                </c:pt>
                <c:pt idx="7">
                  <c:v>60.343260999999998</c:v>
                </c:pt>
                <c:pt idx="8">
                  <c:v>87.100239000000002</c:v>
                </c:pt>
                <c:pt idx="9">
                  <c:v>103.041223</c:v>
                </c:pt>
                <c:pt idx="10">
                  <c:v>93.606610000000003</c:v>
                </c:pt>
                <c:pt idx="11">
                  <c:v>60.567518999999997</c:v>
                </c:pt>
                <c:pt idx="12">
                  <c:v>30.964210999999999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185.01524499999999</c:v>
                </c:pt>
                <c:pt idx="1">
                  <c:v>159.35356899999999</c:v>
                </c:pt>
                <c:pt idx="2">
                  <c:v>260.27204499999999</c:v>
                </c:pt>
                <c:pt idx="3">
                  <c:v>187.465463</c:v>
                </c:pt>
                <c:pt idx="4">
                  <c:v>217.47864799999999</c:v>
                </c:pt>
                <c:pt idx="5">
                  <c:v>208.53059300000001</c:v>
                </c:pt>
                <c:pt idx="6">
                  <c:v>203.81251599999999</c:v>
                </c:pt>
                <c:pt idx="7">
                  <c:v>240.57820899999999</c:v>
                </c:pt>
                <c:pt idx="8">
                  <c:v>408.79444899999999</c:v>
                </c:pt>
                <c:pt idx="9">
                  <c:v>437.91378300000002</c:v>
                </c:pt>
                <c:pt idx="10">
                  <c:v>367.24080800000002</c:v>
                </c:pt>
                <c:pt idx="11">
                  <c:v>312.10340600000001</c:v>
                </c:pt>
                <c:pt idx="12">
                  <c:v>310.05345399999999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0.34884399999999999</c:v>
                </c:pt>
                <c:pt idx="1">
                  <c:v>0.28645399999999999</c:v>
                </c:pt>
                <c:pt idx="2">
                  <c:v>0.27796300000000002</c:v>
                </c:pt>
                <c:pt idx="3">
                  <c:v>0.15948300000000001</c:v>
                </c:pt>
                <c:pt idx="4">
                  <c:v>0.30611500000000003</c:v>
                </c:pt>
                <c:pt idx="5">
                  <c:v>0.29466900000000001</c:v>
                </c:pt>
                <c:pt idx="6">
                  <c:v>0.189554</c:v>
                </c:pt>
                <c:pt idx="7">
                  <c:v>9.4216999999999995E-2</c:v>
                </c:pt>
                <c:pt idx="8">
                  <c:v>0.106017</c:v>
                </c:pt>
                <c:pt idx="9">
                  <c:v>0.20128099999999999</c:v>
                </c:pt>
                <c:pt idx="10">
                  <c:v>0.27444800000000003</c:v>
                </c:pt>
                <c:pt idx="11">
                  <c:v>0.26974799999999999</c:v>
                </c:pt>
                <c:pt idx="12">
                  <c:v>0.36637999999999998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6.7605230000000001</c:v>
                </c:pt>
                <c:pt idx="1">
                  <c:v>6.7367169999999996</c:v>
                </c:pt>
                <c:pt idx="2">
                  <c:v>8.4045810000000003</c:v>
                </c:pt>
                <c:pt idx="3">
                  <c:v>9.5098800000000008</c:v>
                </c:pt>
                <c:pt idx="4">
                  <c:v>13.293218</c:v>
                </c:pt>
                <c:pt idx="5">
                  <c:v>14.709775</c:v>
                </c:pt>
                <c:pt idx="6">
                  <c:v>22.195191000000001</c:v>
                </c:pt>
                <c:pt idx="7">
                  <c:v>21.167138000000001</c:v>
                </c:pt>
                <c:pt idx="8">
                  <c:v>22.964213999999998</c:v>
                </c:pt>
                <c:pt idx="9">
                  <c:v>21.349046000000001</c:v>
                </c:pt>
                <c:pt idx="10">
                  <c:v>17.621782</c:v>
                </c:pt>
                <c:pt idx="11">
                  <c:v>16.793078000000001</c:v>
                </c:pt>
                <c:pt idx="12">
                  <c:v>8.3171020000000002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6.9145999999999999E-2</c:v>
                </c:pt>
                <c:pt idx="1">
                  <c:v>3.986E-2</c:v>
                </c:pt>
                <c:pt idx="2">
                  <c:v>5.7757000000000003E-2</c:v>
                </c:pt>
                <c:pt idx="3">
                  <c:v>7.6887999999999998E-2</c:v>
                </c:pt>
                <c:pt idx="4">
                  <c:v>0.13778699999999999</c:v>
                </c:pt>
                <c:pt idx="5">
                  <c:v>0.10574</c:v>
                </c:pt>
                <c:pt idx="6">
                  <c:v>0.118546</c:v>
                </c:pt>
                <c:pt idx="7">
                  <c:v>9.8640000000000005E-2</c:v>
                </c:pt>
                <c:pt idx="8">
                  <c:v>9.6151E-2</c:v>
                </c:pt>
                <c:pt idx="9">
                  <c:v>8.4413000000000002E-2</c:v>
                </c:pt>
                <c:pt idx="10">
                  <c:v>8.1381999999999996E-2</c:v>
                </c:pt>
                <c:pt idx="11">
                  <c:v>0.243059</c:v>
                </c:pt>
                <c:pt idx="12">
                  <c:v>0.25197000000000003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2.521382</c:v>
                </c:pt>
                <c:pt idx="1">
                  <c:v>3.3692880000000001</c:v>
                </c:pt>
                <c:pt idx="2">
                  <c:v>4.0659429999999999</c:v>
                </c:pt>
                <c:pt idx="3">
                  <c:v>3.641699</c:v>
                </c:pt>
                <c:pt idx="4">
                  <c:v>3.9954990000000001</c:v>
                </c:pt>
                <c:pt idx="5">
                  <c:v>3.2208809999999999</c:v>
                </c:pt>
                <c:pt idx="6">
                  <c:v>2.5715810000000001</c:v>
                </c:pt>
                <c:pt idx="7">
                  <c:v>3.062163</c:v>
                </c:pt>
                <c:pt idx="8">
                  <c:v>3.6905410000000001</c:v>
                </c:pt>
                <c:pt idx="9">
                  <c:v>3.5683280000000002</c:v>
                </c:pt>
                <c:pt idx="10">
                  <c:v>3.678795</c:v>
                </c:pt>
                <c:pt idx="11">
                  <c:v>4.0205719999999996</c:v>
                </c:pt>
                <c:pt idx="12">
                  <c:v>1.5492300000000001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12.812825</c:v>
                </c:pt>
                <c:pt idx="1">
                  <c:v>8.6052265000000006</c:v>
                </c:pt>
                <c:pt idx="2">
                  <c:v>7.1515275000000003</c:v>
                </c:pt>
                <c:pt idx="3">
                  <c:v>10.723705000000001</c:v>
                </c:pt>
                <c:pt idx="4">
                  <c:v>10.093087499999999</c:v>
                </c:pt>
                <c:pt idx="5">
                  <c:v>7.5393055000000002</c:v>
                </c:pt>
                <c:pt idx="6">
                  <c:v>6.0236640000000001</c:v>
                </c:pt>
                <c:pt idx="7">
                  <c:v>13.481942</c:v>
                </c:pt>
                <c:pt idx="8">
                  <c:v>11.473026000000001</c:v>
                </c:pt>
                <c:pt idx="9">
                  <c:v>13.3199895</c:v>
                </c:pt>
                <c:pt idx="10">
                  <c:v>11.972504499999999</c:v>
                </c:pt>
                <c:pt idx="11">
                  <c:v>6.4146000000000001</c:v>
                </c:pt>
                <c:pt idx="12">
                  <c:v>14.17625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12.812825</c:v>
                </c:pt>
                <c:pt idx="1">
                  <c:v>8.6052265000000006</c:v>
                </c:pt>
                <c:pt idx="2">
                  <c:v>7.1515275000000003</c:v>
                </c:pt>
                <c:pt idx="3">
                  <c:v>10.723705000000001</c:v>
                </c:pt>
                <c:pt idx="4">
                  <c:v>10.093087499999999</c:v>
                </c:pt>
                <c:pt idx="5">
                  <c:v>7.5393055000000002</c:v>
                </c:pt>
                <c:pt idx="6">
                  <c:v>6.0236640000000001</c:v>
                </c:pt>
                <c:pt idx="7">
                  <c:v>13.481942</c:v>
                </c:pt>
                <c:pt idx="8">
                  <c:v>11.473026000000001</c:v>
                </c:pt>
                <c:pt idx="9">
                  <c:v>13.3199895</c:v>
                </c:pt>
                <c:pt idx="10">
                  <c:v>11.972504499999999</c:v>
                </c:pt>
                <c:pt idx="11">
                  <c:v>6.4146000000000001</c:v>
                </c:pt>
                <c:pt idx="12">
                  <c:v>14.17625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96.327618999999999</c:v>
                </c:pt>
                <c:pt idx="1">
                  <c:v>138.26159999999999</c:v>
                </c:pt>
                <c:pt idx="2">
                  <c:v>138.25041200000001</c:v>
                </c:pt>
                <c:pt idx="3">
                  <c:v>113.412009</c:v>
                </c:pt>
                <c:pt idx="4">
                  <c:v>127.985573</c:v>
                </c:pt>
                <c:pt idx="5">
                  <c:v>111.02179700000001</c:v>
                </c:pt>
                <c:pt idx="6">
                  <c:v>111.601713</c:v>
                </c:pt>
                <c:pt idx="7">
                  <c:v>65.429468</c:v>
                </c:pt>
                <c:pt idx="8">
                  <c:v>45.879221000000001</c:v>
                </c:pt>
                <c:pt idx="9">
                  <c:v>40.107311000000003</c:v>
                </c:pt>
                <c:pt idx="10">
                  <c:v>37.549396999999999</c:v>
                </c:pt>
                <c:pt idx="11">
                  <c:v>38.285525</c:v>
                </c:pt>
                <c:pt idx="12">
                  <c:v>28.2438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15.838129432338352</c:v>
                </c:pt>
                <c:pt idx="1">
                  <c:v>16.913513866561804</c:v>
                </c:pt>
                <c:pt idx="2">
                  <c:v>15.67573371590473</c:v>
                </c:pt>
                <c:pt idx="3">
                  <c:v>28.107450600331411</c:v>
                </c:pt>
                <c:pt idx="4">
                  <c:v>1.2407032735528774</c:v>
                </c:pt>
                <c:pt idx="5">
                  <c:v>4.9368297795821296E-2</c:v>
                </c:pt>
                <c:pt idx="6">
                  <c:v>0.36766390200572174</c:v>
                </c:pt>
                <c:pt idx="7">
                  <c:v>16.23031508752555</c:v>
                </c:pt>
                <c:pt idx="8">
                  <c:v>5.4570789103960022</c:v>
                </c:pt>
                <c:pt idx="9">
                  <c:v>0.12004291358773389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9.4308943089430899E-2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495922156071954"/>
                  <c:y val="-0.15441176470588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21.864616970187356</c:v>
                </c:pt>
                <c:pt idx="1">
                  <c:v>1.5644561392982894</c:v>
                </c:pt>
                <c:pt idx="2">
                  <c:v>15.133881755957329</c:v>
                </c:pt>
                <c:pt idx="3">
                  <c:v>46.069671464951199</c:v>
                </c:pt>
                <c:pt idx="4">
                  <c:v>0</c:v>
                </c:pt>
                <c:pt idx="5">
                  <c:v>0</c:v>
                </c:pt>
                <c:pt idx="6">
                  <c:v>0.16583096231691921</c:v>
                </c:pt>
                <c:pt idx="7">
                  <c:v>13.062741176837401</c:v>
                </c:pt>
                <c:pt idx="8">
                  <c:v>2.1388015304515102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0.28527599999999997</c:v>
                </c:pt>
                <c:pt idx="1">
                  <c:v>0.29958099999999999</c:v>
                </c:pt>
                <c:pt idx="2">
                  <c:v>0.29762100000000002</c:v>
                </c:pt>
                <c:pt idx="3">
                  <c:v>0.25852999999999998</c:v>
                </c:pt>
                <c:pt idx="4">
                  <c:v>0.28226499999999999</c:v>
                </c:pt>
                <c:pt idx="5">
                  <c:v>0.13780600000000001</c:v>
                </c:pt>
                <c:pt idx="6">
                  <c:v>0.26783600000000002</c:v>
                </c:pt>
                <c:pt idx="7">
                  <c:v>0.28217700000000001</c:v>
                </c:pt>
                <c:pt idx="8">
                  <c:v>0.28972599999999998</c:v>
                </c:pt>
                <c:pt idx="9">
                  <c:v>0.28065899999999999</c:v>
                </c:pt>
                <c:pt idx="10">
                  <c:v>0.27753299999999997</c:v>
                </c:pt>
                <c:pt idx="11">
                  <c:v>0.28213100000000002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287.12516499999998</c:v>
                </c:pt>
                <c:pt idx="1">
                  <c:v>272.274542</c:v>
                </c:pt>
                <c:pt idx="2">
                  <c:v>267.49094000000002</c:v>
                </c:pt>
                <c:pt idx="3">
                  <c:v>227.675399</c:v>
                </c:pt>
                <c:pt idx="4">
                  <c:v>244.02209900000003</c:v>
                </c:pt>
                <c:pt idx="5">
                  <c:v>226.89470900000001</c:v>
                </c:pt>
                <c:pt idx="6">
                  <c:v>205.95798300000001</c:v>
                </c:pt>
                <c:pt idx="7">
                  <c:v>182.21304600000002</c:v>
                </c:pt>
                <c:pt idx="8">
                  <c:v>222.63896800000001</c:v>
                </c:pt>
                <c:pt idx="9">
                  <c:v>266.14883300000002</c:v>
                </c:pt>
                <c:pt idx="10">
                  <c:v>313.81515200000001</c:v>
                </c:pt>
                <c:pt idx="11">
                  <c:v>299.91658699999999</c:v>
                </c:pt>
                <c:pt idx="12">
                  <c:v>274.46395399999994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292.22053799999998</c:v>
                </c:pt>
                <c:pt idx="1">
                  <c:v>314.37255499999998</c:v>
                </c:pt>
                <c:pt idx="2">
                  <c:v>280.66014899999999</c:v>
                </c:pt>
                <c:pt idx="3">
                  <c:v>269.76136200000002</c:v>
                </c:pt>
                <c:pt idx="4">
                  <c:v>284.19602200000003</c:v>
                </c:pt>
                <c:pt idx="5">
                  <c:v>311.21022299999998</c:v>
                </c:pt>
                <c:pt idx="6">
                  <c:v>236.28277700000001</c:v>
                </c:pt>
                <c:pt idx="7">
                  <c:v>276.61590899999999</c:v>
                </c:pt>
                <c:pt idx="8">
                  <c:v>284.60979800000001</c:v>
                </c:pt>
                <c:pt idx="9">
                  <c:v>284.30052499999999</c:v>
                </c:pt>
                <c:pt idx="10">
                  <c:v>278.88830000000002</c:v>
                </c:pt>
                <c:pt idx="11">
                  <c:v>288.42916700000001</c:v>
                </c:pt>
                <c:pt idx="12">
                  <c:v>327.89147600000001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0.821801</c:v>
                </c:pt>
                <c:pt idx="1">
                  <c:v>0.95850199999999997</c:v>
                </c:pt>
                <c:pt idx="2">
                  <c:v>0.99317</c:v>
                </c:pt>
                <c:pt idx="3">
                  <c:v>1.226483</c:v>
                </c:pt>
                <c:pt idx="4">
                  <c:v>1.921443</c:v>
                </c:pt>
                <c:pt idx="5">
                  <c:v>0.83590799999999998</c:v>
                </c:pt>
                <c:pt idx="6">
                  <c:v>3.227077</c:v>
                </c:pt>
                <c:pt idx="7">
                  <c:v>3.0020419999999999</c:v>
                </c:pt>
                <c:pt idx="8">
                  <c:v>3.5782180000000001</c:v>
                </c:pt>
                <c:pt idx="9">
                  <c:v>2.663478</c:v>
                </c:pt>
                <c:pt idx="10">
                  <c:v>1.4201079999999999</c:v>
                </c:pt>
                <c:pt idx="11">
                  <c:v>1.852679</c:v>
                </c:pt>
                <c:pt idx="12">
                  <c:v>1.1802680000000001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54.913390999999997</c:v>
                </c:pt>
                <c:pt idx="1">
                  <c:v>61.422595000000001</c:v>
                </c:pt>
                <c:pt idx="2">
                  <c:v>81.695520000000002</c:v>
                </c:pt>
                <c:pt idx="3">
                  <c:v>58.505417000000001</c:v>
                </c:pt>
                <c:pt idx="4">
                  <c:v>84.841812000000004</c:v>
                </c:pt>
                <c:pt idx="5">
                  <c:v>52.700510000000001</c:v>
                </c:pt>
                <c:pt idx="6">
                  <c:v>162.60342700000001</c:v>
                </c:pt>
                <c:pt idx="7">
                  <c:v>148.01756800000001</c:v>
                </c:pt>
                <c:pt idx="8">
                  <c:v>158.51529099999999</c:v>
                </c:pt>
                <c:pt idx="9">
                  <c:v>145.85740200000001</c:v>
                </c:pt>
                <c:pt idx="10">
                  <c:v>106.41552299999999</c:v>
                </c:pt>
                <c:pt idx="11">
                  <c:v>121.87329699999999</c:v>
                </c:pt>
                <c:pt idx="12">
                  <c:v>92.971391999999994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16.227492000000002</c:v>
                </c:pt>
                <c:pt idx="1">
                  <c:v>15.507413</c:v>
                </c:pt>
                <c:pt idx="2">
                  <c:v>16.464936000000002</c:v>
                </c:pt>
                <c:pt idx="3">
                  <c:v>17.884999000000001</c:v>
                </c:pt>
                <c:pt idx="4">
                  <c:v>24.290976000000001</c:v>
                </c:pt>
                <c:pt idx="5">
                  <c:v>22.565013</c:v>
                </c:pt>
                <c:pt idx="6">
                  <c:v>27.019202</c:v>
                </c:pt>
                <c:pt idx="7">
                  <c:v>24.71088</c:v>
                </c:pt>
                <c:pt idx="8">
                  <c:v>27.905276000000001</c:v>
                </c:pt>
                <c:pt idx="9">
                  <c:v>26.100961999999999</c:v>
                </c:pt>
                <c:pt idx="10">
                  <c:v>21.461660999999999</c:v>
                </c:pt>
                <c:pt idx="11">
                  <c:v>20.903444</c:v>
                </c:pt>
                <c:pt idx="12">
                  <c:v>15.222483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nov.-20</c:v>
                </c:pt>
                <c:pt idx="1">
                  <c:v>dic.-20</c:v>
                </c:pt>
                <c:pt idx="2">
                  <c:v>ene.-21</c:v>
                </c:pt>
                <c:pt idx="3">
                  <c:v>feb.-21</c:v>
                </c:pt>
                <c:pt idx="4">
                  <c:v>mar.-21</c:v>
                </c:pt>
                <c:pt idx="5">
                  <c:v>abr.-21</c:v>
                </c:pt>
                <c:pt idx="6">
                  <c:v>may.-21</c:v>
                </c:pt>
                <c:pt idx="7">
                  <c:v>jun.-21</c:v>
                </c:pt>
                <c:pt idx="8">
                  <c:v>jul.-21</c:v>
                </c:pt>
                <c:pt idx="9">
                  <c:v>ago.-21</c:v>
                </c:pt>
                <c:pt idx="10">
                  <c:v>sep.-21</c:v>
                </c:pt>
                <c:pt idx="11">
                  <c:v>oct.-21</c:v>
                </c:pt>
                <c:pt idx="12">
                  <c:v>nov.-21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0.74310299999999996</c:v>
                </c:pt>
                <c:pt idx="1">
                  <c:v>0.75252699999999995</c:v>
                </c:pt>
                <c:pt idx="2">
                  <c:v>0.35872300000000001</c:v>
                </c:pt>
                <c:pt idx="3">
                  <c:v>0.69978200000000002</c:v>
                </c:pt>
                <c:pt idx="4">
                  <c:v>0.79178499999999996</c:v>
                </c:pt>
                <c:pt idx="5">
                  <c:v>0.72202100000000002</c:v>
                </c:pt>
                <c:pt idx="6">
                  <c:v>0.72256799999999999</c:v>
                </c:pt>
                <c:pt idx="7">
                  <c:v>0.72395900000000002</c:v>
                </c:pt>
                <c:pt idx="8">
                  <c:v>0.73402900000000004</c:v>
                </c:pt>
                <c:pt idx="9">
                  <c:v>0.56980699999999995</c:v>
                </c:pt>
                <c:pt idx="10">
                  <c:v>0.40013300000000002</c:v>
                </c:pt>
                <c:pt idx="11">
                  <c:v>0.75599700000000003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Noviembre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3" zoomScaleNormal="100" workbookViewId="0">
      <selection activeCell="A78" sqref="A78"/>
    </sheetView>
  </sheetViews>
  <sheetFormatPr baseColWidth="10" defaultColWidth="11.42578125" defaultRowHeight="12"/>
  <cols>
    <col min="1" max="1" width="12.140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128</v>
      </c>
      <c r="B2" s="144" t="s">
        <v>129</v>
      </c>
    </row>
    <row r="4" spans="1:33" ht="15">
      <c r="A4" s="145" t="s">
        <v>67</v>
      </c>
      <c r="B4" s="206" t="s">
        <v>128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88" t="s">
        <v>59</v>
      </c>
      <c r="C6" s="188" t="s">
        <v>60</v>
      </c>
      <c r="D6" s="188" t="s">
        <v>61</v>
      </c>
      <c r="E6" s="188" t="s">
        <v>62</v>
      </c>
      <c r="F6" s="188" t="s">
        <v>63</v>
      </c>
      <c r="G6" s="188" t="s">
        <v>64</v>
      </c>
      <c r="H6" s="188" t="s">
        <v>65</v>
      </c>
      <c r="I6" s="188" t="s">
        <v>66</v>
      </c>
      <c r="J6" s="188" t="s">
        <v>59</v>
      </c>
      <c r="K6" s="188" t="s">
        <v>60</v>
      </c>
      <c r="L6" s="188" t="s">
        <v>61</v>
      </c>
      <c r="M6" s="188" t="s">
        <v>62</v>
      </c>
      <c r="N6" s="188" t="s">
        <v>63</v>
      </c>
      <c r="O6" s="188" t="s">
        <v>64</v>
      </c>
      <c r="P6" s="188" t="s">
        <v>65</v>
      </c>
      <c r="Q6" s="188" t="s">
        <v>66</v>
      </c>
      <c r="R6" s="188" t="s">
        <v>59</v>
      </c>
      <c r="S6" s="188" t="s">
        <v>60</v>
      </c>
      <c r="T6" s="188" t="s">
        <v>61</v>
      </c>
      <c r="U6" s="188" t="s">
        <v>62</v>
      </c>
      <c r="V6" s="188" t="s">
        <v>63</v>
      </c>
      <c r="W6" s="188" t="s">
        <v>64</v>
      </c>
      <c r="X6" s="188" t="s">
        <v>65</v>
      </c>
      <c r="Y6" s="188" t="s">
        <v>66</v>
      </c>
      <c r="Z6" s="188" t="s">
        <v>59</v>
      </c>
      <c r="AA6" s="188" t="s">
        <v>60</v>
      </c>
      <c r="AB6" s="188" t="s">
        <v>61</v>
      </c>
      <c r="AC6" s="188" t="s">
        <v>62</v>
      </c>
      <c r="AD6" s="188" t="s">
        <v>63</v>
      </c>
      <c r="AE6" s="188" t="s">
        <v>64</v>
      </c>
      <c r="AF6" s="188" t="s">
        <v>65</v>
      </c>
      <c r="AG6" s="188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0</v>
      </c>
      <c r="AA8" s="158">
        <v>285.27600000000001</v>
      </c>
      <c r="AB8" s="151">
        <v>-1</v>
      </c>
      <c r="AC8" s="158">
        <v>2656.2840000000001</v>
      </c>
      <c r="AD8" s="158">
        <v>3181.6219999999998</v>
      </c>
      <c r="AE8" s="151">
        <v>-0.16511640920000001</v>
      </c>
      <c r="AF8" s="158">
        <v>2955.8649999999998</v>
      </c>
      <c r="AG8" s="151">
        <v>-0.15080067120000001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0</v>
      </c>
      <c r="S9" s="158">
        <v>18689.830000000002</v>
      </c>
      <c r="T9" s="151">
        <v>-1</v>
      </c>
      <c r="U9" s="158">
        <v>45798.949000000001</v>
      </c>
      <c r="V9" s="158">
        <v>143586.45300000001</v>
      </c>
      <c r="W9" s="151">
        <v>-0.68103572420000003</v>
      </c>
      <c r="X9" s="158">
        <v>123873.98699999999</v>
      </c>
      <c r="Y9" s="151">
        <v>-0.5596433207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16461.435000000001</v>
      </c>
      <c r="C10" s="158">
        <v>15783.9</v>
      </c>
      <c r="D10" s="151">
        <v>4.29257028E-2</v>
      </c>
      <c r="E10" s="158">
        <v>180268.511</v>
      </c>
      <c r="F10" s="158">
        <v>181974.861</v>
      </c>
      <c r="G10" s="151">
        <v>-9.3768445999999998E-3</v>
      </c>
      <c r="H10" s="158">
        <v>197322.505</v>
      </c>
      <c r="I10" s="151">
        <v>-1.1832836100000001E-2</v>
      </c>
      <c r="J10" s="158">
        <v>15595.225</v>
      </c>
      <c r="K10" s="158">
        <v>14586.448</v>
      </c>
      <c r="L10" s="151">
        <v>6.9158509300000004E-2</v>
      </c>
      <c r="M10" s="158">
        <v>177997.39300000001</v>
      </c>
      <c r="N10" s="158">
        <v>180224.09400000001</v>
      </c>
      <c r="O10" s="151">
        <v>-1.23551793E-2</v>
      </c>
      <c r="P10" s="158">
        <v>194559.84099999999</v>
      </c>
      <c r="Q10" s="151">
        <v>-7.8659526999999996E-3</v>
      </c>
      <c r="R10" s="158">
        <v>18157.844000000001</v>
      </c>
      <c r="S10" s="158">
        <v>18608.251</v>
      </c>
      <c r="T10" s="151">
        <v>-2.4204692900000001E-2</v>
      </c>
      <c r="U10" s="158">
        <v>368690.73200000002</v>
      </c>
      <c r="V10" s="158">
        <v>260254.74299999999</v>
      </c>
      <c r="W10" s="151">
        <v>0.41665326730000002</v>
      </c>
      <c r="X10" s="158">
        <v>390799.79700000002</v>
      </c>
      <c r="Y10" s="151">
        <v>0.39724039020000002</v>
      </c>
      <c r="Z10" s="158">
        <v>155616.94500000001</v>
      </c>
      <c r="AA10" s="158">
        <v>147436.17000000001</v>
      </c>
      <c r="AB10" s="151">
        <v>5.5486893099999997E-2</v>
      </c>
      <c r="AC10" s="158">
        <v>1565427.017</v>
      </c>
      <c r="AD10" s="158">
        <v>1570953.605</v>
      </c>
      <c r="AE10" s="151">
        <v>-3.5179830000000001E-3</v>
      </c>
      <c r="AF10" s="158">
        <v>1711882.5549999999</v>
      </c>
      <c r="AG10" s="151">
        <v>-1.74625183E-2</v>
      </c>
    </row>
    <row r="11" spans="1:33">
      <c r="A11" s="144" t="s">
        <v>9</v>
      </c>
      <c r="B11" s="158">
        <v>0.7</v>
      </c>
      <c r="C11" s="158">
        <v>8.7870000000000008</v>
      </c>
      <c r="D11" s="151">
        <v>-0.92033686130000003</v>
      </c>
      <c r="E11" s="158">
        <v>195.142</v>
      </c>
      <c r="F11" s="158">
        <v>169.24700000000001</v>
      </c>
      <c r="G11" s="151">
        <v>0.1530012349</v>
      </c>
      <c r="H11" s="158">
        <v>195.142</v>
      </c>
      <c r="I11" s="151">
        <v>0.1480426879</v>
      </c>
      <c r="J11" s="158">
        <v>0.68300000000000005</v>
      </c>
      <c r="K11" s="158">
        <v>6.141</v>
      </c>
      <c r="L11" s="151">
        <v>-0.88878032890000003</v>
      </c>
      <c r="M11" s="158">
        <v>91.093999999999994</v>
      </c>
      <c r="N11" s="158">
        <v>94.561999999999998</v>
      </c>
      <c r="O11" s="151">
        <v>-3.6674351199999997E-2</v>
      </c>
      <c r="P11" s="158">
        <v>92.435000000000002</v>
      </c>
      <c r="Q11" s="151">
        <v>-3.0429218800000001E-2</v>
      </c>
      <c r="R11" s="158">
        <v>12806.367</v>
      </c>
      <c r="S11" s="158">
        <v>10474.844999999999</v>
      </c>
      <c r="T11" s="151">
        <v>0.22258295950000001</v>
      </c>
      <c r="U11" s="158">
        <v>210055.834</v>
      </c>
      <c r="V11" s="158">
        <v>199016.41699999999</v>
      </c>
      <c r="W11" s="151">
        <v>5.5469881200000001E-2</v>
      </c>
      <c r="X11" s="158">
        <v>221596.38500000001</v>
      </c>
      <c r="Y11" s="151">
        <v>9.8830333999999995E-3</v>
      </c>
      <c r="Z11" s="158">
        <v>11134.697</v>
      </c>
      <c r="AA11" s="158">
        <v>18073.918000000001</v>
      </c>
      <c r="AB11" s="151">
        <v>-0.38393562479999999</v>
      </c>
      <c r="AC11" s="158">
        <v>178067.62599999999</v>
      </c>
      <c r="AD11" s="158">
        <v>179673.91800000001</v>
      </c>
      <c r="AE11" s="151">
        <v>-8.9400399000000002E-3</v>
      </c>
      <c r="AF11" s="158">
        <v>194154.40100000001</v>
      </c>
      <c r="AG11" s="151">
        <v>-1.13339905E-2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107712.31200000001</v>
      </c>
      <c r="AA12" s="158">
        <v>121615.077</v>
      </c>
      <c r="AB12" s="151">
        <v>-0.1143177749</v>
      </c>
      <c r="AC12" s="158">
        <v>987743.027</v>
      </c>
      <c r="AD12" s="158">
        <v>1277875.2949999999</v>
      </c>
      <c r="AE12" s="151">
        <v>-0.22704270839999999</v>
      </c>
      <c r="AF12" s="158">
        <v>1097475.2560000001</v>
      </c>
      <c r="AG12" s="151">
        <v>-0.24158453560000001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310053.45400000003</v>
      </c>
      <c r="S13" s="158">
        <v>185015.245</v>
      </c>
      <c r="T13" s="151">
        <v>0.67582651910000002</v>
      </c>
      <c r="U13" s="158">
        <v>3154243.3739999998</v>
      </c>
      <c r="V13" s="158">
        <v>2252783.2769999998</v>
      </c>
      <c r="W13" s="151">
        <v>0.4001539368</v>
      </c>
      <c r="X13" s="158">
        <v>3313596.943</v>
      </c>
      <c r="Y13" s="151">
        <v>0.4100358744</v>
      </c>
      <c r="Z13" s="158">
        <v>327891.47600000002</v>
      </c>
      <c r="AA13" s="158">
        <v>292220.538</v>
      </c>
      <c r="AB13" s="151">
        <v>0.1220685522</v>
      </c>
      <c r="AC13" s="158">
        <v>3122845.7080000001</v>
      </c>
      <c r="AD13" s="158">
        <v>2939897.34</v>
      </c>
      <c r="AE13" s="151">
        <v>6.2229509000000002E-2</v>
      </c>
      <c r="AF13" s="158">
        <v>3437218.2629999998</v>
      </c>
      <c r="AG13" s="151">
        <v>6.0281532499999999E-2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12023.662</v>
      </c>
      <c r="V14" s="158">
        <v>3903.8110000000001</v>
      </c>
      <c r="W14" s="151">
        <v>2.0799805625999999</v>
      </c>
      <c r="X14" s="158">
        <v>12023.662</v>
      </c>
      <c r="Y14" s="151">
        <v>2.0799805625999999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1180.268</v>
      </c>
      <c r="AA15" s="158">
        <v>821.80100000000004</v>
      </c>
      <c r="AB15" s="151">
        <v>0.43619684079999999</v>
      </c>
      <c r="AC15" s="158">
        <v>21900.874</v>
      </c>
      <c r="AD15" s="158">
        <v>18581.724999999999</v>
      </c>
      <c r="AE15" s="151">
        <v>0.17862437419999999</v>
      </c>
      <c r="AF15" s="158">
        <v>22859.376</v>
      </c>
      <c r="AG15" s="151">
        <v>0.1579412701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366.38</v>
      </c>
      <c r="S16" s="158">
        <v>348.84399999999999</v>
      </c>
      <c r="T16" s="151">
        <v>5.0268888099999999E-2</v>
      </c>
      <c r="U16" s="158">
        <v>2539.875</v>
      </c>
      <c r="V16" s="158">
        <v>3354.4690000000001</v>
      </c>
      <c r="W16" s="151">
        <v>-0.24283843429999999</v>
      </c>
      <c r="X16" s="158">
        <v>2826.3290000000002</v>
      </c>
      <c r="Y16" s="151">
        <v>-0.25618105800000002</v>
      </c>
      <c r="Z16" s="158">
        <v>92971.392000000007</v>
      </c>
      <c r="AA16" s="158">
        <v>54913.391000000003</v>
      </c>
      <c r="AB16" s="151">
        <v>0.69305501459999996</v>
      </c>
      <c r="AC16" s="158">
        <v>1213997.159</v>
      </c>
      <c r="AD16" s="158">
        <v>1039126.728</v>
      </c>
      <c r="AE16" s="151">
        <v>0.16828595230000001</v>
      </c>
      <c r="AF16" s="158">
        <v>1275419.754</v>
      </c>
      <c r="AG16" s="151">
        <v>0.151253533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1.7470000000000001</v>
      </c>
      <c r="K17" s="158">
        <v>4.7270000000000003</v>
      </c>
      <c r="L17" s="151">
        <v>-0.63042098580000006</v>
      </c>
      <c r="M17" s="158">
        <v>56.677</v>
      </c>
      <c r="N17" s="158">
        <v>72.873999999999995</v>
      </c>
      <c r="O17" s="151">
        <v>-0.22226033980000001</v>
      </c>
      <c r="P17" s="158">
        <v>60.51</v>
      </c>
      <c r="Q17" s="151">
        <v>-0.2089058557</v>
      </c>
      <c r="R17" s="158">
        <v>8317.1020000000008</v>
      </c>
      <c r="S17" s="158">
        <v>6760.5230000000001</v>
      </c>
      <c r="T17" s="151">
        <v>0.23024535230000001</v>
      </c>
      <c r="U17" s="158">
        <v>176325.005</v>
      </c>
      <c r="V17" s="158">
        <v>111730.375</v>
      </c>
      <c r="W17" s="151">
        <v>0.57812953730000005</v>
      </c>
      <c r="X17" s="158">
        <v>183061.72200000001</v>
      </c>
      <c r="Y17" s="151">
        <v>0.55617171080000005</v>
      </c>
      <c r="Z17" s="158">
        <v>15222.483</v>
      </c>
      <c r="AA17" s="158">
        <v>16227.492</v>
      </c>
      <c r="AB17" s="151">
        <v>-6.1932490899999998E-2</v>
      </c>
      <c r="AC17" s="158">
        <v>244529.83199999999</v>
      </c>
      <c r="AD17" s="158">
        <v>243356.008</v>
      </c>
      <c r="AE17" s="151">
        <v>4.8234847999999997E-3</v>
      </c>
      <c r="AF17" s="158">
        <v>260037.245</v>
      </c>
      <c r="AG17" s="151">
        <v>-2.2946008999999998E-3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251.97</v>
      </c>
      <c r="S18" s="158">
        <v>69.146000000000001</v>
      </c>
      <c r="T18" s="151">
        <v>2.6440285771999998</v>
      </c>
      <c r="U18" s="158">
        <v>1352.3330000000001</v>
      </c>
      <c r="V18" s="158">
        <v>589.54</v>
      </c>
      <c r="W18" s="151">
        <v>1.293878278</v>
      </c>
      <c r="X18" s="158">
        <v>1392.193</v>
      </c>
      <c r="Y18" s="151">
        <v>0.8061967833</v>
      </c>
      <c r="Z18" s="158">
        <v>0</v>
      </c>
      <c r="AA18" s="158">
        <v>743.10299999999995</v>
      </c>
      <c r="AB18" s="151">
        <v>-1</v>
      </c>
      <c r="AC18" s="158">
        <v>6478.8040000000001</v>
      </c>
      <c r="AD18" s="158">
        <v>8434.4539999999997</v>
      </c>
      <c r="AE18" s="151">
        <v>-0.23186444549999999</v>
      </c>
      <c r="AF18" s="158">
        <v>7231.3310000000001</v>
      </c>
      <c r="AG18" s="151">
        <v>-0.2257310837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1549.23</v>
      </c>
      <c r="S19" s="158">
        <v>2521.3820000000001</v>
      </c>
      <c r="T19" s="151">
        <v>-0.38556315540000002</v>
      </c>
      <c r="U19" s="158">
        <v>37065.232000000004</v>
      </c>
      <c r="V19" s="158">
        <v>30453.895</v>
      </c>
      <c r="W19" s="151">
        <v>0.21709331430000001</v>
      </c>
      <c r="X19" s="158">
        <v>40434.519999999997</v>
      </c>
      <c r="Y19" s="151">
        <v>0.18126036940000001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354.04399999999998</v>
      </c>
      <c r="K20" s="158">
        <v>519.18700000000001</v>
      </c>
      <c r="L20" s="151">
        <v>-0.31807999819999999</v>
      </c>
      <c r="M20" s="158">
        <v>5485.6610000000001</v>
      </c>
      <c r="N20" s="158">
        <v>5225.8895000000002</v>
      </c>
      <c r="O20" s="151">
        <v>4.9708571100000001E-2</v>
      </c>
      <c r="P20" s="158">
        <v>5785.3270000000002</v>
      </c>
      <c r="Q20" s="151">
        <v>2.5404034700000001E-2</v>
      </c>
      <c r="R20" s="158">
        <v>14176.25</v>
      </c>
      <c r="S20" s="158">
        <v>12812.825000000001</v>
      </c>
      <c r="T20" s="151">
        <v>0.1064109593</v>
      </c>
      <c r="U20" s="158">
        <v>112369.6015</v>
      </c>
      <c r="V20" s="158">
        <v>105396.62149999999</v>
      </c>
      <c r="W20" s="151">
        <v>6.6159426199999996E-2</v>
      </c>
      <c r="X20" s="158">
        <v>120974.82799999999</v>
      </c>
      <c r="Y20" s="151">
        <v>6.1697550599999998E-2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354.04399999999998</v>
      </c>
      <c r="K21" s="158">
        <v>519.18700000000001</v>
      </c>
      <c r="L21" s="151">
        <v>-0.31807999819999999</v>
      </c>
      <c r="M21" s="158">
        <v>5485.6610000000001</v>
      </c>
      <c r="N21" s="158">
        <v>5225.8895000000002</v>
      </c>
      <c r="O21" s="151">
        <v>4.9708571100000001E-2</v>
      </c>
      <c r="P21" s="158">
        <v>5785.3270000000002</v>
      </c>
      <c r="Q21" s="151">
        <v>2.5404034700000001E-2</v>
      </c>
      <c r="R21" s="158">
        <v>14176.25</v>
      </c>
      <c r="S21" s="158">
        <v>12812.825000000001</v>
      </c>
      <c r="T21" s="151">
        <v>0.1064109593</v>
      </c>
      <c r="U21" s="158">
        <v>112369.6015</v>
      </c>
      <c r="V21" s="158">
        <v>105396.62149999999</v>
      </c>
      <c r="W21" s="151">
        <v>6.6159426199999996E-2</v>
      </c>
      <c r="X21" s="158">
        <v>120974.82799999999</v>
      </c>
      <c r="Y21" s="151">
        <v>6.1697550599999998E-2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16462.134999999998</v>
      </c>
      <c r="C22" s="159">
        <v>15792.687</v>
      </c>
      <c r="D22" s="152">
        <v>4.23897466E-2</v>
      </c>
      <c r="E22" s="159">
        <v>180463.65299999999</v>
      </c>
      <c r="F22" s="159">
        <v>182144.10800000001</v>
      </c>
      <c r="G22" s="152">
        <v>-9.2259640999999993E-3</v>
      </c>
      <c r="H22" s="159">
        <v>197517.647</v>
      </c>
      <c r="I22" s="152">
        <v>-1.1696861100000001E-2</v>
      </c>
      <c r="J22" s="159">
        <v>16305.743</v>
      </c>
      <c r="K22" s="159">
        <v>15635.69</v>
      </c>
      <c r="L22" s="152">
        <v>4.2854072999999999E-2</v>
      </c>
      <c r="M22" s="159">
        <v>189116.486</v>
      </c>
      <c r="N22" s="159">
        <v>190843.30900000001</v>
      </c>
      <c r="O22" s="152">
        <v>-9.0483812000000004E-3</v>
      </c>
      <c r="P22" s="159">
        <v>206283.44</v>
      </c>
      <c r="Q22" s="152">
        <v>-6.1416654999999999E-3</v>
      </c>
      <c r="R22" s="159">
        <v>379854.84700000001</v>
      </c>
      <c r="S22" s="159">
        <v>268113.71600000001</v>
      </c>
      <c r="T22" s="152">
        <v>0.41676767850000002</v>
      </c>
      <c r="U22" s="159">
        <v>4232834.199</v>
      </c>
      <c r="V22" s="159">
        <v>3216466.2230000002</v>
      </c>
      <c r="W22" s="152">
        <v>0.31598900949999997</v>
      </c>
      <c r="X22" s="159">
        <v>4531555.1940000001</v>
      </c>
      <c r="Y22" s="152">
        <v>0.2878623528</v>
      </c>
      <c r="Z22" s="159">
        <v>711729.57299999997</v>
      </c>
      <c r="AA22" s="159">
        <v>652336.76599999995</v>
      </c>
      <c r="AB22" s="152">
        <v>9.10462358E-2</v>
      </c>
      <c r="AC22" s="159">
        <v>7343646.3310000002</v>
      </c>
      <c r="AD22" s="159">
        <v>7281080.6950000003</v>
      </c>
      <c r="AE22" s="152">
        <v>8.5929052000000006E-3</v>
      </c>
      <c r="AF22" s="159">
        <v>8009234.0460000001</v>
      </c>
      <c r="AG22" s="152">
        <v>-2.4119982999999999E-3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28243.8</v>
      </c>
      <c r="S23" s="158">
        <v>96327.619000000006</v>
      </c>
      <c r="T23" s="151">
        <v>-0.70679437219999997</v>
      </c>
      <c r="U23" s="158">
        <v>857766.22600000002</v>
      </c>
      <c r="V23" s="158">
        <v>1288275.925</v>
      </c>
      <c r="W23" s="151">
        <v>-0.33417507120000001</v>
      </c>
      <c r="X23" s="158">
        <v>996027.826</v>
      </c>
      <c r="Y23" s="151">
        <v>-0.29253870520000003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16462.134999999998</v>
      </c>
      <c r="C24" s="159">
        <v>15792.687</v>
      </c>
      <c r="D24" s="152">
        <v>4.23897466E-2</v>
      </c>
      <c r="E24" s="159">
        <v>180463.65299999999</v>
      </c>
      <c r="F24" s="159">
        <v>182144.10800000001</v>
      </c>
      <c r="G24" s="152">
        <v>-9.2259640999999993E-3</v>
      </c>
      <c r="H24" s="159">
        <v>197517.647</v>
      </c>
      <c r="I24" s="152">
        <v>-1.1696861100000001E-2</v>
      </c>
      <c r="J24" s="159">
        <v>16305.743</v>
      </c>
      <c r="K24" s="159">
        <v>15635.69</v>
      </c>
      <c r="L24" s="152">
        <v>4.2854072999999999E-2</v>
      </c>
      <c r="M24" s="159">
        <v>189116.486</v>
      </c>
      <c r="N24" s="159">
        <v>190843.30900000001</v>
      </c>
      <c r="O24" s="152">
        <v>-9.0483812000000004E-3</v>
      </c>
      <c r="P24" s="159">
        <v>206283.44</v>
      </c>
      <c r="Q24" s="152">
        <v>-6.1416654999999999E-3</v>
      </c>
      <c r="R24" s="159">
        <v>408098.647</v>
      </c>
      <c r="S24" s="159">
        <v>364441.33500000002</v>
      </c>
      <c r="T24" s="152">
        <v>0.1197924269</v>
      </c>
      <c r="U24" s="159">
        <v>5090600.4249999998</v>
      </c>
      <c r="V24" s="159">
        <v>4504742.148</v>
      </c>
      <c r="W24" s="152">
        <v>0.1300536763</v>
      </c>
      <c r="X24" s="159">
        <v>5527583.0199999996</v>
      </c>
      <c r="Y24" s="152">
        <v>0.1219977563</v>
      </c>
      <c r="Z24" s="159">
        <v>711729.57299999997</v>
      </c>
      <c r="AA24" s="159">
        <v>652336.76599999995</v>
      </c>
      <c r="AB24" s="152">
        <v>9.10462358E-2</v>
      </c>
      <c r="AC24" s="159">
        <v>7343646.3310000002</v>
      </c>
      <c r="AD24" s="159">
        <v>7281080.6950000003</v>
      </c>
      <c r="AE24" s="152">
        <v>8.5929052000000006E-3</v>
      </c>
      <c r="AF24" s="159">
        <v>8009234.0460000001</v>
      </c>
      <c r="AG24" s="152">
        <v>-2.4119982999999999E-3</v>
      </c>
    </row>
    <row r="26" spans="1:33">
      <c r="A26" s="111" t="s">
        <v>103</v>
      </c>
      <c r="B26" s="179">
        <f>SUM(B24,J24,R24,Z24)</f>
        <v>1152596.098</v>
      </c>
      <c r="C26" s="179">
        <f>SUM(C24,K24,S24,AA24)</f>
        <v>1048206.4779999999</v>
      </c>
      <c r="D26" s="180">
        <f>((B26/C26)-1)*100</f>
        <v>9.9588794947325319</v>
      </c>
      <c r="R26" s="180"/>
    </row>
    <row r="29" spans="1:33" ht="15">
      <c r="A29" s="145" t="s">
        <v>67</v>
      </c>
      <c r="B29" s="206" t="str">
        <f>A2</f>
        <v>Noviembre 2021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499.71499999999997</v>
      </c>
      <c r="D41" s="185"/>
    </row>
    <row r="42" spans="1:4">
      <c r="A42" s="144" t="s">
        <v>4</v>
      </c>
      <c r="B42" s="147">
        <v>149.05525499999999</v>
      </c>
      <c r="C42" s="147">
        <v>168.017945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9">
        <f>SUM(B33:B46)</f>
        <v>2047.7157550000002</v>
      </c>
      <c r="C47" s="189">
        <f>SUM(C33:C46)</f>
        <v>3078.8989449999999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11.778978572150507</v>
      </c>
      <c r="D52" s="182"/>
      <c r="F52" s="114" t="s">
        <v>10</v>
      </c>
      <c r="G52" s="115">
        <f>C35</f>
        <v>487.64</v>
      </c>
      <c r="H52" s="116">
        <f>G52/$G$62*100</f>
        <v>15.838129432338352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6.8075854600239669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16.913513866561804</v>
      </c>
    </row>
    <row r="54" spans="1:8">
      <c r="A54" s="114" t="s">
        <v>9</v>
      </c>
      <c r="B54" s="115">
        <f t="shared" si="1"/>
        <v>603.1</v>
      </c>
      <c r="C54" s="116">
        <f t="shared" si="0"/>
        <v>29.452329920663228</v>
      </c>
      <c r="D54" s="182"/>
      <c r="F54" s="114" t="s">
        <v>8</v>
      </c>
      <c r="G54" s="115">
        <f>C37</f>
        <v>482.64</v>
      </c>
      <c r="H54" s="116">
        <f t="shared" si="2"/>
        <v>15.67573371590473</v>
      </c>
    </row>
    <row r="55" spans="1:8">
      <c r="A55" s="114" t="s">
        <v>25</v>
      </c>
      <c r="B55" s="115">
        <f>B38</f>
        <v>822.9</v>
      </c>
      <c r="C55" s="116">
        <f t="shared" si="0"/>
        <v>40.186241571404032</v>
      </c>
      <c r="D55" s="182"/>
      <c r="F55" s="114" t="s">
        <v>25</v>
      </c>
      <c r="G55" s="115">
        <f>C38</f>
        <v>865.4</v>
      </c>
      <c r="H55" s="116">
        <f t="shared" si="2"/>
        <v>28.107450600331411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1.2407032735528774</v>
      </c>
    </row>
    <row r="57" spans="1:8">
      <c r="A57" s="114" t="s">
        <v>23</v>
      </c>
      <c r="B57" s="115">
        <f>B44</f>
        <v>11.523</v>
      </c>
      <c r="C57" s="116">
        <f t="shared" si="0"/>
        <v>0.56272458576654349</v>
      </c>
      <c r="D57" s="182"/>
      <c r="F57" s="114" t="s">
        <v>12</v>
      </c>
      <c r="G57" s="116">
        <f>C33</f>
        <v>1.52</v>
      </c>
      <c r="H57" s="116">
        <f t="shared" si="2"/>
        <v>4.9368297795821296E-2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1.8264253673235031</v>
      </c>
      <c r="D58" s="182"/>
      <c r="F58" s="114" t="s">
        <v>6</v>
      </c>
      <c r="G58" s="115">
        <f>C40</f>
        <v>11.32</v>
      </c>
      <c r="H58" s="116">
        <f t="shared" si="2"/>
        <v>0.36766390200572174</v>
      </c>
    </row>
    <row r="59" spans="1:8">
      <c r="A59" s="114" t="s">
        <v>54</v>
      </c>
      <c r="B59" s="115">
        <f>B45</f>
        <v>37.4</v>
      </c>
      <c r="C59" s="116">
        <f t="shared" si="3"/>
        <v>1.8264253673235031</v>
      </c>
      <c r="D59" s="182"/>
      <c r="F59" s="114" t="s">
        <v>5</v>
      </c>
      <c r="G59" s="115">
        <f>C41</f>
        <v>499.71499999999997</v>
      </c>
      <c r="H59" s="116">
        <f t="shared" si="2"/>
        <v>16.23031508752555</v>
      </c>
    </row>
    <row r="60" spans="1:8">
      <c r="A60" s="114" t="s">
        <v>5</v>
      </c>
      <c r="B60" s="115">
        <f>B41</f>
        <v>3.6074999999999999</v>
      </c>
      <c r="C60" s="116">
        <f t="shared" si="3"/>
        <v>0.17617191210212668</v>
      </c>
      <c r="D60" s="182"/>
      <c r="F60" s="114" t="s">
        <v>4</v>
      </c>
      <c r="G60" s="115">
        <f>C42</f>
        <v>168.017945</v>
      </c>
      <c r="H60" s="116">
        <f t="shared" si="2"/>
        <v>5.4570789103960022</v>
      </c>
    </row>
    <row r="61" spans="1:8">
      <c r="A61" s="114" t="s">
        <v>4</v>
      </c>
      <c r="B61" s="115">
        <f>B42</f>
        <v>149.05525499999999</v>
      </c>
      <c r="C61" s="116">
        <f t="shared" si="3"/>
        <v>7.2790989001303057</v>
      </c>
      <c r="D61" s="182"/>
      <c r="F61" s="114" t="s">
        <v>22</v>
      </c>
      <c r="G61" s="115">
        <f>C43</f>
        <v>3.6960000000000002</v>
      </c>
      <c r="H61" s="116">
        <f t="shared" si="2"/>
        <v>0.12004291358773389</v>
      </c>
    </row>
    <row r="62" spans="1:8">
      <c r="A62" s="114" t="s">
        <v>22</v>
      </c>
      <c r="B62" s="115">
        <f>B43</f>
        <v>2.13</v>
      </c>
      <c r="C62" s="116">
        <f t="shared" si="3"/>
        <v>0.10401834311227437</v>
      </c>
      <c r="D62" s="182"/>
      <c r="F62" s="117" t="s">
        <v>20</v>
      </c>
      <c r="G62" s="118">
        <f>SUM(G52:G61)</f>
        <v>3078.8989449999999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2047.7157550000002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0">
        <f>(C68/SUM($C$68:$C$78))*100</f>
        <v>0</v>
      </c>
      <c r="F68" s="114" t="s">
        <v>10</v>
      </c>
      <c r="G68" s="116">
        <f>Z10/Z$24*100</f>
        <v>21.864616970187356</v>
      </c>
    </row>
    <row r="69" spans="1:7">
      <c r="A69" s="114" t="s">
        <v>10</v>
      </c>
      <c r="B69" s="116">
        <f t="shared" ref="B69:B78" si="4">C69/$C$80*100</f>
        <v>4.4493761823228981</v>
      </c>
      <c r="C69" s="115">
        <f>R10</f>
        <v>18157.844000000001</v>
      </c>
      <c r="D69" s="190">
        <f t="shared" ref="D69:D78" si="5">(C69/SUM($C$68:$C$78))*100</f>
        <v>4.7802059506167103</v>
      </c>
      <c r="F69" s="114" t="s">
        <v>9</v>
      </c>
      <c r="G69" s="116">
        <f>Z11/Z$24*100</f>
        <v>1.5644561392982894</v>
      </c>
    </row>
    <row r="70" spans="1:7">
      <c r="A70" s="114" t="s">
        <v>9</v>
      </c>
      <c r="B70" s="116">
        <f t="shared" si="4"/>
        <v>3.1380567159782817</v>
      </c>
      <c r="C70" s="115">
        <f>R11</f>
        <v>12806.367</v>
      </c>
      <c r="D70" s="190">
        <f t="shared" si="5"/>
        <v>3.3713843856782484</v>
      </c>
      <c r="F70" s="114" t="s">
        <v>8</v>
      </c>
      <c r="G70" s="116">
        <f>Z12/Z$24*100</f>
        <v>15.133881755957329</v>
      </c>
    </row>
    <row r="71" spans="1:7">
      <c r="A71" s="114" t="s">
        <v>25</v>
      </c>
      <c r="B71" s="116">
        <f t="shared" si="4"/>
        <v>75.97512422039469</v>
      </c>
      <c r="C71" s="115">
        <f>R13</f>
        <v>310053.45400000003</v>
      </c>
      <c r="D71" s="190">
        <f>(C71/SUM($C$68:$C$78))*100</f>
        <v>81.624193148705572</v>
      </c>
      <c r="F71" s="114" t="s">
        <v>25</v>
      </c>
      <c r="G71" s="116">
        <f>Z13/Z$24*100</f>
        <v>46.069671464951199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91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0.37962144971286804</v>
      </c>
      <c r="C73" s="115">
        <f>R19</f>
        <v>1549.23</v>
      </c>
      <c r="D73" s="190">
        <f t="shared" si="5"/>
        <v>0.40784789564630719</v>
      </c>
      <c r="F73" s="114" t="s">
        <v>12</v>
      </c>
      <c r="G73" s="116">
        <f>Z8/Z$24*100</f>
        <v>0</v>
      </c>
    </row>
    <row r="74" spans="1:7">
      <c r="A74" s="114" t="s">
        <v>55</v>
      </c>
      <c r="B74" s="116">
        <f t="shared" si="4"/>
        <v>3.4737311932327972</v>
      </c>
      <c r="C74" s="115">
        <f>R21</f>
        <v>14176.25</v>
      </c>
      <c r="D74" s="190">
        <f t="shared" si="5"/>
        <v>3.7320176672643592</v>
      </c>
      <c r="F74" s="114" t="s">
        <v>6</v>
      </c>
      <c r="G74" s="116">
        <f>Z15/Z$24*100</f>
        <v>0.16583096231691921</v>
      </c>
    </row>
    <row r="75" spans="1:7">
      <c r="A75" s="114" t="s">
        <v>54</v>
      </c>
      <c r="B75" s="116">
        <f t="shared" si="4"/>
        <v>3.4737311932327972</v>
      </c>
      <c r="C75" s="115">
        <f>R20</f>
        <v>14176.25</v>
      </c>
      <c r="D75" s="190">
        <f t="shared" si="5"/>
        <v>3.7320176672643592</v>
      </c>
      <c r="F75" s="114" t="s">
        <v>5</v>
      </c>
      <c r="G75" s="116">
        <f>Z16/Z$24*100</f>
        <v>13.062741176837401</v>
      </c>
    </row>
    <row r="76" spans="1:7">
      <c r="A76" s="114" t="s">
        <v>5</v>
      </c>
      <c r="B76" s="116">
        <f t="shared" si="4"/>
        <v>8.9777313081853952E-2</v>
      </c>
      <c r="C76" s="115">
        <f>R16</f>
        <v>366.38</v>
      </c>
      <c r="D76" s="190">
        <f t="shared" si="5"/>
        <v>9.6452632602579372E-2</v>
      </c>
      <c r="F76" s="114" t="s">
        <v>4</v>
      </c>
      <c r="G76" s="116">
        <f>Z17/Z$24*100</f>
        <v>2.1388015304515102</v>
      </c>
    </row>
    <row r="77" spans="1:7">
      <c r="A77" s="114" t="s">
        <v>4</v>
      </c>
      <c r="B77" s="116">
        <f t="shared" si="4"/>
        <v>2.0380126376650303</v>
      </c>
      <c r="C77" s="115">
        <f>R17</f>
        <v>8317.1020000000008</v>
      </c>
      <c r="D77" s="190">
        <f t="shared" si="5"/>
        <v>2.1895474194120261</v>
      </c>
      <c r="F77" s="114" t="s">
        <v>22</v>
      </c>
      <c r="G77" s="116">
        <f>Z18/Z$24*100</f>
        <v>0</v>
      </c>
    </row>
    <row r="78" spans="1:7">
      <c r="A78" s="114" t="s">
        <v>22</v>
      </c>
      <c r="B78" s="116">
        <f t="shared" si="4"/>
        <v>6.1742424742711771E-2</v>
      </c>
      <c r="C78" s="115">
        <f>R18</f>
        <v>251.97</v>
      </c>
      <c r="D78" s="190">
        <f t="shared" si="5"/>
        <v>6.6333232809847487E-2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>C79/$C$80*100</f>
        <v>6.920826669636079</v>
      </c>
      <c r="C79" s="115">
        <f>R23</f>
        <v>28243.8</v>
      </c>
      <c r="D79" s="182"/>
    </row>
    <row r="80" spans="1:7">
      <c r="A80" s="117" t="s">
        <v>20</v>
      </c>
      <c r="B80" s="119">
        <f>SUM(B68:B79)</f>
        <v>100.00000000000001</v>
      </c>
      <c r="C80" s="118">
        <f>SUM(C68:C79)</f>
        <v>408098.647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</row>
    <row r="86" spans="1:26">
      <c r="A86" s="145"/>
      <c r="B86" s="143" t="s">
        <v>67</v>
      </c>
      <c r="C86" s="186" t="s">
        <v>104</v>
      </c>
      <c r="D86" s="186" t="s">
        <v>105</v>
      </c>
      <c r="E86" s="186" t="s">
        <v>107</v>
      </c>
      <c r="F86" s="186" t="s">
        <v>109</v>
      </c>
      <c r="G86" s="186" t="s">
        <v>110</v>
      </c>
      <c r="H86" s="186" t="s">
        <v>111</v>
      </c>
      <c r="I86" s="186" t="s">
        <v>112</v>
      </c>
      <c r="J86" s="186" t="s">
        <v>113</v>
      </c>
      <c r="K86" s="186" t="s">
        <v>114</v>
      </c>
      <c r="L86" s="186" t="s">
        <v>115</v>
      </c>
      <c r="M86" s="186" t="s">
        <v>116</v>
      </c>
      <c r="N86" s="186" t="s">
        <v>117</v>
      </c>
      <c r="O86" s="186" t="s">
        <v>118</v>
      </c>
      <c r="P86" s="186" t="s">
        <v>119</v>
      </c>
      <c r="Q86" s="186" t="s">
        <v>120</v>
      </c>
      <c r="R86" s="186" t="s">
        <v>121</v>
      </c>
      <c r="S86" s="186" t="s">
        <v>122</v>
      </c>
      <c r="T86" s="186" t="s">
        <v>123</v>
      </c>
      <c r="U86" s="186" t="s">
        <v>124</v>
      </c>
      <c r="V86" s="186" t="s">
        <v>125</v>
      </c>
      <c r="W86" s="186" t="s">
        <v>126</v>
      </c>
      <c r="X86" s="186" t="s">
        <v>127</v>
      </c>
      <c r="Y86" s="186" t="s">
        <v>128</v>
      </c>
      <c r="Z86" s="186" t="s">
        <v>132</v>
      </c>
    </row>
    <row r="87" spans="1:26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17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 s="147">
        <v>-0.72875599999999996</v>
      </c>
      <c r="W88" s="147">
        <v>-0.54997399999999996</v>
      </c>
      <c r="X88" s="147">
        <v>-0.58327700000000005</v>
      </c>
      <c r="Y88" s="147">
        <v>0</v>
      </c>
      <c r="Z88" s="147">
        <v>0</v>
      </c>
    </row>
    <row r="89" spans="1:26">
      <c r="A89" s="215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16.937937999999999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 s="147">
        <v>61.091033000000003</v>
      </c>
      <c r="W89" s="147">
        <v>52.814718999999997</v>
      </c>
      <c r="X89" s="147">
        <v>40.707250000000002</v>
      </c>
      <c r="Y89" s="147">
        <v>18.157844000000001</v>
      </c>
      <c r="Z89" s="147">
        <v>2.6890459999999998</v>
      </c>
    </row>
    <row r="90" spans="1:26">
      <c r="A90" s="215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8.9336269999999995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 s="147">
        <v>38.115422000000002</v>
      </c>
      <c r="W90" s="147">
        <v>38.699375000000003</v>
      </c>
      <c r="X90" s="147">
        <v>18.871455999999998</v>
      </c>
      <c r="Y90" s="147">
        <v>12.806367</v>
      </c>
      <c r="Z90" s="147">
        <v>1.4188540000000001</v>
      </c>
    </row>
    <row r="91" spans="1:26">
      <c r="A91" s="215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185.01524499999999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 s="147">
        <v>437.91378300000002</v>
      </c>
      <c r="W91" s="147">
        <v>367.24080800000002</v>
      </c>
      <c r="X91" s="147">
        <v>312.10340600000001</v>
      </c>
      <c r="Y91" s="147">
        <v>310.05345399999999</v>
      </c>
      <c r="Z91" s="147">
        <v>34.567449000000003</v>
      </c>
    </row>
    <row r="92" spans="1:26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 s="147">
        <v>3.834768</v>
      </c>
      <c r="W92" s="147">
        <v>2.0925159999999998</v>
      </c>
      <c r="X92" s="147">
        <v>0.98881300000000005</v>
      </c>
      <c r="Y92" s="147">
        <v>0</v>
      </c>
      <c r="Z92" s="147">
        <v>0</v>
      </c>
    </row>
    <row r="93" spans="1:26">
      <c r="A93" s="215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 s="147">
        <v>0.20128099999999999</v>
      </c>
      <c r="W93" s="147">
        <v>0.27444800000000003</v>
      </c>
      <c r="X93" s="147">
        <v>0.26974799999999999</v>
      </c>
      <c r="Y93" s="147">
        <v>0.36637999999999998</v>
      </c>
      <c r="Z93" s="147">
        <v>4.5159999999999999E-2</v>
      </c>
    </row>
    <row r="94" spans="1:26">
      <c r="A94" s="215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12.248321000000001</v>
      </c>
      <c r="I94" s="147">
        <v>12.754592000000001</v>
      </c>
      <c r="J94" s="147">
        <v>12.079867</v>
      </c>
      <c r="K94" s="147">
        <v>10.546029000000001</v>
      </c>
      <c r="L94" s="147">
        <v>9.7249750000000006</v>
      </c>
      <c r="M94" s="147">
        <v>6.7605230000000001</v>
      </c>
      <c r="N94" s="147">
        <v>6.7367169999999996</v>
      </c>
      <c r="O94" s="147">
        <v>8.4045810000000003</v>
      </c>
      <c r="P94" s="147">
        <v>9.5098800000000008</v>
      </c>
      <c r="Q94" s="147">
        <v>13.293218</v>
      </c>
      <c r="R94" s="147">
        <v>14.709775</v>
      </c>
      <c r="S94" s="147">
        <v>22.195191000000001</v>
      </c>
      <c r="T94" s="147">
        <v>21.167138000000001</v>
      </c>
      <c r="U94" s="147">
        <v>22.964213999999998</v>
      </c>
      <c r="V94" s="147">
        <v>21.349046000000001</v>
      </c>
      <c r="W94" s="147">
        <v>17.621782</v>
      </c>
      <c r="X94" s="147">
        <v>16.793078000000001</v>
      </c>
      <c r="Y94" s="147">
        <v>8.3171020000000002</v>
      </c>
      <c r="Z94" s="147">
        <v>1.131</v>
      </c>
    </row>
    <row r="95" spans="1:26">
      <c r="A95" s="215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 s="147">
        <v>8.4413000000000002E-2</v>
      </c>
      <c r="W95" s="147">
        <v>8.1381999999999996E-2</v>
      </c>
      <c r="X95" s="147">
        <v>0.243059</v>
      </c>
      <c r="Y95" s="147">
        <v>0.25197000000000003</v>
      </c>
      <c r="Z95" s="147">
        <v>1.464E-2</v>
      </c>
    </row>
    <row r="96" spans="1:26">
      <c r="A96" s="215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 s="147">
        <v>3.5683280000000002</v>
      </c>
      <c r="W96" s="147">
        <v>3.678795</v>
      </c>
      <c r="X96" s="147">
        <v>4.0205719999999996</v>
      </c>
      <c r="Y96" s="147">
        <v>1.5492300000000001</v>
      </c>
      <c r="Z96" s="147">
        <v>0.35457</v>
      </c>
    </row>
    <row r="97" spans="1:26">
      <c r="A97" s="215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 s="147">
        <v>13.3199895</v>
      </c>
      <c r="W97" s="147">
        <v>11.972504499999999</v>
      </c>
      <c r="X97" s="147">
        <v>6.4146000000000001</v>
      </c>
      <c r="Y97" s="147">
        <v>14.17625</v>
      </c>
      <c r="Z97" s="147">
        <v>1.1319999999999999</v>
      </c>
    </row>
    <row r="98" spans="1:26">
      <c r="A98" s="215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 s="147">
        <v>13.3199895</v>
      </c>
      <c r="W98" s="147">
        <v>11.972504499999999</v>
      </c>
      <c r="X98" s="147">
        <v>6.4146000000000001</v>
      </c>
      <c r="Y98" s="147">
        <v>14.17625</v>
      </c>
      <c r="Z98" s="147">
        <v>1.1319999999999999</v>
      </c>
    </row>
    <row r="99" spans="1:26">
      <c r="A99" s="215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267.57530800000001</v>
      </c>
      <c r="I99" s="150">
        <v>360.58688999999998</v>
      </c>
      <c r="J99" s="150">
        <v>383.60290500000002</v>
      </c>
      <c r="K99" s="150">
        <v>287.19027999999997</v>
      </c>
      <c r="L99" s="150">
        <v>262.16998899999999</v>
      </c>
      <c r="M99" s="150">
        <v>268.11371600000001</v>
      </c>
      <c r="N99" s="150">
        <v>298.72099500000002</v>
      </c>
      <c r="O99" s="150">
        <v>332.488089</v>
      </c>
      <c r="P99" s="150">
        <v>248.30075099999999</v>
      </c>
      <c r="Q99" s="150">
        <v>282.115883</v>
      </c>
      <c r="R99" s="150">
        <v>267.78365600000001</v>
      </c>
      <c r="S99" s="150">
        <v>268.828193</v>
      </c>
      <c r="T99" s="150">
        <v>394.26093600000002</v>
      </c>
      <c r="U99" s="150">
        <v>554.99038199999995</v>
      </c>
      <c r="V99" s="150">
        <v>592.06929700000001</v>
      </c>
      <c r="W99" s="150">
        <v>505.89886000000001</v>
      </c>
      <c r="X99" s="150">
        <v>406.24330500000002</v>
      </c>
      <c r="Y99" s="150">
        <v>379.85484700000001</v>
      </c>
      <c r="Z99" s="150">
        <v>42.484718999999998</v>
      </c>
    </row>
    <row r="100" spans="1:26">
      <c r="A100" s="215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 s="147">
        <v>40.107311000000003</v>
      </c>
      <c r="W100" s="147">
        <v>37.549396999999999</v>
      </c>
      <c r="X100" s="147">
        <v>38.285525</v>
      </c>
      <c r="Y100" s="147">
        <v>28.2438</v>
      </c>
      <c r="Z100" s="147">
        <v>2.9376000000000002</v>
      </c>
    </row>
    <row r="101" spans="1:26">
      <c r="A101" s="216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360.86488700000001</v>
      </c>
      <c r="I101" s="150">
        <v>528.91858500000001</v>
      </c>
      <c r="J101" s="150">
        <v>566.31885999999997</v>
      </c>
      <c r="K101" s="150">
        <v>403.46524099999999</v>
      </c>
      <c r="L101" s="150">
        <v>368.113495</v>
      </c>
      <c r="M101" s="150">
        <v>364.44133499999998</v>
      </c>
      <c r="N101" s="150">
        <v>436.982595</v>
      </c>
      <c r="O101" s="150">
        <v>470.73850099999999</v>
      </c>
      <c r="P101" s="150">
        <v>361.71276</v>
      </c>
      <c r="Q101" s="150">
        <v>410.10145599999998</v>
      </c>
      <c r="R101" s="150">
        <v>378.805453</v>
      </c>
      <c r="S101" s="150">
        <v>380.42990600000002</v>
      </c>
      <c r="T101" s="150">
        <v>459.690404</v>
      </c>
      <c r="U101" s="150">
        <v>600.86960299999998</v>
      </c>
      <c r="V101" s="150">
        <v>632.17660799999999</v>
      </c>
      <c r="W101" s="150">
        <v>543.44825700000001</v>
      </c>
      <c r="X101" s="150">
        <v>444.52883000000003</v>
      </c>
      <c r="Y101" s="150">
        <v>408.09864700000003</v>
      </c>
      <c r="Z101" s="150">
        <v>45.422319000000002</v>
      </c>
    </row>
    <row r="102" spans="1:26">
      <c r="A102" s="214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0.29975600000000002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 s="147">
        <v>0.28065899999999999</v>
      </c>
      <c r="W102" s="147">
        <v>0.27753299999999997</v>
      </c>
      <c r="X102" s="147">
        <v>0.28213100000000002</v>
      </c>
      <c r="Y102" s="147">
        <v>0</v>
      </c>
      <c r="Z102" s="147">
        <v>0</v>
      </c>
    </row>
    <row r="103" spans="1:26">
      <c r="A103" s="215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 s="147">
        <v>156.76769400000001</v>
      </c>
      <c r="W103" s="147">
        <v>167.979367</v>
      </c>
      <c r="X103" s="147">
        <v>160.016738</v>
      </c>
      <c r="Y103" s="147">
        <v>155.61694499999999</v>
      </c>
      <c r="Z103" s="147">
        <v>12.866261</v>
      </c>
    </row>
    <row r="104" spans="1:26">
      <c r="A104" s="215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 s="147">
        <v>9.7369489999999992</v>
      </c>
      <c r="W104" s="147">
        <v>32.625571999999998</v>
      </c>
      <c r="X104" s="147">
        <v>27.415593999999999</v>
      </c>
      <c r="Y104" s="147">
        <v>11.134696999999999</v>
      </c>
      <c r="Z104" s="147">
        <v>0.85217500000000002</v>
      </c>
    </row>
    <row r="105" spans="1:26">
      <c r="A105" s="215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83.296143000000001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 s="147">
        <v>99.644189999999995</v>
      </c>
      <c r="W105" s="147">
        <v>113.210213</v>
      </c>
      <c r="X105" s="147">
        <v>112.484255</v>
      </c>
      <c r="Y105" s="147">
        <v>107.712312</v>
      </c>
      <c r="Z105" s="147">
        <v>9.0205769999999994</v>
      </c>
    </row>
    <row r="106" spans="1:26">
      <c r="A106" s="215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 s="147">
        <v>284.30052499999999</v>
      </c>
      <c r="W106" s="147">
        <v>278.88830000000002</v>
      </c>
      <c r="X106" s="147">
        <v>288.42916700000001</v>
      </c>
      <c r="Y106" s="147">
        <v>327.89147600000001</v>
      </c>
      <c r="Z106" s="147">
        <v>31.078517999999999</v>
      </c>
    </row>
    <row r="107" spans="1:26">
      <c r="A107" s="215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 s="147">
        <v>2.663478</v>
      </c>
      <c r="W107" s="147">
        <v>1.4201079999999999</v>
      </c>
      <c r="X107" s="147">
        <v>1.852679</v>
      </c>
      <c r="Y107" s="147">
        <v>1.1802680000000001</v>
      </c>
      <c r="Z107" s="147">
        <v>0.21504699999999999</v>
      </c>
    </row>
    <row r="108" spans="1:26">
      <c r="A108" s="215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148.25852599999999</v>
      </c>
      <c r="J108" s="147">
        <v>166.39016100000001</v>
      </c>
      <c r="K108" s="147">
        <v>92.772315000000006</v>
      </c>
      <c r="L108" s="147">
        <v>98.440837000000002</v>
      </c>
      <c r="M108" s="147">
        <v>54.913390999999997</v>
      </c>
      <c r="N108" s="147">
        <v>61.422595000000001</v>
      </c>
      <c r="O108" s="147">
        <v>81.695520000000002</v>
      </c>
      <c r="P108" s="147">
        <v>58.505417000000001</v>
      </c>
      <c r="Q108" s="147">
        <v>84.841812000000004</v>
      </c>
      <c r="R108" s="147">
        <v>52.700510000000001</v>
      </c>
      <c r="S108" s="147">
        <v>162.60342700000001</v>
      </c>
      <c r="T108" s="147">
        <v>148.01756800000001</v>
      </c>
      <c r="U108" s="147">
        <v>158.51529099999999</v>
      </c>
      <c r="V108" s="147">
        <v>145.85740200000001</v>
      </c>
      <c r="W108" s="147">
        <v>106.41552299999999</v>
      </c>
      <c r="X108" s="147">
        <v>121.87329699999999</v>
      </c>
      <c r="Y108" s="147">
        <v>92.971391999999994</v>
      </c>
      <c r="Z108" s="147">
        <v>16.694320000000001</v>
      </c>
    </row>
    <row r="109" spans="1:26">
      <c r="A109" s="215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23.750543</v>
      </c>
      <c r="I109" s="147">
        <v>27.01446</v>
      </c>
      <c r="J109" s="147">
        <v>26.700037999999999</v>
      </c>
      <c r="K109" s="147">
        <v>21.008713</v>
      </c>
      <c r="L109" s="147">
        <v>20.015422000000001</v>
      </c>
      <c r="M109" s="147">
        <v>16.227492000000002</v>
      </c>
      <c r="N109" s="147">
        <v>15.507413</v>
      </c>
      <c r="O109" s="147">
        <v>16.464936000000002</v>
      </c>
      <c r="P109" s="147">
        <v>17.884999000000001</v>
      </c>
      <c r="Q109" s="147">
        <v>24.290976000000001</v>
      </c>
      <c r="R109" s="147">
        <v>22.565013</v>
      </c>
      <c r="S109" s="147">
        <v>27.019202</v>
      </c>
      <c r="T109" s="147">
        <v>24.71088</v>
      </c>
      <c r="U109" s="147">
        <v>27.905276000000001</v>
      </c>
      <c r="V109" s="147">
        <v>26.100961999999999</v>
      </c>
      <c r="W109" s="147">
        <v>21.461660999999999</v>
      </c>
      <c r="X109" s="147">
        <v>20.903444</v>
      </c>
      <c r="Y109" s="147">
        <v>15.222483</v>
      </c>
      <c r="Z109" s="147">
        <v>1.7433449999999999</v>
      </c>
    </row>
    <row r="110" spans="1:26">
      <c r="A110" s="215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 s="147">
        <v>0.56980699999999995</v>
      </c>
      <c r="W110" s="147">
        <v>0.40013300000000002</v>
      </c>
      <c r="X110" s="147">
        <v>0.75599700000000003</v>
      </c>
      <c r="Y110" s="147">
        <v>0</v>
      </c>
      <c r="Z110" s="147">
        <v>0</v>
      </c>
    </row>
    <row r="111" spans="1:26">
      <c r="A111" s="215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602.69883700000003</v>
      </c>
      <c r="I111" s="150">
        <v>679.18428800000004</v>
      </c>
      <c r="J111" s="150">
        <v>712.51654499999995</v>
      </c>
      <c r="K111" s="150">
        <v>684.87559199999998</v>
      </c>
      <c r="L111" s="150">
        <v>674.86023899999998</v>
      </c>
      <c r="M111" s="150">
        <v>652.33676600000001</v>
      </c>
      <c r="N111" s="150">
        <v>665.587715</v>
      </c>
      <c r="O111" s="150">
        <v>647.96105899999998</v>
      </c>
      <c r="P111" s="150">
        <v>576.01197200000001</v>
      </c>
      <c r="Q111" s="150">
        <v>640.34640200000001</v>
      </c>
      <c r="R111" s="150">
        <v>615.06619000000001</v>
      </c>
      <c r="S111" s="150">
        <v>636.08087</v>
      </c>
      <c r="T111" s="150">
        <v>635.56558099999995</v>
      </c>
      <c r="U111" s="150">
        <v>698.27130599999998</v>
      </c>
      <c r="V111" s="150">
        <v>725.92166599999996</v>
      </c>
      <c r="W111" s="150">
        <v>722.67840999999999</v>
      </c>
      <c r="X111" s="150">
        <v>734.01330199999995</v>
      </c>
      <c r="Y111" s="150">
        <v>711.72957299999996</v>
      </c>
      <c r="Z111" s="150">
        <v>72.470242999999996</v>
      </c>
    </row>
    <row r="112" spans="1:26">
      <c r="A112" s="216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602.69883700000003</v>
      </c>
      <c r="I112" s="150">
        <v>679.18428800000004</v>
      </c>
      <c r="J112" s="150">
        <v>712.51654499999995</v>
      </c>
      <c r="K112" s="150">
        <v>684.87559199999998</v>
      </c>
      <c r="L112" s="150">
        <v>674.86023899999998</v>
      </c>
      <c r="M112" s="150">
        <v>652.33676600000001</v>
      </c>
      <c r="N112" s="150">
        <v>665.587715</v>
      </c>
      <c r="O112" s="150">
        <v>647.96105899999998</v>
      </c>
      <c r="P112" s="150">
        <v>576.01197200000001</v>
      </c>
      <c r="Q112" s="150">
        <v>640.34640200000001</v>
      </c>
      <c r="R112" s="150">
        <v>615.06619000000001</v>
      </c>
      <c r="S112" s="150">
        <v>636.08087</v>
      </c>
      <c r="T112" s="150">
        <v>635.56558099999995</v>
      </c>
      <c r="U112" s="150">
        <v>698.27130599999998</v>
      </c>
      <c r="V112" s="150">
        <v>725.92166599999996</v>
      </c>
      <c r="W112" s="150">
        <v>722.67840999999999</v>
      </c>
      <c r="X112" s="150">
        <v>734.01330199999995</v>
      </c>
      <c r="Y112" s="150">
        <v>711.72957299999996</v>
      </c>
      <c r="Z112" s="150">
        <v>72.470242999999996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noviembre 2020</v>
      </c>
      <c r="D117" s="120" t="str">
        <f t="shared" ref="D117:M117" si="6">TEXT(EDATE(E117,-1),"mmmm aaaa")</f>
        <v>diciembre 2020</v>
      </c>
      <c r="E117" s="120" t="str">
        <f t="shared" si="6"/>
        <v>enero 2021</v>
      </c>
      <c r="F117" s="120" t="str">
        <f t="shared" si="6"/>
        <v>febrero 2021</v>
      </c>
      <c r="G117" s="120" t="str">
        <f t="shared" si="6"/>
        <v>marzo 2021</v>
      </c>
      <c r="H117" s="120" t="str">
        <f t="shared" si="6"/>
        <v>abril 2021</v>
      </c>
      <c r="I117" s="120" t="str">
        <f t="shared" si="6"/>
        <v>mayo 2021</v>
      </c>
      <c r="J117" s="120" t="str">
        <f t="shared" si="6"/>
        <v>junio 2021</v>
      </c>
      <c r="K117" s="120" t="str">
        <f t="shared" si="6"/>
        <v>julio 2021</v>
      </c>
      <c r="L117" s="120" t="str">
        <f t="shared" si="6"/>
        <v>agosto 2021</v>
      </c>
      <c r="M117" s="120" t="str">
        <f t="shared" si="6"/>
        <v>septiembre 2021</v>
      </c>
      <c r="N117" s="120" t="str">
        <f>TEXT(EDATE(O117,-1),"mmmm aaaa")</f>
        <v>octubre 2021</v>
      </c>
      <c r="O117" s="121" t="str">
        <f>A2</f>
        <v>Noviembre 2021</v>
      </c>
    </row>
    <row r="118" spans="1:19">
      <c r="B118" s="213"/>
      <c r="C118" s="131" t="str">
        <f>TEXT(EDATE($A$2,-12),"mmm")&amp;".-"&amp;TEXT(EDATE($A$2,-12),"aa")</f>
        <v>nov.-20</v>
      </c>
      <c r="D118" s="131" t="str">
        <f>TEXT(EDATE($A$2,-11),"mmm")&amp;".-"&amp;TEXT(EDATE($A$2,-11),"aa")</f>
        <v>dic.-20</v>
      </c>
      <c r="E118" s="131" t="str">
        <f>TEXT(EDATE($A$2,-10),"mmm")&amp;".-"&amp;TEXT(EDATE($A$2,-10),"aa")</f>
        <v>ene.-21</v>
      </c>
      <c r="F118" s="131" t="str">
        <f>TEXT(EDATE($A$2,-9),"mmm")&amp;".-"&amp;TEXT(EDATE($A$2,-9),"aa")</f>
        <v>feb.-21</v>
      </c>
      <c r="G118" s="131" t="str">
        <f>TEXT(EDATE($A$2,-8),"mmm")&amp;".-"&amp;TEXT(EDATE($A$2,-8),"aa")</f>
        <v>mar.-21</v>
      </c>
      <c r="H118" s="131" t="str">
        <f>TEXT(EDATE($A$2,-7),"mmm")&amp;".-"&amp;TEXT(EDATE($A$2,-7),"aa")</f>
        <v>abr.-21</v>
      </c>
      <c r="I118" s="131" t="str">
        <f>TEXT(EDATE($A$2,-6),"mmm")&amp;".-"&amp;TEXT(EDATE($A$2,-6),"aa")</f>
        <v>may.-21</v>
      </c>
      <c r="J118" s="131" t="str">
        <f>TEXT(EDATE($A$2,-5),"mmm")&amp;".-"&amp;TEXT(EDATE($A$2,-5),"aa")</f>
        <v>jun.-21</v>
      </c>
      <c r="K118" s="131" t="str">
        <f>TEXT(EDATE($A$2,-4),"mmm")&amp;".-"&amp;TEXT(EDATE($A$2,-4),"aa")</f>
        <v>jul.-21</v>
      </c>
      <c r="L118" s="131" t="str">
        <f>TEXT(EDATE($A$2,-3),"mmm")&amp;".-"&amp;TEXT(EDATE($A$2,-3),"aa")</f>
        <v>ago.-21</v>
      </c>
      <c r="M118" s="131" t="str">
        <f>TEXT(EDATE($A$2,-2),"mmm")&amp;".-"&amp;TEXT(EDATE($A$2,-2),"aa")</f>
        <v>sep.-21</v>
      </c>
      <c r="N118" s="131" t="str">
        <f>TEXT(EDATE($A$2,-1),"mmm")&amp;".-"&amp;TEXT(EDATE($A$2,-1),"aa")</f>
        <v>oct.-21</v>
      </c>
      <c r="O118" s="160" t="str">
        <f>TEXT($A$2,"mmm")&amp;".-"&amp;TEXT($A$2,"aa")</f>
        <v>nov.-21</v>
      </c>
    </row>
    <row r="119" spans="1:19">
      <c r="A119" s="209" t="s">
        <v>76</v>
      </c>
      <c r="B119" s="132" t="s">
        <v>11</v>
      </c>
      <c r="C119" s="133">
        <f>HLOOKUP(C$117,$86:$101,3,FALSE)</f>
        <v>18.689830000000001</v>
      </c>
      <c r="D119" s="133">
        <f t="shared" ref="D119:N119" si="7">HLOOKUP(D$117,$86:$101,3,FALSE)</f>
        <v>78.075038000000006</v>
      </c>
      <c r="E119" s="133">
        <f t="shared" si="7"/>
        <v>-0.63269200000000003</v>
      </c>
      <c r="F119" s="133">
        <f t="shared" si="7"/>
        <v>-0.606159</v>
      </c>
      <c r="G119" s="133">
        <f t="shared" si="7"/>
        <v>-0.651559</v>
      </c>
      <c r="H119" s="133">
        <f t="shared" si="7"/>
        <v>-0.59136100000000003</v>
      </c>
      <c r="I119" s="133">
        <f t="shared" si="7"/>
        <v>-1.103416</v>
      </c>
      <c r="J119" s="133">
        <f t="shared" si="7"/>
        <v>41.953423999999998</v>
      </c>
      <c r="K119" s="133">
        <f t="shared" si="7"/>
        <v>9.292719</v>
      </c>
      <c r="L119" s="133">
        <f t="shared" si="7"/>
        <v>-0.72875599999999996</v>
      </c>
      <c r="M119" s="133">
        <f t="shared" si="7"/>
        <v>-0.54997399999999996</v>
      </c>
      <c r="N119" s="133">
        <f t="shared" si="7"/>
        <v>-0.58327700000000005</v>
      </c>
      <c r="O119" s="134">
        <f>HLOOKUP(O$117,$86:$101,3,FALSE)</f>
        <v>0</v>
      </c>
    </row>
    <row r="120" spans="1:19">
      <c r="A120" s="210"/>
      <c r="B120" s="122" t="s">
        <v>10</v>
      </c>
      <c r="C120" s="116">
        <f>HLOOKUP(C$117,$86:$101,4,FALSE)</f>
        <v>18.608250999999999</v>
      </c>
      <c r="D120" s="116">
        <f t="shared" ref="D120:O120" si="8">HLOOKUP(D$117,$86:$101,4,FALSE)</f>
        <v>22.109065000000001</v>
      </c>
      <c r="E120" s="116">
        <f t="shared" si="8"/>
        <v>27.196950000000001</v>
      </c>
      <c r="F120" s="116">
        <f t="shared" si="8"/>
        <v>18.940327</v>
      </c>
      <c r="G120" s="116">
        <f t="shared" si="8"/>
        <v>14.240815</v>
      </c>
      <c r="H120" s="116">
        <f t="shared" si="8"/>
        <v>18.127455999999999</v>
      </c>
      <c r="I120" s="116">
        <f t="shared" si="8"/>
        <v>20.114982000000001</v>
      </c>
      <c r="J120" s="116">
        <f t="shared" si="8"/>
        <v>40.523569999999999</v>
      </c>
      <c r="K120" s="116">
        <f t="shared" si="8"/>
        <v>56.775785999999997</v>
      </c>
      <c r="L120" s="116">
        <f t="shared" si="8"/>
        <v>61.091033000000003</v>
      </c>
      <c r="M120" s="116">
        <f t="shared" si="8"/>
        <v>52.814718999999997</v>
      </c>
      <c r="N120" s="116">
        <f t="shared" si="8"/>
        <v>40.707250000000002</v>
      </c>
      <c r="O120" s="134">
        <f t="shared" si="8"/>
        <v>18.157844000000001</v>
      </c>
    </row>
    <row r="121" spans="1:19">
      <c r="A121" s="210"/>
      <c r="B121" s="122" t="s">
        <v>9</v>
      </c>
      <c r="C121" s="116">
        <f>HLOOKUP(C$117,$86:$101,5,FALSE)</f>
        <v>10.474845</v>
      </c>
      <c r="D121" s="116">
        <f t="shared" ref="D121:O121" si="9">HLOOKUP(D$117,$86:$101,5,FALSE)</f>
        <v>11.540551000000001</v>
      </c>
      <c r="E121" s="116">
        <f t="shared" si="9"/>
        <v>18.542487000000001</v>
      </c>
      <c r="F121" s="116">
        <f t="shared" si="9"/>
        <v>7.6657599999999997</v>
      </c>
      <c r="G121" s="116">
        <f t="shared" si="9"/>
        <v>13.131584999999999</v>
      </c>
      <c r="H121" s="116">
        <f t="shared" si="9"/>
        <v>8.3072920000000003</v>
      </c>
      <c r="I121" s="116">
        <f t="shared" si="9"/>
        <v>7.7047420000000004</v>
      </c>
      <c r="J121" s="116">
        <f t="shared" si="9"/>
        <v>18.862037999999998</v>
      </c>
      <c r="K121" s="116">
        <f t="shared" si="9"/>
        <v>27.349309999999999</v>
      </c>
      <c r="L121" s="116">
        <f t="shared" si="9"/>
        <v>38.115422000000002</v>
      </c>
      <c r="M121" s="116">
        <f t="shared" si="9"/>
        <v>38.699375000000003</v>
      </c>
      <c r="N121" s="116">
        <f t="shared" si="9"/>
        <v>18.871455999999998</v>
      </c>
      <c r="O121" s="134">
        <f t="shared" si="9"/>
        <v>12.806367</v>
      </c>
    </row>
    <row r="122" spans="1:19" ht="14.25">
      <c r="A122" s="210"/>
      <c r="B122" s="122" t="s">
        <v>74</v>
      </c>
      <c r="C122" s="116">
        <f>HLOOKUP(C$117,$86:$101,6,FALSE)</f>
        <v>185.01524499999999</v>
      </c>
      <c r="D122" s="116">
        <f t="shared" ref="D122:O122" si="10">HLOOKUP(D$117,$86:$101,6,FALSE)</f>
        <v>159.35356899999999</v>
      </c>
      <c r="E122" s="116">
        <f t="shared" si="10"/>
        <v>260.27204499999999</v>
      </c>
      <c r="F122" s="116">
        <f t="shared" si="10"/>
        <v>187.465463</v>
      </c>
      <c r="G122" s="116">
        <f t="shared" si="10"/>
        <v>217.47864799999999</v>
      </c>
      <c r="H122" s="116">
        <f t="shared" si="10"/>
        <v>208.53059300000001</v>
      </c>
      <c r="I122" s="116">
        <f t="shared" si="10"/>
        <v>203.81251599999999</v>
      </c>
      <c r="J122" s="116">
        <f t="shared" si="10"/>
        <v>240.57820899999999</v>
      </c>
      <c r="K122" s="116">
        <f t="shared" si="10"/>
        <v>408.79444899999999</v>
      </c>
      <c r="L122" s="116">
        <f t="shared" si="10"/>
        <v>437.91378300000002</v>
      </c>
      <c r="M122" s="116">
        <f t="shared" si="10"/>
        <v>367.24080800000002</v>
      </c>
      <c r="N122" s="116">
        <f t="shared" si="10"/>
        <v>312.10340600000001</v>
      </c>
      <c r="O122" s="134">
        <f t="shared" si="10"/>
        <v>310.05345399999999</v>
      </c>
    </row>
    <row r="123" spans="1:19">
      <c r="A123" s="210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-2.3999999999999998E-3</v>
      </c>
      <c r="H123" s="116">
        <f t="shared" si="11"/>
        <v>0</v>
      </c>
      <c r="I123" s="116">
        <f t="shared" si="11"/>
        <v>1.1771689999999999</v>
      </c>
      <c r="J123" s="116">
        <f t="shared" si="11"/>
        <v>0.95765299999999998</v>
      </c>
      <c r="K123" s="116">
        <f t="shared" si="11"/>
        <v>2.9751430000000001</v>
      </c>
      <c r="L123" s="116">
        <f t="shared" si="11"/>
        <v>3.834768</v>
      </c>
      <c r="M123" s="116">
        <f t="shared" si="11"/>
        <v>2.0925159999999998</v>
      </c>
      <c r="N123" s="116">
        <f t="shared" si="11"/>
        <v>0.98881300000000005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0.34884399999999999</v>
      </c>
      <c r="D124" s="116">
        <f t="shared" ref="D124:O124" si="12">HLOOKUP(D$117,$86:$102,8,FALSE)</f>
        <v>0.28645399999999999</v>
      </c>
      <c r="E124" s="116">
        <f t="shared" si="12"/>
        <v>0.27796300000000002</v>
      </c>
      <c r="F124" s="116">
        <f t="shared" si="12"/>
        <v>0.15948300000000001</v>
      </c>
      <c r="G124" s="116">
        <f t="shared" si="12"/>
        <v>0.30611500000000003</v>
      </c>
      <c r="H124" s="116">
        <f t="shared" si="12"/>
        <v>0.29466900000000001</v>
      </c>
      <c r="I124" s="116">
        <f t="shared" si="12"/>
        <v>0.189554</v>
      </c>
      <c r="J124" s="116">
        <f t="shared" si="12"/>
        <v>9.4216999999999995E-2</v>
      </c>
      <c r="K124" s="116">
        <f t="shared" si="12"/>
        <v>0.106017</v>
      </c>
      <c r="L124" s="116">
        <f t="shared" si="12"/>
        <v>0.20128099999999999</v>
      </c>
      <c r="M124" s="116">
        <f t="shared" si="12"/>
        <v>0.27444800000000003</v>
      </c>
      <c r="N124" s="116">
        <f t="shared" si="12"/>
        <v>0.26974799999999999</v>
      </c>
      <c r="O124" s="134">
        <f t="shared" si="12"/>
        <v>0.36637999999999998</v>
      </c>
    </row>
    <row r="125" spans="1:19">
      <c r="A125" s="210"/>
      <c r="B125" s="122" t="s">
        <v>4</v>
      </c>
      <c r="C125" s="116">
        <f>HLOOKUP(C$117,$86:$102,9,FALSE)</f>
        <v>6.7605230000000001</v>
      </c>
      <c r="D125" s="116">
        <f t="shared" ref="D125:O125" si="13">HLOOKUP(D$117,$86:$102,9,FALSE)</f>
        <v>6.7367169999999996</v>
      </c>
      <c r="E125" s="116">
        <f t="shared" si="13"/>
        <v>8.4045810000000003</v>
      </c>
      <c r="F125" s="116">
        <f t="shared" si="13"/>
        <v>9.5098800000000008</v>
      </c>
      <c r="G125" s="116">
        <f t="shared" si="13"/>
        <v>13.293218</v>
      </c>
      <c r="H125" s="116">
        <f t="shared" si="13"/>
        <v>14.709775</v>
      </c>
      <c r="I125" s="116">
        <f t="shared" si="13"/>
        <v>22.195191000000001</v>
      </c>
      <c r="J125" s="116">
        <f t="shared" si="13"/>
        <v>21.167138000000001</v>
      </c>
      <c r="K125" s="116">
        <f t="shared" si="13"/>
        <v>22.964213999999998</v>
      </c>
      <c r="L125" s="116">
        <f t="shared" si="13"/>
        <v>21.349046000000001</v>
      </c>
      <c r="M125" s="116">
        <f t="shared" si="13"/>
        <v>17.621782</v>
      </c>
      <c r="N125" s="116">
        <f t="shared" si="13"/>
        <v>16.793078000000001</v>
      </c>
      <c r="O125" s="134">
        <f t="shared" si="13"/>
        <v>8.3171020000000002</v>
      </c>
    </row>
    <row r="126" spans="1:19">
      <c r="A126" s="210"/>
      <c r="B126" s="123" t="s">
        <v>22</v>
      </c>
      <c r="C126" s="116">
        <f>HLOOKUP(C$117,$86:$102,10,FALSE)</f>
        <v>6.9145999999999999E-2</v>
      </c>
      <c r="D126" s="116">
        <f t="shared" ref="D126:O126" si="14">HLOOKUP(D$117,$86:$102,10,FALSE)</f>
        <v>3.986E-2</v>
      </c>
      <c r="E126" s="116">
        <f t="shared" si="14"/>
        <v>5.7757000000000003E-2</v>
      </c>
      <c r="F126" s="116">
        <f t="shared" si="14"/>
        <v>7.6887999999999998E-2</v>
      </c>
      <c r="G126" s="116">
        <f t="shared" si="14"/>
        <v>0.13778699999999999</v>
      </c>
      <c r="H126" s="116">
        <f t="shared" si="14"/>
        <v>0.10574</v>
      </c>
      <c r="I126" s="116">
        <f t="shared" si="14"/>
        <v>0.118546</v>
      </c>
      <c r="J126" s="116">
        <f t="shared" si="14"/>
        <v>9.8640000000000005E-2</v>
      </c>
      <c r="K126" s="116">
        <f t="shared" si="14"/>
        <v>9.6151E-2</v>
      </c>
      <c r="L126" s="116">
        <f t="shared" si="14"/>
        <v>8.4413000000000002E-2</v>
      </c>
      <c r="M126" s="116">
        <f t="shared" si="14"/>
        <v>8.1381999999999996E-2</v>
      </c>
      <c r="N126" s="116">
        <f t="shared" si="14"/>
        <v>0.243059</v>
      </c>
      <c r="O126" s="134">
        <f t="shared" si="14"/>
        <v>0.25197000000000003</v>
      </c>
    </row>
    <row r="127" spans="1:19">
      <c r="A127" s="210"/>
      <c r="B127" s="123" t="s">
        <v>23</v>
      </c>
      <c r="C127" s="116">
        <f>HLOOKUP(C$117,$86:$102,11,FALSE)</f>
        <v>2.521382</v>
      </c>
      <c r="D127" s="116">
        <f t="shared" ref="D127:O127" si="15">HLOOKUP(D$117,$86:$102,11,FALSE)</f>
        <v>3.3692880000000001</v>
      </c>
      <c r="E127" s="116">
        <f t="shared" si="15"/>
        <v>4.0659429999999999</v>
      </c>
      <c r="F127" s="116">
        <f t="shared" si="15"/>
        <v>3.641699</v>
      </c>
      <c r="G127" s="116">
        <f t="shared" si="15"/>
        <v>3.9954990000000001</v>
      </c>
      <c r="H127" s="116">
        <f t="shared" si="15"/>
        <v>3.2208809999999999</v>
      </c>
      <c r="I127" s="116">
        <f t="shared" si="15"/>
        <v>2.5715810000000001</v>
      </c>
      <c r="J127" s="116">
        <f t="shared" si="15"/>
        <v>3.062163</v>
      </c>
      <c r="K127" s="116">
        <f t="shared" si="15"/>
        <v>3.6905410000000001</v>
      </c>
      <c r="L127" s="116">
        <f t="shared" si="15"/>
        <v>3.5683280000000002</v>
      </c>
      <c r="M127" s="116">
        <f t="shared" si="15"/>
        <v>3.678795</v>
      </c>
      <c r="N127" s="116">
        <f t="shared" si="15"/>
        <v>4.0205719999999996</v>
      </c>
      <c r="O127" s="134">
        <f t="shared" si="15"/>
        <v>1.5492300000000001</v>
      </c>
    </row>
    <row r="128" spans="1:19">
      <c r="A128" s="210"/>
      <c r="B128" s="122" t="s">
        <v>55</v>
      </c>
      <c r="C128" s="116">
        <f t="shared" ref="C128:O128" si="16">HLOOKUP(C$117,$86:$102,13,FALSE)</f>
        <v>12.812825</v>
      </c>
      <c r="D128" s="116">
        <f t="shared" si="16"/>
        <v>8.6052265000000006</v>
      </c>
      <c r="E128" s="116">
        <f t="shared" si="16"/>
        <v>7.1515275000000003</v>
      </c>
      <c r="F128" s="116">
        <f t="shared" si="16"/>
        <v>10.723705000000001</v>
      </c>
      <c r="G128" s="116">
        <f t="shared" si="16"/>
        <v>10.093087499999999</v>
      </c>
      <c r="H128" s="116">
        <f t="shared" si="16"/>
        <v>7.5393055000000002</v>
      </c>
      <c r="I128" s="116">
        <f t="shared" si="16"/>
        <v>6.0236640000000001</v>
      </c>
      <c r="J128" s="116">
        <f t="shared" si="16"/>
        <v>13.481942</v>
      </c>
      <c r="K128" s="116">
        <f t="shared" si="16"/>
        <v>11.473026000000001</v>
      </c>
      <c r="L128" s="116">
        <f t="shared" si="16"/>
        <v>13.3199895</v>
      </c>
      <c r="M128" s="116">
        <f t="shared" si="16"/>
        <v>11.972504499999999</v>
      </c>
      <c r="N128" s="116">
        <f t="shared" si="16"/>
        <v>6.4146000000000001</v>
      </c>
      <c r="O128" s="134">
        <f t="shared" si="16"/>
        <v>14.17625</v>
      </c>
    </row>
    <row r="129" spans="1:15">
      <c r="A129" s="210"/>
      <c r="B129" s="122" t="s">
        <v>54</v>
      </c>
      <c r="C129" s="116">
        <f>HLOOKUP(C$117,$86:$102,12,FALSE)</f>
        <v>12.812825</v>
      </c>
      <c r="D129" s="116">
        <f t="shared" ref="D129:O129" si="17">HLOOKUP(D$117,$86:$102,12,FALSE)</f>
        <v>8.6052265000000006</v>
      </c>
      <c r="E129" s="116">
        <f t="shared" si="17"/>
        <v>7.1515275000000003</v>
      </c>
      <c r="F129" s="116">
        <f t="shared" si="17"/>
        <v>10.723705000000001</v>
      </c>
      <c r="G129" s="116">
        <f t="shared" si="17"/>
        <v>10.093087499999999</v>
      </c>
      <c r="H129" s="116">
        <f t="shared" si="17"/>
        <v>7.5393055000000002</v>
      </c>
      <c r="I129" s="116">
        <f t="shared" si="17"/>
        <v>6.0236640000000001</v>
      </c>
      <c r="J129" s="116">
        <f t="shared" si="17"/>
        <v>13.481942</v>
      </c>
      <c r="K129" s="116">
        <f t="shared" si="17"/>
        <v>11.473026000000001</v>
      </c>
      <c r="L129" s="116">
        <f t="shared" si="17"/>
        <v>13.3199895</v>
      </c>
      <c r="M129" s="116">
        <f t="shared" si="17"/>
        <v>11.972504499999999</v>
      </c>
      <c r="N129" s="116">
        <f t="shared" si="17"/>
        <v>6.4146000000000001</v>
      </c>
      <c r="O129" s="134">
        <f t="shared" si="17"/>
        <v>14.17625</v>
      </c>
    </row>
    <row r="130" spans="1:15">
      <c r="A130" s="210"/>
      <c r="B130" s="124" t="s">
        <v>2</v>
      </c>
      <c r="C130" s="125">
        <f>HLOOKUP(C$117,$86:$102,14,FALSE)</f>
        <v>268.11371600000001</v>
      </c>
      <c r="D130" s="125">
        <f t="shared" ref="D130:O130" si="18">HLOOKUP(D$117,$86:$102,14,FALSE)</f>
        <v>298.72099500000002</v>
      </c>
      <c r="E130" s="125">
        <f t="shared" si="18"/>
        <v>332.488089</v>
      </c>
      <c r="F130" s="125">
        <f t="shared" si="18"/>
        <v>248.30075099999999</v>
      </c>
      <c r="G130" s="125">
        <f t="shared" si="18"/>
        <v>282.115883</v>
      </c>
      <c r="H130" s="125">
        <f t="shared" si="18"/>
        <v>267.78365600000001</v>
      </c>
      <c r="I130" s="125">
        <f t="shared" si="18"/>
        <v>268.828193</v>
      </c>
      <c r="J130" s="125">
        <f t="shared" si="18"/>
        <v>394.26093600000002</v>
      </c>
      <c r="K130" s="125">
        <f t="shared" si="18"/>
        <v>554.99038199999995</v>
      </c>
      <c r="L130" s="125">
        <f t="shared" si="18"/>
        <v>592.06929700000001</v>
      </c>
      <c r="M130" s="125">
        <f t="shared" si="18"/>
        <v>505.89886000000001</v>
      </c>
      <c r="N130" s="125">
        <f t="shared" si="18"/>
        <v>406.24330500000002</v>
      </c>
      <c r="O130" s="135">
        <f t="shared" si="18"/>
        <v>379.85484700000001</v>
      </c>
    </row>
    <row r="131" spans="1:15">
      <c r="A131" s="210"/>
      <c r="B131" s="122" t="s">
        <v>21</v>
      </c>
      <c r="C131" s="126">
        <f>HLOOKUP(C$117,$86:$102,15,FALSE)</f>
        <v>96.327618999999999</v>
      </c>
      <c r="D131" s="126">
        <f t="shared" ref="D131:O131" si="19">HLOOKUP(D$117,$86:$102,15,FALSE)</f>
        <v>138.26159999999999</v>
      </c>
      <c r="E131" s="126">
        <f t="shared" si="19"/>
        <v>138.25041200000001</v>
      </c>
      <c r="F131" s="126">
        <f t="shared" si="19"/>
        <v>113.412009</v>
      </c>
      <c r="G131" s="126">
        <f t="shared" si="19"/>
        <v>127.985573</v>
      </c>
      <c r="H131" s="126">
        <f t="shared" si="19"/>
        <v>111.02179700000001</v>
      </c>
      <c r="I131" s="126">
        <f t="shared" si="19"/>
        <v>111.601713</v>
      </c>
      <c r="J131" s="126">
        <f t="shared" si="19"/>
        <v>65.429468</v>
      </c>
      <c r="K131" s="126">
        <f t="shared" si="19"/>
        <v>45.879221000000001</v>
      </c>
      <c r="L131" s="126">
        <f t="shared" si="19"/>
        <v>40.107311000000003</v>
      </c>
      <c r="M131" s="126">
        <f t="shared" si="19"/>
        <v>37.549396999999999</v>
      </c>
      <c r="N131" s="126">
        <f t="shared" si="19"/>
        <v>38.285525</v>
      </c>
      <c r="O131" s="126">
        <f t="shared" si="19"/>
        <v>28.2438</v>
      </c>
    </row>
    <row r="132" spans="1:15">
      <c r="A132" s="210"/>
      <c r="B132" s="127" t="s">
        <v>1</v>
      </c>
      <c r="C132" s="128">
        <f>HLOOKUP(C$117,$86:$102,16,FALSE)</f>
        <v>364.44133499999998</v>
      </c>
      <c r="D132" s="128">
        <f t="shared" ref="D132:O132" si="20">HLOOKUP(D$117,$86:$102,16,FALSE)</f>
        <v>436.982595</v>
      </c>
      <c r="E132" s="128">
        <f t="shared" si="20"/>
        <v>470.73850099999999</v>
      </c>
      <c r="F132" s="128">
        <f t="shared" si="20"/>
        <v>361.71276</v>
      </c>
      <c r="G132" s="128">
        <f t="shared" si="20"/>
        <v>410.10145599999998</v>
      </c>
      <c r="H132" s="128">
        <f t="shared" si="20"/>
        <v>378.805453</v>
      </c>
      <c r="I132" s="128">
        <f t="shared" si="20"/>
        <v>380.42990600000002</v>
      </c>
      <c r="J132" s="128">
        <f t="shared" si="20"/>
        <v>459.690404</v>
      </c>
      <c r="K132" s="128">
        <f t="shared" si="20"/>
        <v>600.86960299999998</v>
      </c>
      <c r="L132" s="128">
        <f t="shared" si="20"/>
        <v>632.17660799999999</v>
      </c>
      <c r="M132" s="128">
        <f t="shared" si="20"/>
        <v>543.44825700000001</v>
      </c>
      <c r="N132" s="128">
        <f t="shared" si="20"/>
        <v>444.52883000000003</v>
      </c>
      <c r="O132" s="128">
        <f t="shared" si="20"/>
        <v>408.09864700000003</v>
      </c>
    </row>
    <row r="133" spans="1:15" ht="14.25">
      <c r="A133" s="211"/>
      <c r="B133" s="137" t="s">
        <v>75</v>
      </c>
      <c r="C133" s="138">
        <f>C120+C121+C123</f>
        <v>29.083095999999998</v>
      </c>
      <c r="D133" s="138">
        <f>D120+D121+D123</f>
        <v>33.649616000000002</v>
      </c>
      <c r="E133" s="138">
        <f t="shared" ref="E133:O133" si="21">E120+E121+E123</f>
        <v>45.739437000000002</v>
      </c>
      <c r="F133" s="138">
        <f t="shared" si="21"/>
        <v>26.606086999999999</v>
      </c>
      <c r="G133" s="138">
        <f t="shared" si="21"/>
        <v>27.369999999999997</v>
      </c>
      <c r="H133" s="138">
        <f t="shared" si="21"/>
        <v>26.434747999999999</v>
      </c>
      <c r="I133" s="138">
        <f t="shared" si="21"/>
        <v>28.996893</v>
      </c>
      <c r="J133" s="138">
        <f t="shared" si="21"/>
        <v>60.343260999999998</v>
      </c>
      <c r="K133" s="138">
        <f t="shared" si="21"/>
        <v>87.100239000000002</v>
      </c>
      <c r="L133" s="138">
        <f t="shared" si="21"/>
        <v>103.041223</v>
      </c>
      <c r="M133" s="138">
        <f t="shared" si="21"/>
        <v>93.606610000000003</v>
      </c>
      <c r="N133" s="138">
        <f t="shared" si="21"/>
        <v>60.567518999999997</v>
      </c>
      <c r="O133" s="138">
        <f t="shared" si="21"/>
        <v>30.964210999999999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nov.-20</v>
      </c>
      <c r="D134" s="120" t="str">
        <f>TEXT(EDATE($A$2,-11),"mmm")&amp;".-"&amp;TEXT(EDATE($A$2,-11),"aa")</f>
        <v>dic.-20</v>
      </c>
      <c r="E134" s="120" t="str">
        <f>TEXT(EDATE($A$2,-10),"mmm")&amp;".-"&amp;TEXT(EDATE($A$2,-10),"aa")</f>
        <v>ene.-21</v>
      </c>
      <c r="F134" s="120" t="str">
        <f>TEXT(EDATE($A$2,-9),"mmm")&amp;".-"&amp;TEXT(EDATE($A$2,-9),"aa")</f>
        <v>feb.-21</v>
      </c>
      <c r="G134" s="120" t="str">
        <f>TEXT(EDATE($A$2,-8),"mmm")&amp;".-"&amp;TEXT(EDATE($A$2,-8),"aa")</f>
        <v>mar.-21</v>
      </c>
      <c r="H134" s="120" t="str">
        <f>TEXT(EDATE($A$2,-7),"mmm")&amp;".-"&amp;TEXT(EDATE($A$2,-7),"aa")</f>
        <v>abr.-21</v>
      </c>
      <c r="I134" s="120" t="str">
        <f>TEXT(EDATE($A$2,-6),"mmm")&amp;".-"&amp;TEXT(EDATE($A$2,-6),"aa")</f>
        <v>may.-21</v>
      </c>
      <c r="J134" s="120" t="str">
        <f>TEXT(EDATE($A$2,-5),"mmm")&amp;".-"&amp;TEXT(EDATE($A$2,-5),"aa")</f>
        <v>jun.-21</v>
      </c>
      <c r="K134" s="120" t="str">
        <f>TEXT(EDATE($A$2,-4),"mmm")&amp;".-"&amp;TEXT(EDATE($A$2,-4),"aa")</f>
        <v>jul.-21</v>
      </c>
      <c r="L134" s="120" t="str">
        <f>TEXT(EDATE($A$2,-3),"mmm")&amp;".-"&amp;TEXT(EDATE($A$2,-3),"aa")</f>
        <v>ago.-21</v>
      </c>
      <c r="M134" s="120" t="str">
        <f>TEXT(EDATE($A$2,-2),"mmm")&amp;".-"&amp;TEXT(EDATE($A$2,-2),"aa")</f>
        <v>sep.-21</v>
      </c>
      <c r="N134" s="120" t="str">
        <f>TEXT(EDATE($A$2,-1),"mmm")&amp;".-"&amp;TEXT(EDATE($A$2,-1),"aa")</f>
        <v>oct.-21</v>
      </c>
      <c r="O134" s="121" t="str">
        <f>TEXT($A$2,"mmm")&amp;".-"&amp;TEXT($A$2,"aa")</f>
        <v>nov.-21</v>
      </c>
    </row>
    <row r="135" spans="1:15" ht="15" customHeight="1">
      <c r="A135" s="210"/>
      <c r="B135" s="122" t="s">
        <v>12</v>
      </c>
      <c r="C135" s="116">
        <f>HLOOKUP(C$117,$86:$115,17,FALSE)</f>
        <v>0.28527599999999997</v>
      </c>
      <c r="D135" s="116">
        <f t="shared" ref="D135:O135" si="22">HLOOKUP(D$117,$86:$115,17,FALSE)</f>
        <v>0.29958099999999999</v>
      </c>
      <c r="E135" s="116">
        <f t="shared" si="22"/>
        <v>0.29762100000000002</v>
      </c>
      <c r="F135" s="116">
        <f t="shared" si="22"/>
        <v>0.25852999999999998</v>
      </c>
      <c r="G135" s="116">
        <f t="shared" si="22"/>
        <v>0.28226499999999999</v>
      </c>
      <c r="H135" s="116">
        <f t="shared" si="22"/>
        <v>0.13780600000000001</v>
      </c>
      <c r="I135" s="116">
        <f t="shared" si="22"/>
        <v>0.26783600000000002</v>
      </c>
      <c r="J135" s="116">
        <f t="shared" si="22"/>
        <v>0.28217700000000001</v>
      </c>
      <c r="K135" s="116">
        <f t="shared" si="22"/>
        <v>0.28972599999999998</v>
      </c>
      <c r="L135" s="116">
        <f t="shared" si="22"/>
        <v>0.28065899999999999</v>
      </c>
      <c r="M135" s="116">
        <f t="shared" si="22"/>
        <v>0.27753299999999997</v>
      </c>
      <c r="N135" s="116">
        <f t="shared" si="22"/>
        <v>0.28213100000000002</v>
      </c>
      <c r="O135" s="161">
        <f t="shared" si="22"/>
        <v>0</v>
      </c>
    </row>
    <row r="136" spans="1:15">
      <c r="A136" s="210"/>
      <c r="B136" s="122" t="s">
        <v>10</v>
      </c>
      <c r="C136" s="116">
        <f>HLOOKUP(C$117,$86:$115,18,FALSE)</f>
        <v>147.43617</v>
      </c>
      <c r="D136" s="116">
        <f t="shared" ref="D136:O136" si="23">HLOOKUP(D$117,$86:$115,18,FALSE)</f>
        <v>146.45553799999999</v>
      </c>
      <c r="E136" s="116">
        <f t="shared" si="23"/>
        <v>141.05104299999999</v>
      </c>
      <c r="F136" s="116">
        <f t="shared" si="23"/>
        <v>112.359525</v>
      </c>
      <c r="G136" s="116">
        <f t="shared" si="23"/>
        <v>128.50312700000001</v>
      </c>
      <c r="H136" s="116">
        <f t="shared" si="23"/>
        <v>140.012246</v>
      </c>
      <c r="I136" s="116">
        <f t="shared" si="23"/>
        <v>126.338086</v>
      </c>
      <c r="J136" s="116">
        <f t="shared" si="23"/>
        <v>133.47633400000001</v>
      </c>
      <c r="K136" s="116">
        <f t="shared" si="23"/>
        <v>143.30591200000001</v>
      </c>
      <c r="L136" s="116">
        <f t="shared" si="23"/>
        <v>156.76769400000001</v>
      </c>
      <c r="M136" s="116">
        <f t="shared" si="23"/>
        <v>167.979367</v>
      </c>
      <c r="N136" s="116">
        <f t="shared" si="23"/>
        <v>160.016738</v>
      </c>
      <c r="O136" s="134">
        <f t="shared" si="23"/>
        <v>155.61694499999999</v>
      </c>
    </row>
    <row r="137" spans="1:15">
      <c r="A137" s="210"/>
      <c r="B137" s="122" t="s">
        <v>9</v>
      </c>
      <c r="C137" s="116">
        <f>HLOOKUP(C$117,$86:$115,19,FALSE)</f>
        <v>18.073917999999999</v>
      </c>
      <c r="D137" s="116">
        <f t="shared" ref="D137:O137" si="24">HLOOKUP(D$117,$86:$115,19,FALSE)</f>
        <v>16.086774999999999</v>
      </c>
      <c r="E137" s="116">
        <f t="shared" si="24"/>
        <v>10.157844000000001</v>
      </c>
      <c r="F137" s="116">
        <f t="shared" si="24"/>
        <v>10.355027</v>
      </c>
      <c r="G137" s="116">
        <f t="shared" si="24"/>
        <v>14.760713000000001</v>
      </c>
      <c r="H137" s="116">
        <f t="shared" si="24"/>
        <v>16.229486999999999</v>
      </c>
      <c r="I137" s="116">
        <f t="shared" si="24"/>
        <v>17.203126999999999</v>
      </c>
      <c r="J137" s="116">
        <f t="shared" si="24"/>
        <v>15.24977</v>
      </c>
      <c r="K137" s="116">
        <f t="shared" si="24"/>
        <v>13.198846</v>
      </c>
      <c r="L137" s="116">
        <f t="shared" si="24"/>
        <v>9.7369489999999992</v>
      </c>
      <c r="M137" s="116">
        <f t="shared" si="24"/>
        <v>32.625571999999998</v>
      </c>
      <c r="N137" s="116">
        <f t="shared" si="24"/>
        <v>27.415593999999999</v>
      </c>
      <c r="O137" s="134">
        <f t="shared" si="24"/>
        <v>11.134696999999999</v>
      </c>
    </row>
    <row r="138" spans="1:15">
      <c r="A138" s="210"/>
      <c r="B138" s="122" t="s">
        <v>8</v>
      </c>
      <c r="C138" s="116">
        <f>HLOOKUP(C$117,$86:$115,20,FALSE)</f>
        <v>121.615077</v>
      </c>
      <c r="D138" s="116">
        <f t="shared" ref="D138:O138" si="25">HLOOKUP(D$117,$86:$115,20,FALSE)</f>
        <v>109.732229</v>
      </c>
      <c r="E138" s="116">
        <f t="shared" si="25"/>
        <v>116.282053</v>
      </c>
      <c r="F138" s="116">
        <f t="shared" si="25"/>
        <v>104.960847</v>
      </c>
      <c r="G138" s="116">
        <f t="shared" si="25"/>
        <v>100.758259</v>
      </c>
      <c r="H138" s="116">
        <f t="shared" si="25"/>
        <v>70.652975999999995</v>
      </c>
      <c r="I138" s="116">
        <f t="shared" si="25"/>
        <v>62.41677</v>
      </c>
      <c r="J138" s="116">
        <f t="shared" si="25"/>
        <v>33.486941999999999</v>
      </c>
      <c r="K138" s="116">
        <f t="shared" si="25"/>
        <v>66.134209999999996</v>
      </c>
      <c r="L138" s="116">
        <f t="shared" si="25"/>
        <v>99.644189999999995</v>
      </c>
      <c r="M138" s="116">
        <f t="shared" si="25"/>
        <v>113.210213</v>
      </c>
      <c r="N138" s="116">
        <f t="shared" si="25"/>
        <v>112.484255</v>
      </c>
      <c r="O138" s="134">
        <f t="shared" si="25"/>
        <v>107.712312</v>
      </c>
    </row>
    <row r="139" spans="1:15" ht="14.25">
      <c r="A139" s="210"/>
      <c r="B139" s="122" t="s">
        <v>74</v>
      </c>
      <c r="C139" s="116">
        <f>HLOOKUP(C$117,$86:$115,21,FALSE)</f>
        <v>292.22053799999998</v>
      </c>
      <c r="D139" s="116">
        <f t="shared" ref="D139:O139" si="26">HLOOKUP(D$117,$86:$115,21,FALSE)</f>
        <v>314.37255499999998</v>
      </c>
      <c r="E139" s="116">
        <f t="shared" si="26"/>
        <v>280.66014899999999</v>
      </c>
      <c r="F139" s="116">
        <f t="shared" si="26"/>
        <v>269.76136200000002</v>
      </c>
      <c r="G139" s="116">
        <f t="shared" si="26"/>
        <v>284.19602200000003</v>
      </c>
      <c r="H139" s="116">
        <f t="shared" si="26"/>
        <v>311.21022299999998</v>
      </c>
      <c r="I139" s="116">
        <f t="shared" si="26"/>
        <v>236.28277700000001</v>
      </c>
      <c r="J139" s="116">
        <f t="shared" si="26"/>
        <v>276.61590899999999</v>
      </c>
      <c r="K139" s="116">
        <f t="shared" si="26"/>
        <v>284.60979800000001</v>
      </c>
      <c r="L139" s="116">
        <f t="shared" si="26"/>
        <v>284.30052499999999</v>
      </c>
      <c r="M139" s="116">
        <f t="shared" si="26"/>
        <v>278.88830000000002</v>
      </c>
      <c r="N139" s="116">
        <f t="shared" si="26"/>
        <v>288.42916700000001</v>
      </c>
      <c r="O139" s="134">
        <f t="shared" si="26"/>
        <v>327.89147600000001</v>
      </c>
    </row>
    <row r="140" spans="1:15">
      <c r="A140" s="210"/>
      <c r="B140" s="122" t="s">
        <v>6</v>
      </c>
      <c r="C140" s="116">
        <f>HLOOKUP(C$117,$86:$115,22,FALSE)</f>
        <v>0.821801</v>
      </c>
      <c r="D140" s="116">
        <f t="shared" ref="D140:O140" si="27">HLOOKUP(D$117,$86:$115,22,FALSE)</f>
        <v>0.95850199999999997</v>
      </c>
      <c r="E140" s="116">
        <f t="shared" si="27"/>
        <v>0.99317</v>
      </c>
      <c r="F140" s="116">
        <f t="shared" si="27"/>
        <v>1.226483</v>
      </c>
      <c r="G140" s="116">
        <f t="shared" si="27"/>
        <v>1.921443</v>
      </c>
      <c r="H140" s="116">
        <f t="shared" si="27"/>
        <v>0.83590799999999998</v>
      </c>
      <c r="I140" s="116">
        <f t="shared" si="27"/>
        <v>3.227077</v>
      </c>
      <c r="J140" s="116">
        <f t="shared" si="27"/>
        <v>3.0020419999999999</v>
      </c>
      <c r="K140" s="116">
        <f t="shared" si="27"/>
        <v>3.5782180000000001</v>
      </c>
      <c r="L140" s="116">
        <f t="shared" si="27"/>
        <v>2.663478</v>
      </c>
      <c r="M140" s="116">
        <f t="shared" si="27"/>
        <v>1.4201079999999999</v>
      </c>
      <c r="N140" s="116">
        <f t="shared" si="27"/>
        <v>1.852679</v>
      </c>
      <c r="O140" s="134">
        <f t="shared" si="27"/>
        <v>1.1802680000000001</v>
      </c>
    </row>
    <row r="141" spans="1:15">
      <c r="A141" s="210"/>
      <c r="B141" s="122" t="s">
        <v>5</v>
      </c>
      <c r="C141" s="116">
        <f>HLOOKUP(C$117,$86:$115,23,FALSE)</f>
        <v>54.913390999999997</v>
      </c>
      <c r="D141" s="116">
        <f t="shared" ref="D141:O141" si="28">HLOOKUP(D$117,$86:$115,23,FALSE)</f>
        <v>61.422595000000001</v>
      </c>
      <c r="E141" s="116">
        <f t="shared" si="28"/>
        <v>81.695520000000002</v>
      </c>
      <c r="F141" s="116">
        <f t="shared" si="28"/>
        <v>58.505417000000001</v>
      </c>
      <c r="G141" s="116">
        <f t="shared" si="28"/>
        <v>84.841812000000004</v>
      </c>
      <c r="H141" s="116">
        <f t="shared" si="28"/>
        <v>52.700510000000001</v>
      </c>
      <c r="I141" s="116">
        <f t="shared" si="28"/>
        <v>162.60342700000001</v>
      </c>
      <c r="J141" s="116">
        <f t="shared" si="28"/>
        <v>148.01756800000001</v>
      </c>
      <c r="K141" s="116">
        <f t="shared" si="28"/>
        <v>158.51529099999999</v>
      </c>
      <c r="L141" s="116">
        <f t="shared" si="28"/>
        <v>145.85740200000001</v>
      </c>
      <c r="M141" s="116">
        <f t="shared" si="28"/>
        <v>106.41552299999999</v>
      </c>
      <c r="N141" s="116">
        <f t="shared" si="28"/>
        <v>121.87329699999999</v>
      </c>
      <c r="O141" s="134">
        <f t="shared" si="28"/>
        <v>92.971391999999994</v>
      </c>
    </row>
    <row r="142" spans="1:15">
      <c r="A142" s="210"/>
      <c r="B142" s="122" t="s">
        <v>4</v>
      </c>
      <c r="C142" s="116">
        <f>HLOOKUP(C$117,$86:$115,24,FALSE)</f>
        <v>16.227492000000002</v>
      </c>
      <c r="D142" s="116">
        <f t="shared" ref="D142:O142" si="29">HLOOKUP(D$117,$86:$115,24,FALSE)</f>
        <v>15.507413</v>
      </c>
      <c r="E142" s="116">
        <f t="shared" si="29"/>
        <v>16.464936000000002</v>
      </c>
      <c r="F142" s="116">
        <f t="shared" si="29"/>
        <v>17.884999000000001</v>
      </c>
      <c r="G142" s="116">
        <f t="shared" si="29"/>
        <v>24.290976000000001</v>
      </c>
      <c r="H142" s="116">
        <f t="shared" si="29"/>
        <v>22.565013</v>
      </c>
      <c r="I142" s="116">
        <f t="shared" si="29"/>
        <v>27.019202</v>
      </c>
      <c r="J142" s="116">
        <f t="shared" si="29"/>
        <v>24.71088</v>
      </c>
      <c r="K142" s="116">
        <f t="shared" si="29"/>
        <v>27.905276000000001</v>
      </c>
      <c r="L142" s="116">
        <f t="shared" si="29"/>
        <v>26.100961999999999</v>
      </c>
      <c r="M142" s="116">
        <f t="shared" si="29"/>
        <v>21.461660999999999</v>
      </c>
      <c r="N142" s="116">
        <f t="shared" si="29"/>
        <v>20.903444</v>
      </c>
      <c r="O142" s="134">
        <f t="shared" si="29"/>
        <v>15.222483</v>
      </c>
    </row>
    <row r="143" spans="1:15">
      <c r="A143" s="210"/>
      <c r="B143" s="122" t="s">
        <v>22</v>
      </c>
      <c r="C143" s="116">
        <f>HLOOKUP(C$117,$86:$115,25,FALSE)</f>
        <v>0.74310299999999996</v>
      </c>
      <c r="D143" s="116">
        <f t="shared" ref="D143:O143" si="30">HLOOKUP(D$117,$86:$115,25,FALSE)</f>
        <v>0.75252699999999995</v>
      </c>
      <c r="E143" s="116">
        <f t="shared" si="30"/>
        <v>0.35872300000000001</v>
      </c>
      <c r="F143" s="116">
        <f t="shared" si="30"/>
        <v>0.69978200000000002</v>
      </c>
      <c r="G143" s="116">
        <f t="shared" si="30"/>
        <v>0.79178499999999996</v>
      </c>
      <c r="H143" s="116">
        <f t="shared" si="30"/>
        <v>0.72202100000000002</v>
      </c>
      <c r="I143" s="116">
        <f t="shared" si="30"/>
        <v>0.72256799999999999</v>
      </c>
      <c r="J143" s="116">
        <f t="shared" si="30"/>
        <v>0.72395900000000002</v>
      </c>
      <c r="K143" s="116">
        <f t="shared" si="30"/>
        <v>0.73402900000000004</v>
      </c>
      <c r="L143" s="116">
        <f t="shared" si="30"/>
        <v>0.56980699999999995</v>
      </c>
      <c r="M143" s="116">
        <f t="shared" si="30"/>
        <v>0.40013300000000002</v>
      </c>
      <c r="N143" s="116">
        <f t="shared" si="30"/>
        <v>0.75599700000000003</v>
      </c>
      <c r="O143" s="134">
        <f t="shared" si="30"/>
        <v>0</v>
      </c>
    </row>
    <row r="144" spans="1:15">
      <c r="A144" s="210"/>
      <c r="B144" s="127" t="s">
        <v>1</v>
      </c>
      <c r="C144" s="128">
        <f>HLOOKUP(C$117,$86:$115,26,FALSE)</f>
        <v>652.33676600000001</v>
      </c>
      <c r="D144" s="128">
        <f t="shared" ref="D144:O144" si="31">HLOOKUP(D$117,$86:$115,26,FALSE)</f>
        <v>665.587715</v>
      </c>
      <c r="E144" s="128">
        <f t="shared" si="31"/>
        <v>647.96105899999998</v>
      </c>
      <c r="F144" s="128">
        <f t="shared" si="31"/>
        <v>576.01197200000001</v>
      </c>
      <c r="G144" s="128">
        <f t="shared" si="31"/>
        <v>640.34640200000001</v>
      </c>
      <c r="H144" s="128">
        <f t="shared" si="31"/>
        <v>615.06619000000001</v>
      </c>
      <c r="I144" s="128">
        <f t="shared" si="31"/>
        <v>636.08087</v>
      </c>
      <c r="J144" s="128">
        <f t="shared" si="31"/>
        <v>635.56558099999995</v>
      </c>
      <c r="K144" s="128">
        <f t="shared" si="31"/>
        <v>698.27130599999998</v>
      </c>
      <c r="L144" s="128">
        <f t="shared" si="31"/>
        <v>725.92166599999996</v>
      </c>
      <c r="M144" s="128">
        <f t="shared" si="31"/>
        <v>722.67840999999999</v>
      </c>
      <c r="N144" s="128">
        <f t="shared" si="31"/>
        <v>734.01330199999995</v>
      </c>
      <c r="O144" s="136">
        <f t="shared" si="31"/>
        <v>711.72957299999996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287.12516499999998</v>
      </c>
      <c r="D146" s="141">
        <f t="shared" ref="D146:O146" si="32">SUM(D136:D138)</f>
        <v>272.274542</v>
      </c>
      <c r="E146" s="141">
        <f t="shared" si="32"/>
        <v>267.49094000000002</v>
      </c>
      <c r="F146" s="141">
        <f t="shared" si="32"/>
        <v>227.675399</v>
      </c>
      <c r="G146" s="141">
        <f t="shared" si="32"/>
        <v>244.02209900000003</v>
      </c>
      <c r="H146" s="141">
        <f t="shared" si="32"/>
        <v>226.89470900000001</v>
      </c>
      <c r="I146" s="141">
        <f t="shared" si="32"/>
        <v>205.95798300000001</v>
      </c>
      <c r="J146" s="141">
        <f t="shared" si="32"/>
        <v>182.21304600000002</v>
      </c>
      <c r="K146" s="141">
        <f t="shared" si="32"/>
        <v>222.63896800000001</v>
      </c>
      <c r="L146" s="141">
        <f t="shared" si="32"/>
        <v>266.14883300000002</v>
      </c>
      <c r="M146" s="141">
        <f t="shared" si="32"/>
        <v>313.81515200000001</v>
      </c>
      <c r="N146" s="141">
        <f t="shared" si="32"/>
        <v>299.91658699999999</v>
      </c>
      <c r="O146" s="142">
        <f t="shared" si="32"/>
        <v>274.46395399999994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7" t="s">
        <v>90</v>
      </c>
      <c r="D150" s="187" t="s">
        <v>91</v>
      </c>
      <c r="E150" s="187" t="s">
        <v>92</v>
      </c>
      <c r="F150" s="187" t="s">
        <v>93</v>
      </c>
      <c r="G150" s="187" t="s">
        <v>94</v>
      </c>
      <c r="H150" s="187" t="s">
        <v>95</v>
      </c>
      <c r="I150" s="187" t="s">
        <v>96</v>
      </c>
      <c r="J150" s="187" t="s">
        <v>97</v>
      </c>
      <c r="K150" s="187" t="s">
        <v>98</v>
      </c>
      <c r="L150" s="187" t="s">
        <v>99</v>
      </c>
      <c r="M150" s="187" t="s">
        <v>100</v>
      </c>
      <c r="N150" s="187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128</v>
      </c>
      <c r="B152" s="176" t="s">
        <v>129</v>
      </c>
      <c r="C152" s="183">
        <v>0.11978999999999999</v>
      </c>
      <c r="D152" s="183">
        <v>-4.6800000000000001E-3</v>
      </c>
      <c r="E152" s="183">
        <v>5.1560000000000002E-2</v>
      </c>
      <c r="F152" s="183">
        <v>7.2910000000000003E-2</v>
      </c>
      <c r="G152" s="183">
        <v>0.13005</v>
      </c>
      <c r="H152" s="183">
        <v>-3.62E-3</v>
      </c>
      <c r="I152" s="183">
        <v>1.5089999999999999E-2</v>
      </c>
      <c r="J152" s="183">
        <v>0.11858</v>
      </c>
      <c r="K152" s="183">
        <v>0.122</v>
      </c>
      <c r="L152" s="183">
        <v>-4.5399999999999998E-3</v>
      </c>
      <c r="M152" s="183">
        <v>1.472E-2</v>
      </c>
      <c r="N152" s="183">
        <v>0.11182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7" t="s">
        <v>90</v>
      </c>
      <c r="D156" s="187" t="s">
        <v>91</v>
      </c>
      <c r="E156" s="187" t="s">
        <v>92</v>
      </c>
      <c r="F156" s="187" t="s">
        <v>93</v>
      </c>
      <c r="G156" s="187" t="s">
        <v>94</v>
      </c>
      <c r="H156" s="187" t="s">
        <v>95</v>
      </c>
      <c r="I156" s="187" t="s">
        <v>96</v>
      </c>
      <c r="J156" s="187" t="s">
        <v>97</v>
      </c>
      <c r="K156" s="187" t="s">
        <v>98</v>
      </c>
      <c r="L156" s="187" t="s">
        <v>99</v>
      </c>
      <c r="M156" s="187" t="s">
        <v>100</v>
      </c>
      <c r="N156" s="187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128</v>
      </c>
      <c r="B158" s="176" t="s">
        <v>129</v>
      </c>
      <c r="C158" s="183">
        <v>9.1050000000000006E-2</v>
      </c>
      <c r="D158" s="183">
        <v>-1.06E-3</v>
      </c>
      <c r="E158" s="183">
        <v>-1.5299999999999999E-3</v>
      </c>
      <c r="F158" s="183">
        <v>9.3640000000000001E-2</v>
      </c>
      <c r="G158" s="183">
        <v>8.5900000000000004E-3</v>
      </c>
      <c r="H158" s="183">
        <v>-1.01E-3</v>
      </c>
      <c r="I158" s="183">
        <v>-1.1299999999999999E-3</v>
      </c>
      <c r="J158" s="183">
        <v>1.073E-2</v>
      </c>
      <c r="K158" s="183">
        <v>-2.4099999999999998E-3</v>
      </c>
      <c r="L158" s="183">
        <v>-9.6000000000000002E-4</v>
      </c>
      <c r="M158" s="183">
        <v>-9.5E-4</v>
      </c>
      <c r="N158" s="183">
        <v>-5.0000000000000001E-4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Z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Noviembre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408.09864699999997</v>
      </c>
      <c r="G9" s="164">
        <f>Dat_01!T24*100</f>
        <v>11.97924269</v>
      </c>
      <c r="H9" s="83">
        <f>Dat_01!U24/1000</f>
        <v>5090.6004249999996</v>
      </c>
      <c r="I9" s="164">
        <f>Dat_01!W24*100</f>
        <v>13.00536763</v>
      </c>
      <c r="J9" s="83">
        <f>Dat_01!X24/1000</f>
        <v>5527.5830199999991</v>
      </c>
      <c r="K9" s="164">
        <f>Dat_01!Y24*100</f>
        <v>12.19977563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-0.46800000000000003</v>
      </c>
      <c r="H12" s="103"/>
      <c r="I12" s="103">
        <f>Dat_01!H152*100</f>
        <v>-0.36199999999999999</v>
      </c>
      <c r="J12" s="103"/>
      <c r="K12" s="103">
        <f>Dat_01!L152*100</f>
        <v>-0.45399999999999996</v>
      </c>
    </row>
    <row r="13" spans="3:12">
      <c r="E13" s="85" t="s">
        <v>42</v>
      </c>
      <c r="F13" s="84"/>
      <c r="G13" s="103">
        <f>Dat_01!E152*100</f>
        <v>5.1560000000000006</v>
      </c>
      <c r="H13" s="103"/>
      <c r="I13" s="103">
        <f>Dat_01!I152*100</f>
        <v>1.5089999999999999</v>
      </c>
      <c r="J13" s="103"/>
      <c r="K13" s="103">
        <f>Dat_01!M152*100</f>
        <v>1.472</v>
      </c>
    </row>
    <row r="14" spans="3:12">
      <c r="E14" s="86" t="s">
        <v>43</v>
      </c>
      <c r="F14" s="87"/>
      <c r="G14" s="104">
        <f>Dat_01!F152*100</f>
        <v>7.2910000000000004</v>
      </c>
      <c r="H14" s="104"/>
      <c r="I14" s="104">
        <f>Dat_01!J152*100</f>
        <v>11.858000000000001</v>
      </c>
      <c r="J14" s="104"/>
      <c r="K14" s="104">
        <f>Dat_01!N152*100</f>
        <v>11.182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F9" sqref="F9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Noviembre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Noviembre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711.72957299999996</v>
      </c>
      <c r="G9" s="164">
        <f>Dat_01!AB24*100</f>
        <v>9.1046235800000002</v>
      </c>
      <c r="H9" s="83">
        <f>Dat_01!AC24/1000</f>
        <v>7343.6463309999999</v>
      </c>
      <c r="I9" s="164">
        <f>Dat_01!AE24*100</f>
        <v>0.85929052000000006</v>
      </c>
      <c r="J9" s="83">
        <f>Dat_01!AF24/1000</f>
        <v>8009.2340460000005</v>
      </c>
      <c r="K9" s="164">
        <f>Dat_01!AG24*100</f>
        <v>-0.24119983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-0.106</v>
      </c>
      <c r="H12" s="103"/>
      <c r="I12" s="103">
        <f>Dat_01!H158*100</f>
        <v>-0.10100000000000001</v>
      </c>
      <c r="J12" s="103"/>
      <c r="K12" s="103">
        <f>Dat_01!L158*100</f>
        <v>-9.6000000000000002E-2</v>
      </c>
    </row>
    <row r="13" spans="3:12">
      <c r="E13" s="85" t="s">
        <v>42</v>
      </c>
      <c r="F13" s="84"/>
      <c r="G13" s="103">
        <f>Dat_01!E158*100</f>
        <v>-0.153</v>
      </c>
      <c r="H13" s="103"/>
      <c r="I13" s="103">
        <f>Dat_01!I158*100</f>
        <v>-0.11299999999999999</v>
      </c>
      <c r="J13" s="103"/>
      <c r="K13" s="103">
        <f>Dat_01!M158*100</f>
        <v>-9.5000000000000001E-2</v>
      </c>
    </row>
    <row r="14" spans="3:12">
      <c r="E14" s="86" t="s">
        <v>43</v>
      </c>
      <c r="F14" s="87"/>
      <c r="G14" s="104">
        <f>Dat_01!F158*100</f>
        <v>9.3640000000000008</v>
      </c>
      <c r="H14" s="104"/>
      <c r="I14" s="104">
        <f>Dat_01!J158*100</f>
        <v>1.073</v>
      </c>
      <c r="J14" s="104"/>
      <c r="K14" s="104">
        <f>Dat_01!N158*100</f>
        <v>-0.05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135</v>
      </c>
    </row>
    <row r="2" spans="1:2">
      <c r="A2" t="s">
        <v>130</v>
      </c>
    </row>
    <row r="3" spans="1:2">
      <c r="A3" t="s">
        <v>131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14" sqref="L14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Noviembre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</v>
      </c>
      <c r="I9" s="17" t="str">
        <f>IF(Dat_01!AB8*100=-100,"-",Dat_01!AB8*100)</f>
        <v>-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1.1802680000000001</v>
      </c>
      <c r="I10" s="17">
        <f>Dat_01!AB15*100</f>
        <v>43.619684079999999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0.36637999999999998</v>
      </c>
      <c r="G11" s="17">
        <f>Dat_01!T16*100</f>
        <v>5.02688881</v>
      </c>
      <c r="H11" s="153">
        <f>Dat_01!Z16/1000</f>
        <v>92.971392000000009</v>
      </c>
      <c r="I11" s="17">
        <f>Dat_01!AB16*100</f>
        <v>69.305501460000002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8.3171020000000002</v>
      </c>
      <c r="G12" s="17">
        <f>Dat_01!T17*100</f>
        <v>23.024535230000001</v>
      </c>
      <c r="H12" s="153">
        <f>Dat_01!Z17/1000</f>
        <v>15.222483</v>
      </c>
      <c r="I12" s="17">
        <f>Dat_01!AB17*100</f>
        <v>-6.1932490900000001</v>
      </c>
      <c r="J12" s="153" t="s">
        <v>3</v>
      </c>
      <c r="K12" s="17" t="s">
        <v>3</v>
      </c>
      <c r="L12" s="17">
        <f>Dat_01!J17/1000</f>
        <v>1.7470000000000001E-3</v>
      </c>
      <c r="M12" s="17">
        <f>IF(Dat_01!L17*100=-100,"-",Dat_01!L17*100)</f>
        <v>-63.042098580000008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0.25196999999999997</v>
      </c>
      <c r="G13" s="17">
        <f>Dat_01!T18*100</f>
        <v>264.40285771999999</v>
      </c>
      <c r="H13" s="153">
        <f>Dat_01!Z18/1000</f>
        <v>0</v>
      </c>
      <c r="I13" s="17" t="str">
        <f>IF(Dat_01!AB18*100=-100,"-",Dat_01!AB18)</f>
        <v>-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14.17625</v>
      </c>
      <c r="G14" s="17">
        <f>Dat_01!T21*100</f>
        <v>10.641095929999999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0.35404399999999997</v>
      </c>
      <c r="M14" s="17">
        <f>Dat_01!L21*100</f>
        <v>-31.807999819999999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23.111702000000001</v>
      </c>
      <c r="G15" s="173">
        <f>((SUM(Dat_01!R8,Dat_01!R15:R18,Dat_01!R20)/SUM(Dat_01!S8,Dat_01!S15:S18,Dat_01!S20))-1)*100</f>
        <v>15.60858007603092</v>
      </c>
      <c r="H15" s="172">
        <f>SUM(H9:H14)</f>
        <v>109.374143</v>
      </c>
      <c r="I15" s="173">
        <f>((SUM(Dat_01!Z8,Dat_01!Z15:Z18,Dat_01!Z20)/SUM(Dat_01!AA8,Dat_01!AA15:AA18,Dat_01!AA20))-1)*100</f>
        <v>49.845937988326043</v>
      </c>
      <c r="J15" s="172" t="s">
        <v>3</v>
      </c>
      <c r="K15" s="173" t="s">
        <v>3</v>
      </c>
      <c r="L15" s="173">
        <f>SUM(L9:L14)</f>
        <v>0.35579099999999997</v>
      </c>
      <c r="M15" s="173">
        <f>((SUM(Dat_01!J8,Dat_01!J15:J18,Dat_01!J21)/SUM(Dat_01!K8,Dat_01!K15:K18,Dat_01!K20))-1)*100</f>
        <v>-32.089808632714536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0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18.157844000000001</v>
      </c>
      <c r="G17" s="24">
        <f>((SUM(Dat_01!R10,Dat_01!R14)/SUM(Dat_01!S10,Dat_01!S14))-1)*100</f>
        <v>-2.4204692853723841</v>
      </c>
      <c r="H17" s="154">
        <f>Dat_01!Z10/1000</f>
        <v>155.61694500000002</v>
      </c>
      <c r="I17" s="24">
        <f>Dat_01!AB10*100</f>
        <v>5.5486893099999994</v>
      </c>
      <c r="J17" s="154">
        <f>Dat_01!B10/1000</f>
        <v>16.461435000000002</v>
      </c>
      <c r="K17" s="24">
        <f>Dat_01!D10*100</f>
        <v>4.2925702799999996</v>
      </c>
      <c r="L17" s="154">
        <f>Dat_01!J10/1000</f>
        <v>15.595225000000001</v>
      </c>
      <c r="M17" s="24">
        <f>Dat_01!L10*100</f>
        <v>6.9158509300000004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12.806367</v>
      </c>
      <c r="G18" s="24">
        <f>Dat_01!T11*100</f>
        <v>22.258295950000001</v>
      </c>
      <c r="H18" s="154">
        <f>Dat_01!Z11/1000</f>
        <v>11.134697000000001</v>
      </c>
      <c r="I18" s="24">
        <f>Dat_01!AB11*100</f>
        <v>-38.39356248</v>
      </c>
      <c r="J18" s="154">
        <f>Dat_01!B11/1000</f>
        <v>6.9999999999999999E-4</v>
      </c>
      <c r="K18" s="24">
        <f>IF(Dat_01!D11=-100%,"-",Dat_01!D11*100)</f>
        <v>-92.033686130000007</v>
      </c>
      <c r="L18" s="154">
        <f>Dat_01!J11/1000</f>
        <v>6.8300000000000001E-4</v>
      </c>
      <c r="M18" s="24">
        <f>IF(Dat_01!L11*100=-100,"-",Dat_01!L11*100)</f>
        <v>-88.87803289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107.71231200000001</v>
      </c>
      <c r="I19" s="24">
        <f>Dat_01!AB12*100</f>
        <v>-11.43177749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30.964210999999999</v>
      </c>
      <c r="G20" s="17">
        <f>((SUM(Dat_01!R10:R12,Dat_01!R14)/SUM(Dat_01!S10:S12,Dat_01!S14))-1)*100</f>
        <v>6.4680699743933978</v>
      </c>
      <c r="H20" s="153">
        <f>SUM(H17:H19)</f>
        <v>274.463954</v>
      </c>
      <c r="I20" s="17">
        <f>(H20/(H17/(I17/100+1)+H18/(I18/100+1)+H19/(I19/100+1))-1)*100</f>
        <v>-4.4096486607353107</v>
      </c>
      <c r="J20" s="153">
        <f>SUM(J17:J19)</f>
        <v>16.462135</v>
      </c>
      <c r="K20" s="17">
        <f>((SUM(Dat_01!B10:B12)/SUM(Dat_01!C10:C12))-1)*100</f>
        <v>4.2389746596003697</v>
      </c>
      <c r="L20" s="153">
        <f>SUM(L17:L19)</f>
        <v>15.595908000000001</v>
      </c>
      <c r="M20" s="17">
        <f>((SUM(Dat_01!J10:J12)/SUM(Dat_01!K10:K12))-1)*100</f>
        <v>6.8755379871248357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310.05345400000004</v>
      </c>
      <c r="G21" s="17">
        <f>Dat_01!T13*100</f>
        <v>67.582651909999996</v>
      </c>
      <c r="H21" s="153">
        <f>Dat_01!Z13/1000</f>
        <v>327.89147600000001</v>
      </c>
      <c r="I21" s="17">
        <f>Dat_01!AB13*100</f>
        <v>12.20685522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1.5492300000000001</v>
      </c>
      <c r="G22" s="17">
        <f>Dat_01!T19*100</f>
        <v>-38.55631554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14.17625</v>
      </c>
      <c r="G23" s="17">
        <f>Dat_01!T20*100</f>
        <v>10.641095929999999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0.35404399999999997</v>
      </c>
      <c r="M23" s="17">
        <f>Dat_01!L20*100</f>
        <v>-31.807999819999999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356.74314500000003</v>
      </c>
      <c r="G24" s="173">
        <f>((SUM(Dat_01!R9:R14,Dat_01!R19,Dat_01!R21)/SUM(Dat_01!S9:S14,Dat_01!S19,Dat_01!S21))-1)*100</f>
        <v>43.777094140214956</v>
      </c>
      <c r="H24" s="155">
        <f>SUM(H16,H20:H23)</f>
        <v>602.35543000000007</v>
      </c>
      <c r="I24" s="173">
        <f>((SUM(Dat_01!Z9:Z14,Dat_01!Z19,Dat_01!Z21)/SUM(Dat_01!AA9:AA14,Dat_01!AA19,Dat_01!AA21))-1)*100</f>
        <v>3.9716747497823501</v>
      </c>
      <c r="J24" s="155">
        <f>SUM(J16,J20:J23)</f>
        <v>16.462135</v>
      </c>
      <c r="K24" s="173">
        <f>((SUM(Dat_01!B9:B14,Dat_01!B19,Dat_01!B21)/SUM(Dat_01!C9:C14,Dat_01!C19,Dat_01!C21))-1)*100</f>
        <v>4.2389746596003697</v>
      </c>
      <c r="L24" s="155">
        <f>SUM(L16,L20:L23)</f>
        <v>15.949952000000001</v>
      </c>
      <c r="M24" s="173">
        <f>((SUM(Dat_01!J9:J14,Dat_01!J19,Dat_01!J21)/SUM(Dat_01!K9:K14,Dat_01!K19,Dat_01!K21))-1)*100</f>
        <v>5.5465088947851182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28.2438</v>
      </c>
      <c r="G25" s="14">
        <f>Dat_01!T23*100</f>
        <v>-70.679437219999997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408.09864699999997</v>
      </c>
      <c r="G26" s="11">
        <f>Dat_01!T24*100</f>
        <v>11.97924269</v>
      </c>
      <c r="H26" s="157">
        <f>Dat_01!Z24/1000</f>
        <v>711.72957299999996</v>
      </c>
      <c r="I26" s="11">
        <f>Dat_01!AB24*100</f>
        <v>9.1046235800000002</v>
      </c>
      <c r="J26" s="157">
        <f>Dat_01!B24/1000</f>
        <v>16.462135</v>
      </c>
      <c r="K26" s="11">
        <f>Dat_01!D24*100</f>
        <v>4.2389746600000002</v>
      </c>
      <c r="L26" s="157">
        <f>Dat_01!J24/1000</f>
        <v>16.305743</v>
      </c>
      <c r="M26" s="11">
        <f>Dat_01!L24*100</f>
        <v>4.2854073000000001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108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1" sqref="I21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N15" sqref="N15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Noviembre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topLeftCell="E1" zoomScaleNormal="100" workbookViewId="0">
      <selection activeCell="J20" sqref="J20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Noviembre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2021-12-13T13:36:09Z</dcterms:modified>
</cp:coreProperties>
</file>