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Y\INF_ELABORADA\"/>
    </mc:Choice>
  </mc:AlternateContent>
  <xr:revisionPtr revIDLastSave="0" documentId="8_{AB36ACEA-1F5B-4722-8B20-3284A3C5EA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Dat_01!$A$85:$T$112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68" i="18" l="1"/>
  <c r="K18" i="22" l="1"/>
  <c r="K20" i="22"/>
  <c r="M12" i="22" l="1"/>
  <c r="I13" i="22"/>
  <c r="I9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<sst xmlns="http://schemas.openxmlformats.org/spreadsheetml/2006/main" count="425" uniqueCount="131">
  <si>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</si>
  <si>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</si>
  <si>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</si>
  <si>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</si>
  <si>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</si>
  <si>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</si>
  <si>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</si>
  <si>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</si>
  <si>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</si>
  <si>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</si>
  <si>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</si>
  <si>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</si>
  <si>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</si>
  <si>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</si>
  <si>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</si>
  <si>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</si>
  <si>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</si>
  <si>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</si>
  <si>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</si>
  <si>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</si>
  <si>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</si>
  <si>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</si>
  <si>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</si>
  <si>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</si>
  <si>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</si>
  <si>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</si>
  <si>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</si>
  <si>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</si>
  <si>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</si>
  <si>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</si>
  <si>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</si>
  <si>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</si>
  <si>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</si>
  <si>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</si>
  <si>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</si>
  <si>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</si>
  <si>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</si>
  <si>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</si>
  <si>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</si>
  <si>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</si>
  <si>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</si>
  <si>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</si>
  <si>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</si>
  <si>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</si>
  <si>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</si>
  <si>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</si>
  <si>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</si>
  <si>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</si>
  <si>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</si>
  <si>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</si>
  <si>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</si>
  <si>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</si>
  <si>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</si>
  <si>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</si>
  <si>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</si>
  <si>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</si>
  <si>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</si>
  <si>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</si>
  <si>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</si>
  <si>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</si>
  <si>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</si>
  <si>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</si>
  <si>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</si>
  <si>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</si>
  <si>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</si>
  <si>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</si>
  <si>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</si>
  <si>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</si>
  <si>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</si>
  <si>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</si>
  <si>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</si>
  <si>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</si>
  <si>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</si>
  <si>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</si>
  <si>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</si>
  <si>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</si>
  <si>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</si>
  <si>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</si>
  <si>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</si>
  <si>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</si>
  <si>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</si>
  <si>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</si>
  <si>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</si>
  <si>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</si>
  <si>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</si>
  <si>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</si>
  <si>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</si>
  <si>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</si>
  <si>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</si>
  <si>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</si>
  <si>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</si>
  <si>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</si>
  <si>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</si>
  <si>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</si>
  <si>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</si>
  <si>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</si>
  <si>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</si>
  <si>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</si>
  <si>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</si>
  <si>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</si>
  <si>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</si>
  <si>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</si>
  <si>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</si>
  <si>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</si>
  <si>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</si>
  <si>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</si>
  <si>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</si>
  <si>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</si>
  <si>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</si>
  <si>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</si>
  <si>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</si>
  <si>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</si>
  <si>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</si>
  <si>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</si>
  <si>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</si>
  <si>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</si>
  <si>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</si>
  <si>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</si>
  <si>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</si>
  <si>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</si>
  <si>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</si>
  <si>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</si>
  <si>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</si>
  <si>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31/05/2021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</si>
  <si>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ut="06/09/2021 07:41:15"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msgID="0E30364811EBC8F699DF0080EFB57A99"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</si>
  <si>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07:49:01"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msgID="1876979611EBC8F699DF0080EF75FC9D"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nrr="833" nrc="1568"&gt;&lt;pg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</si>
  <si>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Junio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</si>
  <si>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09:48:08"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msgID="1F11D55011EBC90799DF0080EFA55A99"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cols="20" /&gt;&lt;esdo ews="" ece="" ptn="" /&gt;&lt;/excel&gt;&lt;pgs&gt;&lt;pg rows="25" cols="18" nrr="1177" nrc="917"&gt;&lt;pg /&gt;&lt;bls&gt;&lt;bl sr="1" sc="1" rfetch="25" cfetch="18" posid="1" darows="0" dacols="1"&gt;&lt;excel&gt;&lt;epo ews="Dat_01" ece="A85" enr="MSTR.Serie_Balance_B.C._Mensual_Baleares_y_Canarias" ptn="" qtn="" rows="28" cols="20" /&gt;&lt;esdo ews="" ece="" ptn="" /&gt;&lt;/excel&gt;&lt;gridRng&gt;&lt;sect id="TITLE_AREA" rngprop="1:1:3:2" /&gt;&lt;sect id="ROWHEADERS_AREA" rngprop="4:1:25:2" /&gt;&lt;sect id="COLUMNHEADERS_AREA" rngprop="1:3:3:18" /&gt;&lt;sect id="DATA_AREA" rngprop="4:3:25:18"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</si>
  <si>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ut="06/09/2021 09:52:00" si="2.000000010eacc3dccf9a93f1ce4fd7c6c93e82241a9382ad90837ba84bf778023b712524875717e2d3398a926182b3f19f37cf83810db6b139752758972dd2a6cd32f8b3f9a0482cec29a7e335b9ac1ae9fe16788696d3e4adbbd9de55a64372564973494ea42a36bf4f72cb9689ecdb6a0da68535c9703dacff5739059b0466161a5e4fd5d42a66117829591423a87b807d7595ef96d66a0e36fc4796c82ce29d2f.p.3082.0.1.Europe/Madrid.upriv*_1*_pidn2*_20*_session*-lat*_1.0000000198fbf5886d2bae3f9aaa2b02bd2f9e9cbc6025e0ebf3e9a1d36e239167ff8f76a355b993f111bf9c259e671743fb9d8bfc6244a8.00000001471189bd14fd542a62f69e915e4fa2fdbc6025e03215db025bb8409c9c0703b4b28f9545bfd852ef7ca65e6adccc2cae6a72ad1e.0.1.1.BDEbi.D066E1C611E6257C10D00080EF253B44.0-3082.1.1_-0.1.0_-3082.1.1_5.5.0.*0.000000019cebfffcffbcd48ee6d8fb5a95d295a2c911585a317731bf0b5d46b8c2c1221d0ec69475.0.23.11*.2*.0400*.31152J.e.000000019318af6908f7d0a9e2c83c656f5b1569c911585ad8f8ece5fb0acfccb9f48bdf2476e626.0.10*.131*.122*.122.0.0" msgID="4ECC162E11EBC90899DF0080EF153B9A"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nrr="29" nrc="360"&gt;&lt;pg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</si>
  <si>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282c542a772042b48a25ae3e3c73a56d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</si>
  <si>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ut="06/09/2021 09:52:26" si="2.000000010eacc3dccf9a93f1ce4fd7c6c93e82241a9382ad90837ba84bf778023b712524875717e2d3398a926182b3f19f37cf83810db6b139752758972dd2a6cd32f8b3f9a0482cec29a7e335b9ac1ae9fe16788696d3e4adbbd9de55a64372564973494ea42a36bf4f72cb9689ecdb6a0da68535c9703dacff5739059b0466161a5e4fd5d42a66117829591423a87b807d7595ef96d66a0e36fc4796c82ce29d2f.p.3082.0.1.Europe/Madrid.upriv*_1*_pidn2*_20*_session*-lat*_1.0000000198fbf5886d2bae3f9aaa2b02bd2f9e9cbc6025e0ebf3e9a1d36e239167ff8f76a355b993f111bf9c259e671743fb9d8bfc6244a8.00000001471189bd14fd542a62f69e915e4fa2fdbc6025e03215db025bb8409c9c0703b4b28f9545bfd852ef7ca65e6adccc2cae6a72ad1e.0.1.1.BDEbi.D066E1C611E6257C10D00080EF253B44.0-3082.1.1_-0.1.0_-3082.1.1_5.5.0.*0.000000019cebfffcffbcd48ee6d8fb5a95d295a2c911585a317731bf0b5d46b8c2c1221d0ec69475.0.23.11*.2*.0400*.31152J.e.000000019318af6908f7d0a9e2c83c656f5b1569c911585ad8f8ece5fb0acfccb9f48bdf2476e626.0.10*.131*.122*.122.0.0" msgID="5F2B853611EBC90899DF0080EF851B9B"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nrr="49" nrc="312"&gt;&lt;pg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</si>
</sst>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rgb="FFF5F5F5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284552845528454"/>
                  <c:y val="-0.11353134167052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66"/>
                  <c:y val="-3.0065423807318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25"/>
                  <c:y val="-0.157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9.7560975609756392E-3"/>
                  <c:y val="0.3774509803921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3185289033992703"/>
                  <c:y val="0.30441176470588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21138211382114"/>
                  <c:y val="0.1759325304925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3.379612474911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837398373983739"/>
                  <c:y val="-0.21445229272811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5.2722538357515729</c:v>
                </c:pt>
                <c:pt idx="2">
                  <c:v>2.0194577138063678</c:v>
                </c:pt>
                <c:pt idx="3">
                  <c:v>53.420446473935634</c:v>
                </c:pt>
                <c:pt idx="4">
                  <c:v>0.30854284510808133</c:v>
                </c:pt>
                <c:pt idx="5">
                  <c:v>0.67402634470147016</c:v>
                </c:pt>
                <c:pt idx="6">
                  <c:v>1.5788373874398027</c:v>
                </c:pt>
                <c:pt idx="7">
                  <c:v>1.5788373874398027</c:v>
                </c:pt>
                <c:pt idx="8">
                  <c:v>4.9683206456861542E-2</c:v>
                </c:pt>
                <c:pt idx="9">
                  <c:v>5.8153847964392522</c:v>
                </c:pt>
                <c:pt idx="10">
                  <c:v>3.1071596445525332E-2</c:v>
                </c:pt>
                <c:pt idx="11">
                  <c:v>29.251458412475646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11.864476599389549</c:v>
                </c:pt>
                <c:pt idx="1">
                  <c:v>6.8569984989838444</c:v>
                </c:pt>
                <c:pt idx="2">
                  <c:v>29.666110435704134</c:v>
                </c:pt>
                <c:pt idx="3">
                  <c:v>40.477934467817825</c:v>
                </c:pt>
                <c:pt idx="4">
                  <c:v>0</c:v>
                </c:pt>
                <c:pt idx="5">
                  <c:v>0.56680913704297586</c:v>
                </c:pt>
                <c:pt idx="6">
                  <c:v>1.8396825241176167</c:v>
                </c:pt>
                <c:pt idx="7">
                  <c:v>1.8396825241176167</c:v>
                </c:pt>
                <c:pt idx="8">
                  <c:v>0.17892634175074415</c:v>
                </c:pt>
                <c:pt idx="9">
                  <c:v>6.6046061080711223</c:v>
                </c:pt>
                <c:pt idx="10">
                  <c:v>0.10477336300455946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-1.8020959999999999</c:v>
                </c:pt>
                <c:pt idx="1">
                  <c:v>-1.2808299999999999</c:v>
                </c:pt>
                <c:pt idx="2">
                  <c:v>-1.119569</c:v>
                </c:pt>
                <c:pt idx="3">
                  <c:v>-1.1268309999999999</c:v>
                </c:pt>
                <c:pt idx="4">
                  <c:v>68.615076999999999</c:v>
                </c:pt>
                <c:pt idx="5">
                  <c:v>69.531803999999994</c:v>
                </c:pt>
                <c:pt idx="6">
                  <c:v>18.689830000000001</c:v>
                </c:pt>
                <c:pt idx="7">
                  <c:v>78.075038000000006</c:v>
                </c:pt>
                <c:pt idx="8">
                  <c:v>-0.63269200000000003</c:v>
                </c:pt>
                <c:pt idx="9">
                  <c:v>-0.606159</c:v>
                </c:pt>
                <c:pt idx="10">
                  <c:v>-0.651559</c:v>
                </c:pt>
                <c:pt idx="11">
                  <c:v>-0.59136100000000003</c:v>
                </c:pt>
                <c:pt idx="12">
                  <c:v>-1.103416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29.693214999999999</c:v>
                </c:pt>
                <c:pt idx="1">
                  <c:v>33.872518999999997</c:v>
                </c:pt>
                <c:pt idx="2">
                  <c:v>66.275554999999997</c:v>
                </c:pt>
                <c:pt idx="3">
                  <c:v>87.959547999999984</c:v>
                </c:pt>
                <c:pt idx="4">
                  <c:v>41.727269</c:v>
                </c:pt>
                <c:pt idx="5">
                  <c:v>26.56035</c:v>
                </c:pt>
                <c:pt idx="6">
                  <c:v>29.083095999999998</c:v>
                </c:pt>
                <c:pt idx="7">
                  <c:v>33.649616000000002</c:v>
                </c:pt>
                <c:pt idx="8">
                  <c:v>45.739437000000002</c:v>
                </c:pt>
                <c:pt idx="9">
                  <c:v>26.606086999999999</c:v>
                </c:pt>
                <c:pt idx="10">
                  <c:v>27.369999999999997</c:v>
                </c:pt>
                <c:pt idx="11">
                  <c:v>26.434747999999999</c:v>
                </c:pt>
                <c:pt idx="12">
                  <c:v>28.996893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192.66073600000001</c:v>
                </c:pt>
                <c:pt idx="1">
                  <c:v>191.22599500000001</c:v>
                </c:pt>
                <c:pt idx="2">
                  <c:v>258.52646600000003</c:v>
                </c:pt>
                <c:pt idx="3">
                  <c:v>260.88770599999998</c:v>
                </c:pt>
                <c:pt idx="4">
                  <c:v>135.30891800000001</c:v>
                </c:pt>
                <c:pt idx="5">
                  <c:v>141.13588200000001</c:v>
                </c:pt>
                <c:pt idx="6">
                  <c:v>185.01504499999999</c:v>
                </c:pt>
                <c:pt idx="7">
                  <c:v>159.35356899999999</c:v>
                </c:pt>
                <c:pt idx="8">
                  <c:v>260.27204499999999</c:v>
                </c:pt>
                <c:pt idx="9">
                  <c:v>187.465463</c:v>
                </c:pt>
                <c:pt idx="10">
                  <c:v>217.47864799999999</c:v>
                </c:pt>
                <c:pt idx="11">
                  <c:v>208.53059300000001</c:v>
                </c:pt>
                <c:pt idx="12">
                  <c:v>203.81251599999999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0.35256199999999999</c:v>
                </c:pt>
                <c:pt idx="1">
                  <c:v>0.22043199999999999</c:v>
                </c:pt>
                <c:pt idx="2">
                  <c:v>0.22134999999999999</c:v>
                </c:pt>
                <c:pt idx="3">
                  <c:v>0.20865500000000001</c:v>
                </c:pt>
                <c:pt idx="4">
                  <c:v>0.189775</c:v>
                </c:pt>
                <c:pt idx="5">
                  <c:v>0.32789299999999999</c:v>
                </c:pt>
                <c:pt idx="6">
                  <c:v>0.34884399999999999</c:v>
                </c:pt>
                <c:pt idx="7">
                  <c:v>0.28645399999999999</c:v>
                </c:pt>
                <c:pt idx="8">
                  <c:v>0.27796300000000002</c:v>
                </c:pt>
                <c:pt idx="9">
                  <c:v>0.15948300000000001</c:v>
                </c:pt>
                <c:pt idx="10">
                  <c:v>0.30611500000000003</c:v>
                </c:pt>
                <c:pt idx="11">
                  <c:v>0.29466900000000001</c:v>
                </c:pt>
                <c:pt idx="12">
                  <c:v>0.189554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12.909148999999999</c:v>
                </c:pt>
                <c:pt idx="1">
                  <c:v>12.23429</c:v>
                </c:pt>
                <c:pt idx="2">
                  <c:v>12.749435999999999</c:v>
                </c:pt>
                <c:pt idx="3">
                  <c:v>12.079094</c:v>
                </c:pt>
                <c:pt idx="4">
                  <c:v>10.538423999999999</c:v>
                </c:pt>
                <c:pt idx="5">
                  <c:v>9.627974</c:v>
                </c:pt>
                <c:pt idx="6">
                  <c:v>6.7521509999999996</c:v>
                </c:pt>
                <c:pt idx="7">
                  <c:v>6.7092029999999996</c:v>
                </c:pt>
                <c:pt idx="8">
                  <c:v>8.3992629999999995</c:v>
                </c:pt>
                <c:pt idx="9">
                  <c:v>9.5055530000000008</c:v>
                </c:pt>
                <c:pt idx="10">
                  <c:v>13.089174</c:v>
                </c:pt>
                <c:pt idx="11">
                  <c:v>14.703541</c:v>
                </c:pt>
                <c:pt idx="12">
                  <c:v>22.187163999999999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2.3830000000000001E-3</c:v>
                </c:pt>
                <c:pt idx="1">
                  <c:v>5.9750999999999999E-2</c:v>
                </c:pt>
                <c:pt idx="2">
                  <c:v>5.2531000000000001E-2</c:v>
                </c:pt>
                <c:pt idx="3">
                  <c:v>5.0303E-2</c:v>
                </c:pt>
                <c:pt idx="4">
                  <c:v>2.81E-3</c:v>
                </c:pt>
                <c:pt idx="5">
                  <c:v>2.7317000000000001E-2</c:v>
                </c:pt>
                <c:pt idx="6">
                  <c:v>6.9145999999999999E-2</c:v>
                </c:pt>
                <c:pt idx="7">
                  <c:v>3.986E-2</c:v>
                </c:pt>
                <c:pt idx="8">
                  <c:v>5.7757000000000003E-2</c:v>
                </c:pt>
                <c:pt idx="9">
                  <c:v>7.6887999999999998E-2</c:v>
                </c:pt>
                <c:pt idx="10">
                  <c:v>0.13778699999999999</c:v>
                </c:pt>
                <c:pt idx="11">
                  <c:v>0.10574</c:v>
                </c:pt>
                <c:pt idx="12">
                  <c:v>0.118546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2.681413</c:v>
                </c:pt>
                <c:pt idx="1">
                  <c:v>2.5969359999999999</c:v>
                </c:pt>
                <c:pt idx="2">
                  <c:v>2.3319320000000001</c:v>
                </c:pt>
                <c:pt idx="3">
                  <c:v>1.922374</c:v>
                </c:pt>
                <c:pt idx="4">
                  <c:v>2.047806</c:v>
                </c:pt>
                <c:pt idx="5">
                  <c:v>2.3333560000000002</c:v>
                </c:pt>
                <c:pt idx="6">
                  <c:v>2.521382</c:v>
                </c:pt>
                <c:pt idx="7">
                  <c:v>3.3692880000000001</c:v>
                </c:pt>
                <c:pt idx="8">
                  <c:v>4.0659429999999999</c:v>
                </c:pt>
                <c:pt idx="9">
                  <c:v>3.641699</c:v>
                </c:pt>
                <c:pt idx="10">
                  <c:v>3.9954990000000001</c:v>
                </c:pt>
                <c:pt idx="11">
                  <c:v>3.2208809999999999</c:v>
                </c:pt>
                <c:pt idx="12">
                  <c:v>2.5715810000000001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5.3655939999999998</c:v>
                </c:pt>
                <c:pt idx="1">
                  <c:v>14.316091999999999</c:v>
                </c:pt>
                <c:pt idx="2">
                  <c:v>10.772016499999999</c:v>
                </c:pt>
                <c:pt idx="3">
                  <c:v>10.810641499999999</c:v>
                </c:pt>
                <c:pt idx="4">
                  <c:v>14.376298</c:v>
                </c:pt>
                <c:pt idx="5">
                  <c:v>6.2387214999999996</c:v>
                </c:pt>
                <c:pt idx="6">
                  <c:v>12.812825</c:v>
                </c:pt>
                <c:pt idx="7">
                  <c:v>8.6052265000000006</c:v>
                </c:pt>
                <c:pt idx="8">
                  <c:v>7.1515275000000003</c:v>
                </c:pt>
                <c:pt idx="9">
                  <c:v>10.723705000000001</c:v>
                </c:pt>
                <c:pt idx="10">
                  <c:v>10.093087499999999</c:v>
                </c:pt>
                <c:pt idx="11">
                  <c:v>7.5393055000000002</c:v>
                </c:pt>
                <c:pt idx="12">
                  <c:v>6.0236640000000001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5.3655939999999998</c:v>
                </c:pt>
                <c:pt idx="1">
                  <c:v>14.316091999999999</c:v>
                </c:pt>
                <c:pt idx="2">
                  <c:v>10.772016499999999</c:v>
                </c:pt>
                <c:pt idx="3">
                  <c:v>10.810641499999999</c:v>
                </c:pt>
                <c:pt idx="4">
                  <c:v>14.376298</c:v>
                </c:pt>
                <c:pt idx="5">
                  <c:v>6.2387214999999996</c:v>
                </c:pt>
                <c:pt idx="6">
                  <c:v>12.812825</c:v>
                </c:pt>
                <c:pt idx="7">
                  <c:v>8.6052265000000006</c:v>
                </c:pt>
                <c:pt idx="8">
                  <c:v>7.1515275000000003</c:v>
                </c:pt>
                <c:pt idx="9">
                  <c:v>10.723705000000001</c:v>
                </c:pt>
                <c:pt idx="10">
                  <c:v>10.093087499999999</c:v>
                </c:pt>
                <c:pt idx="11">
                  <c:v>7.5393055000000002</c:v>
                </c:pt>
                <c:pt idx="12">
                  <c:v>6.0236640000000001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79.946523999999997</c:v>
                </c:pt>
                <c:pt idx="1">
                  <c:v>93.289579000000003</c:v>
                </c:pt>
                <c:pt idx="2">
                  <c:v>168.331695</c:v>
                </c:pt>
                <c:pt idx="3">
                  <c:v>182.71595500000001</c:v>
                </c:pt>
                <c:pt idx="4">
                  <c:v>116.274961</c:v>
                </c:pt>
                <c:pt idx="5">
                  <c:v>105.943506</c:v>
                </c:pt>
                <c:pt idx="6">
                  <c:v>96.327618999999999</c:v>
                </c:pt>
                <c:pt idx="7">
                  <c:v>138.26159999999999</c:v>
                </c:pt>
                <c:pt idx="8">
                  <c:v>138.25041200000001</c:v>
                </c:pt>
                <c:pt idx="9">
                  <c:v>113.412009</c:v>
                </c:pt>
                <c:pt idx="10">
                  <c:v>127.985573</c:v>
                </c:pt>
                <c:pt idx="11">
                  <c:v>111.02179700000001</c:v>
                </c:pt>
                <c:pt idx="12">
                  <c:v>111.601713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260162601626016"/>
                  <c:y val="-2.9411764705882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16.03724703801959</c:v>
                </c:pt>
                <c:pt idx="1">
                  <c:v>17.093901250713735</c:v>
                </c:pt>
                <c:pt idx="2">
                  <c:v>15.842919826489632</c:v>
                </c:pt>
                <c:pt idx="3">
                  <c:v>28.407224469260996</c:v>
                </c:pt>
                <c:pt idx="4">
                  <c:v>1.2539357230480359</c:v>
                </c:pt>
                <c:pt idx="5">
                  <c:v>4.9894824582016079E-2</c:v>
                </c:pt>
                <c:pt idx="6">
                  <c:v>0.37158514096606715</c:v>
                </c:pt>
                <c:pt idx="7">
                  <c:v>15.307042845370281</c:v>
                </c:pt>
                <c:pt idx="8">
                  <c:v>5.5149256765133821</c:v>
                </c:pt>
                <c:pt idx="9">
                  <c:v>0.1213232050362707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333333333333333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19.622815403214798</c:v>
                </c:pt>
                <c:pt idx="1">
                  <c:v>2.6463093838050922</c:v>
                </c:pt>
                <c:pt idx="2">
                  <c:v>9.6073401410610373</c:v>
                </c:pt>
                <c:pt idx="3">
                  <c:v>37.297735119525861</c:v>
                </c:pt>
                <c:pt idx="4">
                  <c:v>0</c:v>
                </c:pt>
                <c:pt idx="5">
                  <c:v>4.2859645799396121E-2</c:v>
                </c:pt>
                <c:pt idx="6">
                  <c:v>0.49371584038673566</c:v>
                </c:pt>
                <c:pt idx="7">
                  <c:v>25.860439684290558</c:v>
                </c:pt>
                <c:pt idx="8">
                  <c:v>4.3131636351286762</c:v>
                </c:pt>
                <c:pt idx="9">
                  <c:v>0.11562114678784709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0.28846300000000002</c:v>
                </c:pt>
                <c:pt idx="1">
                  <c:v>0.27233299999999999</c:v>
                </c:pt>
                <c:pt idx="2">
                  <c:v>0.29030099999999998</c:v>
                </c:pt>
                <c:pt idx="3">
                  <c:v>0.29413899999999998</c:v>
                </c:pt>
                <c:pt idx="4">
                  <c:v>0.29165099999999999</c:v>
                </c:pt>
                <c:pt idx="5">
                  <c:v>0.299369</c:v>
                </c:pt>
                <c:pt idx="6">
                  <c:v>0.28527599999999997</c:v>
                </c:pt>
                <c:pt idx="7">
                  <c:v>0.29958099999999999</c:v>
                </c:pt>
                <c:pt idx="8">
                  <c:v>0.29762100000000002</c:v>
                </c:pt>
                <c:pt idx="9">
                  <c:v>0.25852999999999998</c:v>
                </c:pt>
                <c:pt idx="10">
                  <c:v>0.28226499999999999</c:v>
                </c:pt>
                <c:pt idx="11">
                  <c:v>0.13780600000000001</c:v>
                </c:pt>
                <c:pt idx="12">
                  <c:v>0.267849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252.95846800000001</c:v>
                </c:pt>
                <c:pt idx="1">
                  <c:v>214.832064</c:v>
                </c:pt>
                <c:pt idx="2">
                  <c:v>269.88695799999999</c:v>
                </c:pt>
                <c:pt idx="3">
                  <c:v>297.66067400000003</c:v>
                </c:pt>
                <c:pt idx="4">
                  <c:v>271.16308099999998</c:v>
                </c:pt>
                <c:pt idx="5">
                  <c:v>301.03426400000001</c:v>
                </c:pt>
                <c:pt idx="6">
                  <c:v>287.12516499999998</c:v>
                </c:pt>
                <c:pt idx="7">
                  <c:v>272.274542</c:v>
                </c:pt>
                <c:pt idx="8">
                  <c:v>267.49094000000002</c:v>
                </c:pt>
                <c:pt idx="9">
                  <c:v>227.675399</c:v>
                </c:pt>
                <c:pt idx="10">
                  <c:v>244.02209900000003</c:v>
                </c:pt>
                <c:pt idx="11">
                  <c:v>226.89470900000001</c:v>
                </c:pt>
                <c:pt idx="12">
                  <c:v>199.21021500000001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229.928777</c:v>
                </c:pt>
                <c:pt idx="1">
                  <c:v>258.95318400000002</c:v>
                </c:pt>
                <c:pt idx="2">
                  <c:v>229.38776100000001</c:v>
                </c:pt>
                <c:pt idx="3">
                  <c:v>217.204814</c:v>
                </c:pt>
                <c:pt idx="4">
                  <c:v>297.07835399999999</c:v>
                </c:pt>
                <c:pt idx="5">
                  <c:v>252.83072899999999</c:v>
                </c:pt>
                <c:pt idx="6">
                  <c:v>292.22053799999998</c:v>
                </c:pt>
                <c:pt idx="7">
                  <c:v>314.37255499999998</c:v>
                </c:pt>
                <c:pt idx="8">
                  <c:v>280.66014899999999</c:v>
                </c:pt>
                <c:pt idx="9">
                  <c:v>269.76136200000002</c:v>
                </c:pt>
                <c:pt idx="10">
                  <c:v>284.19602200000003</c:v>
                </c:pt>
                <c:pt idx="11">
                  <c:v>311.21022299999998</c:v>
                </c:pt>
                <c:pt idx="12">
                  <c:v>233.09014500000001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1.4427080000000001</c:v>
                </c:pt>
                <c:pt idx="1">
                  <c:v>0.74262799999999995</c:v>
                </c:pt>
                <c:pt idx="2">
                  <c:v>3.6524220000000001</c:v>
                </c:pt>
                <c:pt idx="3">
                  <c:v>3.5757409999999998</c:v>
                </c:pt>
                <c:pt idx="4">
                  <c:v>1.9118980000000001</c:v>
                </c:pt>
                <c:pt idx="5">
                  <c:v>1.456723</c:v>
                </c:pt>
                <c:pt idx="6">
                  <c:v>0.821801</c:v>
                </c:pt>
                <c:pt idx="7">
                  <c:v>0.95850199999999997</c:v>
                </c:pt>
                <c:pt idx="8">
                  <c:v>0.99317</c:v>
                </c:pt>
                <c:pt idx="9">
                  <c:v>1.226483</c:v>
                </c:pt>
                <c:pt idx="10">
                  <c:v>1.921443</c:v>
                </c:pt>
                <c:pt idx="11">
                  <c:v>0.83590799999999998</c:v>
                </c:pt>
                <c:pt idx="12">
                  <c:v>3.0854499999999998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69.749658999999994</c:v>
                </c:pt>
                <c:pt idx="1">
                  <c:v>103.362193</c:v>
                </c:pt>
                <c:pt idx="2">
                  <c:v>148.255436</c:v>
                </c:pt>
                <c:pt idx="3">
                  <c:v>166.40398400000001</c:v>
                </c:pt>
                <c:pt idx="4">
                  <c:v>92.772315000000006</c:v>
                </c:pt>
                <c:pt idx="5">
                  <c:v>98.400535000000005</c:v>
                </c:pt>
                <c:pt idx="6">
                  <c:v>54.804782000000003</c:v>
                </c:pt>
                <c:pt idx="7">
                  <c:v>61.442059999999998</c:v>
                </c:pt>
                <c:pt idx="8">
                  <c:v>81.105193</c:v>
                </c:pt>
                <c:pt idx="9">
                  <c:v>58.505417000000001</c:v>
                </c:pt>
                <c:pt idx="10">
                  <c:v>83.922410999999997</c:v>
                </c:pt>
                <c:pt idx="11">
                  <c:v>52.700507000000002</c:v>
                </c:pt>
                <c:pt idx="12">
                  <c:v>161.61339599999999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26.043626</c:v>
                </c:pt>
                <c:pt idx="1">
                  <c:v>23.750204</c:v>
                </c:pt>
                <c:pt idx="2">
                  <c:v>27.014696000000001</c:v>
                </c:pt>
                <c:pt idx="3">
                  <c:v>26.667397999999999</c:v>
                </c:pt>
                <c:pt idx="4">
                  <c:v>20.951909000000001</c:v>
                </c:pt>
                <c:pt idx="5">
                  <c:v>19.852456</c:v>
                </c:pt>
                <c:pt idx="6">
                  <c:v>15.933180999999999</c:v>
                </c:pt>
                <c:pt idx="7">
                  <c:v>15.284926</c:v>
                </c:pt>
                <c:pt idx="8">
                  <c:v>16.368086000000002</c:v>
                </c:pt>
                <c:pt idx="9">
                  <c:v>17.767357000000001</c:v>
                </c:pt>
                <c:pt idx="10">
                  <c:v>24.172991</c:v>
                </c:pt>
                <c:pt idx="11">
                  <c:v>22.410291000000001</c:v>
                </c:pt>
                <c:pt idx="12">
                  <c:v>26.954878999999998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may.-20</c:v>
                </c:pt>
                <c:pt idx="1">
                  <c:v>jun.-20</c:v>
                </c:pt>
                <c:pt idx="2">
                  <c:v>jul.-20</c:v>
                </c:pt>
                <c:pt idx="3">
                  <c:v>ago.-20</c:v>
                </c:pt>
                <c:pt idx="4">
                  <c:v>sep.-20</c:v>
                </c:pt>
                <c:pt idx="5">
                  <c:v>oct.-20</c:v>
                </c:pt>
                <c:pt idx="6">
                  <c:v>nov.-20</c:v>
                </c:pt>
                <c:pt idx="7">
                  <c:v>dic.-20</c:v>
                </c:pt>
                <c:pt idx="8">
                  <c:v>ene.-21</c:v>
                </c:pt>
                <c:pt idx="9">
                  <c:v>feb.-21</c:v>
                </c:pt>
                <c:pt idx="10">
                  <c:v>mar.-21</c:v>
                </c:pt>
                <c:pt idx="11">
                  <c:v>abr.-21</c:v>
                </c:pt>
                <c:pt idx="12">
                  <c:v>may.-21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0.70590200000000003</c:v>
                </c:pt>
                <c:pt idx="1">
                  <c:v>0.78505800000000003</c:v>
                </c:pt>
                <c:pt idx="2">
                  <c:v>0.69386000000000003</c:v>
                </c:pt>
                <c:pt idx="3">
                  <c:v>0.69097799999999998</c:v>
                </c:pt>
                <c:pt idx="4">
                  <c:v>0.64958000000000005</c:v>
                </c:pt>
                <c:pt idx="5">
                  <c:v>0.78250799999999998</c:v>
                </c:pt>
                <c:pt idx="6">
                  <c:v>0.74310299999999996</c:v>
                </c:pt>
                <c:pt idx="7">
                  <c:v>0.75252699999999995</c:v>
                </c:pt>
                <c:pt idx="8">
                  <c:v>0.35872300000000001</c:v>
                </c:pt>
                <c:pt idx="9">
                  <c:v>0.69978200000000002</c:v>
                </c:pt>
                <c:pt idx="10">
                  <c:v>0.79178499999999996</c:v>
                </c:pt>
                <c:pt idx="11">
                  <c:v>0.72202100000000002</c:v>
                </c:pt>
                <c:pt idx="12">
                  <c:v>0.72256799999999999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Mayo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13" zoomScaleNormal="100" workbookViewId="0">
      <selection activeCell="E41" sqref="E41"/>
    </sheetView>
  </sheetViews>
  <sheetFormatPr baseColWidth="10" defaultColWidth="11.42578125" defaultRowHeight="12"/>
  <cols>
    <col min="1" max="1" width="19.28515625" style="11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122</v>
      </c>
      <c r="B2" s="144" t="s">
        <v>123</v>
      </c>
    </row>
    <row r="4" spans="1:33" ht="15">
      <c r="A4" s="145" t="s">
        <v>67</v>
      </c>
      <c r="B4" s="207" t="s">
        <v>122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</row>
    <row r="5" spans="1:33" ht="15">
      <c r="A5" s="145" t="s">
        <v>68</v>
      </c>
      <c r="B5" s="223" t="s">
        <v>15</v>
      </c>
      <c r="C5" s="224"/>
      <c r="D5" s="224"/>
      <c r="E5" s="224"/>
      <c r="F5" s="224"/>
      <c r="G5" s="224"/>
      <c r="H5" s="224"/>
      <c r="I5" s="225"/>
      <c r="J5" s="223" t="s">
        <v>14</v>
      </c>
      <c r="K5" s="224"/>
      <c r="L5" s="224"/>
      <c r="M5" s="224"/>
      <c r="N5" s="224"/>
      <c r="O5" s="224"/>
      <c r="P5" s="224"/>
      <c r="Q5" s="225"/>
      <c r="R5" s="223" t="s">
        <v>57</v>
      </c>
      <c r="S5" s="224"/>
      <c r="T5" s="224"/>
      <c r="U5" s="224"/>
      <c r="V5" s="224"/>
      <c r="W5" s="224"/>
      <c r="X5" s="224"/>
      <c r="Y5" s="225"/>
      <c r="Z5" s="223" t="s">
        <v>58</v>
      </c>
      <c r="AA5" s="224"/>
      <c r="AB5" s="224"/>
      <c r="AC5" s="224"/>
      <c r="AD5" s="224"/>
      <c r="AE5" s="224"/>
      <c r="AF5" s="224"/>
      <c r="AG5" s="224"/>
    </row>
    <row r="6" spans="1:33">
      <c r="A6" s="145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267.84899999999999</v>
      </c>
      <c r="AA8" s="158">
        <v>288.46300000000002</v>
      </c>
      <c r="AB8" s="151">
        <v>-7.1461504600000003E-2</v>
      </c>
      <c r="AC8" s="158">
        <v>1244.0709999999999</v>
      </c>
      <c r="AD8" s="158">
        <v>1448.1659999999999</v>
      </c>
      <c r="AE8" s="151">
        <v>-0.14093342889999999</v>
      </c>
      <c r="AF8" s="158">
        <v>3276.721</v>
      </c>
      <c r="AG8" s="151">
        <v>-6.3448814000000006E-2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-1103.4159999999999</v>
      </c>
      <c r="S9" s="158">
        <v>-1802.096</v>
      </c>
      <c r="T9" s="151">
        <v>-0.38770409569999997</v>
      </c>
      <c r="U9" s="158">
        <v>-3585.1869999999999</v>
      </c>
      <c r="V9" s="158">
        <v>-9723.0280000000002</v>
      </c>
      <c r="W9" s="151">
        <v>-0.631268469</v>
      </c>
      <c r="X9" s="158">
        <v>227799.33199999999</v>
      </c>
      <c r="Y9" s="151">
        <v>-0.81281611840000001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15508.210999999999</v>
      </c>
      <c r="C10" s="158">
        <v>15820.705</v>
      </c>
      <c r="D10" s="151">
        <v>-1.97522171E-2</v>
      </c>
      <c r="E10" s="158">
        <v>79704.528999999995</v>
      </c>
      <c r="F10" s="158">
        <v>81561.460999999996</v>
      </c>
      <c r="G10" s="151">
        <v>-2.27672724E-2</v>
      </c>
      <c r="H10" s="158">
        <v>197171.92300000001</v>
      </c>
      <c r="I10" s="151">
        <v>-3.8687274700000003E-2</v>
      </c>
      <c r="J10" s="158">
        <v>15223.865</v>
      </c>
      <c r="K10" s="158">
        <v>14576.576999999999</v>
      </c>
      <c r="L10" s="151">
        <v>4.44060358E-2</v>
      </c>
      <c r="M10" s="158">
        <v>75613.400999999998</v>
      </c>
      <c r="N10" s="158">
        <v>75602.027000000002</v>
      </c>
      <c r="O10" s="151">
        <v>1.504457E-4</v>
      </c>
      <c r="P10" s="158">
        <v>196797.916</v>
      </c>
      <c r="Q10" s="151">
        <v>-2.6662995000000002E-3</v>
      </c>
      <c r="R10" s="158">
        <v>20114.982</v>
      </c>
      <c r="S10" s="158">
        <v>20180.29</v>
      </c>
      <c r="T10" s="151">
        <v>-3.2362269999999999E-3</v>
      </c>
      <c r="U10" s="158">
        <v>98620.53</v>
      </c>
      <c r="V10" s="158">
        <v>100087.164</v>
      </c>
      <c r="W10" s="151">
        <v>-1.4653567399999999E-2</v>
      </c>
      <c r="X10" s="158">
        <v>280843.027</v>
      </c>
      <c r="Y10" s="151">
        <v>-0.32568931429999998</v>
      </c>
      <c r="Z10" s="158">
        <v>122631.70600000001</v>
      </c>
      <c r="AA10" s="158">
        <v>127466.34299999999</v>
      </c>
      <c r="AB10" s="151">
        <v>-3.7928733899999997E-2</v>
      </c>
      <c r="AC10" s="158">
        <v>644557.647</v>
      </c>
      <c r="AD10" s="158">
        <v>716072.57799999998</v>
      </c>
      <c r="AE10" s="151">
        <v>-9.9871064999999995E-2</v>
      </c>
      <c r="AF10" s="158">
        <v>1645894.2120000001</v>
      </c>
      <c r="AG10" s="151">
        <v>-0.1200591766</v>
      </c>
    </row>
    <row r="11" spans="1:33">
      <c r="A11" s="144" t="s">
        <v>9</v>
      </c>
      <c r="B11" s="158">
        <v>6.9939999999999998</v>
      </c>
      <c r="C11" s="158">
        <v>6.766</v>
      </c>
      <c r="D11" s="151">
        <v>3.3697901299999999E-2</v>
      </c>
      <c r="E11" s="158">
        <v>33.180999999999997</v>
      </c>
      <c r="F11" s="158">
        <v>10.441000000000001</v>
      </c>
      <c r="G11" s="151">
        <v>2.1779523034000001</v>
      </c>
      <c r="H11" s="158">
        <v>191.98699999999999</v>
      </c>
      <c r="I11" s="151">
        <v>1.1201148473</v>
      </c>
      <c r="J11" s="158">
        <v>1.3540000000000001</v>
      </c>
      <c r="K11" s="158">
        <v>0.94599999999999995</v>
      </c>
      <c r="L11" s="151">
        <v>0.43128964060000002</v>
      </c>
      <c r="M11" s="158">
        <v>71.259</v>
      </c>
      <c r="N11" s="158">
        <v>5.7709999999999999</v>
      </c>
      <c r="O11" s="151">
        <v>11.347773349500001</v>
      </c>
      <c r="P11" s="158">
        <v>161.39099999999999</v>
      </c>
      <c r="Q11" s="151">
        <v>7.5477993750000003</v>
      </c>
      <c r="R11" s="158">
        <v>7704.7420000000002</v>
      </c>
      <c r="S11" s="158">
        <v>9512.9249999999993</v>
      </c>
      <c r="T11" s="151">
        <v>-0.1900764486</v>
      </c>
      <c r="U11" s="158">
        <v>55351.866000000002</v>
      </c>
      <c r="V11" s="158">
        <v>77558.501000000004</v>
      </c>
      <c r="W11" s="151">
        <v>-0.28632109589999999</v>
      </c>
      <c r="X11" s="158">
        <v>188353.511</v>
      </c>
      <c r="Y11" s="151">
        <v>-0.50653834200000003</v>
      </c>
      <c r="Z11" s="158">
        <v>16537.965</v>
      </c>
      <c r="AA11" s="158">
        <v>9423.6720000000005</v>
      </c>
      <c r="AB11" s="151">
        <v>0.75493852080000001</v>
      </c>
      <c r="AC11" s="158">
        <v>68041.035999999993</v>
      </c>
      <c r="AD11" s="158">
        <v>66419.035000000003</v>
      </c>
      <c r="AE11" s="151">
        <v>2.44207252E-2</v>
      </c>
      <c r="AF11" s="158">
        <v>197382.69399999999</v>
      </c>
      <c r="AG11" s="151">
        <v>2.7916959299999999E-2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60040.544000000002</v>
      </c>
      <c r="AA12" s="158">
        <v>116068.45299999999</v>
      </c>
      <c r="AB12" s="151">
        <v>-0.4827143599</v>
      </c>
      <c r="AC12" s="158">
        <v>452694.679</v>
      </c>
      <c r="AD12" s="158">
        <v>604308.16500000004</v>
      </c>
      <c r="AE12" s="151">
        <v>-0.25088770059999999</v>
      </c>
      <c r="AF12" s="158">
        <v>1235993.2039999999</v>
      </c>
      <c r="AG12" s="151">
        <v>-0.29410426589999999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203812.516</v>
      </c>
      <c r="S13" s="158">
        <v>192660.736</v>
      </c>
      <c r="T13" s="151">
        <v>5.7882992799999998E-2</v>
      </c>
      <c r="U13" s="158">
        <v>1077559.2649999999</v>
      </c>
      <c r="V13" s="158">
        <v>1080683.0649999999</v>
      </c>
      <c r="W13" s="151">
        <v>-2.8905792E-3</v>
      </c>
      <c r="X13" s="158">
        <v>2409012.8459999999</v>
      </c>
      <c r="Y13" s="151">
        <v>0.37245841610000002</v>
      </c>
      <c r="Z13" s="158">
        <v>233090.14499999999</v>
      </c>
      <c r="AA13" s="158">
        <v>229928.777</v>
      </c>
      <c r="AB13" s="151">
        <v>1.3749335999999999E-2</v>
      </c>
      <c r="AC13" s="158">
        <v>1378917.9010000001</v>
      </c>
      <c r="AD13" s="158">
        <v>1392221.96</v>
      </c>
      <c r="AE13" s="151">
        <v>-9.5559899000000007E-3</v>
      </c>
      <c r="AF13" s="158">
        <v>3240965.8360000001</v>
      </c>
      <c r="AG13" s="151">
        <v>-1.3169835600000001E-2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1177.1690000000001</v>
      </c>
      <c r="S14" s="158">
        <v>0</v>
      </c>
      <c r="T14" s="151">
        <v>0</v>
      </c>
      <c r="U14" s="158">
        <v>1174.769</v>
      </c>
      <c r="V14" s="158">
        <v>0</v>
      </c>
      <c r="W14" s="151">
        <v>0</v>
      </c>
      <c r="X14" s="158">
        <v>5078.58</v>
      </c>
      <c r="Y14" s="151">
        <v>-0.69616504530000001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3085.45</v>
      </c>
      <c r="AA15" s="158">
        <v>1442.7080000000001</v>
      </c>
      <c r="AB15" s="151">
        <v>1.1386517576999999</v>
      </c>
      <c r="AC15" s="158">
        <v>8062.4539999999997</v>
      </c>
      <c r="AD15" s="158">
        <v>6420.5119999999997</v>
      </c>
      <c r="AE15" s="151">
        <v>0.2557338106</v>
      </c>
      <c r="AF15" s="158">
        <v>21182.169000000002</v>
      </c>
      <c r="AG15" s="151">
        <v>-3.9465883399999999E-2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189.554</v>
      </c>
      <c r="S16" s="158">
        <v>352.56200000000001</v>
      </c>
      <c r="T16" s="151">
        <v>-0.46235272090000001</v>
      </c>
      <c r="U16" s="158">
        <v>1227.7840000000001</v>
      </c>
      <c r="V16" s="158">
        <v>1837.52</v>
      </c>
      <c r="W16" s="151">
        <v>-0.33182550389999999</v>
      </c>
      <c r="X16" s="158">
        <v>3031.1869999999999</v>
      </c>
      <c r="Y16" s="151">
        <v>-0.3441833889</v>
      </c>
      <c r="Z16" s="158">
        <v>161613.39600000001</v>
      </c>
      <c r="AA16" s="158">
        <v>69749.659</v>
      </c>
      <c r="AB16" s="151">
        <v>1.3170492632999999</v>
      </c>
      <c r="AC16" s="158">
        <v>437846.924</v>
      </c>
      <c r="AD16" s="158">
        <v>374989.30499999999</v>
      </c>
      <c r="AE16" s="151">
        <v>0.167625098</v>
      </c>
      <c r="AF16" s="158">
        <v>1163288.2290000001</v>
      </c>
      <c r="AG16" s="151">
        <v>1.1916932099999999E-2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7.2919999999999998</v>
      </c>
      <c r="K17" s="158">
        <v>8.0139999999999993</v>
      </c>
      <c r="L17" s="151">
        <v>-9.0092338399999999E-2</v>
      </c>
      <c r="M17" s="158">
        <v>28.916</v>
      </c>
      <c r="N17" s="158">
        <v>30.17</v>
      </c>
      <c r="O17" s="151">
        <v>-4.1564468E-2</v>
      </c>
      <c r="P17" s="158">
        <v>75.453000000000003</v>
      </c>
      <c r="Q17" s="151">
        <v>-1.7475095999999999E-2</v>
      </c>
      <c r="R17" s="158">
        <v>22187.164000000001</v>
      </c>
      <c r="S17" s="158">
        <v>12909.148999999999</v>
      </c>
      <c r="T17" s="151">
        <v>0.71871623760000003</v>
      </c>
      <c r="U17" s="158">
        <v>67884.695000000007</v>
      </c>
      <c r="V17" s="158">
        <v>47616.067999999999</v>
      </c>
      <c r="W17" s="151">
        <v>0.42566780189999998</v>
      </c>
      <c r="X17" s="158">
        <v>138575.26699999999</v>
      </c>
      <c r="Y17" s="151">
        <v>0.18392321740000001</v>
      </c>
      <c r="Z17" s="158">
        <v>26954.879000000001</v>
      </c>
      <c r="AA17" s="158">
        <v>26043.626</v>
      </c>
      <c r="AB17" s="151">
        <v>3.4989482600000003E-2</v>
      </c>
      <c r="AC17" s="158">
        <v>107673.60400000001</v>
      </c>
      <c r="AD17" s="158">
        <v>108639.34</v>
      </c>
      <c r="AE17" s="151">
        <v>-8.8893765000000007E-3</v>
      </c>
      <c r="AF17" s="158">
        <v>257128.37400000001</v>
      </c>
      <c r="AG17" s="151">
        <v>-4.5335195699999997E-2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118.54600000000001</v>
      </c>
      <c r="S18" s="158">
        <v>2.383</v>
      </c>
      <c r="T18" s="151">
        <v>48.746537977300001</v>
      </c>
      <c r="U18" s="158">
        <v>496.71800000000002</v>
      </c>
      <c r="V18" s="158">
        <v>327.68200000000002</v>
      </c>
      <c r="W18" s="151">
        <v>0.51585378510000002</v>
      </c>
      <c r="X18" s="158">
        <v>798.43600000000004</v>
      </c>
      <c r="Y18" s="151">
        <v>-0.21843409999999999</v>
      </c>
      <c r="Z18" s="158">
        <v>722.56799999999998</v>
      </c>
      <c r="AA18" s="158">
        <v>705.90200000000004</v>
      </c>
      <c r="AB18" s="151">
        <v>2.36095095E-2</v>
      </c>
      <c r="AC18" s="158">
        <v>3294.8789999999999</v>
      </c>
      <c r="AD18" s="158">
        <v>4089.3670000000002</v>
      </c>
      <c r="AE18" s="151">
        <v>-0.1942814132</v>
      </c>
      <c r="AF18" s="158">
        <v>8392.4930000000004</v>
      </c>
      <c r="AG18" s="151">
        <v>-0.10095099489999999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2571.5810000000001</v>
      </c>
      <c r="S19" s="158">
        <v>2681.413</v>
      </c>
      <c r="T19" s="151">
        <v>-4.0960493600000002E-2</v>
      </c>
      <c r="U19" s="158">
        <v>17495.602999999999</v>
      </c>
      <c r="V19" s="158">
        <v>16700.109</v>
      </c>
      <c r="W19" s="151">
        <v>4.7634060399999997E-2</v>
      </c>
      <c r="X19" s="158">
        <v>34618.677000000003</v>
      </c>
      <c r="Y19" s="151">
        <v>-3.39145509E-2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561.99900000000002</v>
      </c>
      <c r="K20" s="158">
        <v>494.11099999999999</v>
      </c>
      <c r="L20" s="151">
        <v>0.1373942292</v>
      </c>
      <c r="M20" s="158">
        <v>2812.3040000000001</v>
      </c>
      <c r="N20" s="158">
        <v>2019.6079999999999</v>
      </c>
      <c r="O20" s="151">
        <v>0.3924999307</v>
      </c>
      <c r="P20" s="158">
        <v>6318.2515000000003</v>
      </c>
      <c r="Q20" s="151">
        <v>0.30195324359999998</v>
      </c>
      <c r="R20" s="158">
        <v>6023.6639999999998</v>
      </c>
      <c r="S20" s="158">
        <v>5365.5940000000001</v>
      </c>
      <c r="T20" s="151">
        <v>0.12264625310000001</v>
      </c>
      <c r="U20" s="158">
        <v>41531.289499999999</v>
      </c>
      <c r="V20" s="158">
        <v>36070.027000000002</v>
      </c>
      <c r="W20" s="151">
        <v>0.1514072196</v>
      </c>
      <c r="X20" s="158">
        <v>119463.1105</v>
      </c>
      <c r="Y20" s="151">
        <v>-6.2927983399999998E-2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561.99900000000002</v>
      </c>
      <c r="K21" s="158">
        <v>494.11099999999999</v>
      </c>
      <c r="L21" s="151">
        <v>0.1373942292</v>
      </c>
      <c r="M21" s="158">
        <v>2812.3040000000001</v>
      </c>
      <c r="N21" s="158">
        <v>2019.6079999999999</v>
      </c>
      <c r="O21" s="151">
        <v>0.3924999307</v>
      </c>
      <c r="P21" s="158">
        <v>6318.2515000000003</v>
      </c>
      <c r="Q21" s="151">
        <v>0.30195324359999998</v>
      </c>
      <c r="R21" s="158">
        <v>6023.6639999999998</v>
      </c>
      <c r="S21" s="158">
        <v>5365.5940000000001</v>
      </c>
      <c r="T21" s="151">
        <v>0.12264625310000001</v>
      </c>
      <c r="U21" s="158">
        <v>41531.289499999999</v>
      </c>
      <c r="V21" s="158">
        <v>36070.027000000002</v>
      </c>
      <c r="W21" s="151">
        <v>0.1514072196</v>
      </c>
      <c r="X21" s="158">
        <v>119463.1105</v>
      </c>
      <c r="Y21" s="151">
        <v>-6.2927983399999998E-2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15515.205</v>
      </c>
      <c r="C22" s="159">
        <v>15827.471</v>
      </c>
      <c r="D22" s="152">
        <v>-1.9729368000000001E-2</v>
      </c>
      <c r="E22" s="159">
        <v>79737.710000000006</v>
      </c>
      <c r="F22" s="159">
        <v>81571.902000000002</v>
      </c>
      <c r="G22" s="152">
        <v>-2.2485585799999999E-2</v>
      </c>
      <c r="H22" s="159">
        <v>197363.91</v>
      </c>
      <c r="I22" s="152">
        <v>-3.8175887800000002E-2</v>
      </c>
      <c r="J22" s="159">
        <v>16356.509</v>
      </c>
      <c r="K22" s="159">
        <v>15573.759</v>
      </c>
      <c r="L22" s="152">
        <v>5.0260826600000003E-2</v>
      </c>
      <c r="M22" s="159">
        <v>81338.183999999994</v>
      </c>
      <c r="N22" s="159">
        <v>79677.183999999994</v>
      </c>
      <c r="O22" s="152">
        <v>2.08466203E-2</v>
      </c>
      <c r="P22" s="159">
        <v>209671.26300000001</v>
      </c>
      <c r="Q22" s="152">
        <v>1.22908176E-2</v>
      </c>
      <c r="R22" s="159">
        <v>268820.16600000003</v>
      </c>
      <c r="S22" s="159">
        <v>247228.55</v>
      </c>
      <c r="T22" s="152">
        <v>8.7334638300000003E-2</v>
      </c>
      <c r="U22" s="159">
        <v>1399288.622</v>
      </c>
      <c r="V22" s="159">
        <v>1387227.135</v>
      </c>
      <c r="W22" s="152">
        <v>8.6946734999999997E-3</v>
      </c>
      <c r="X22" s="159">
        <v>3527037.0839999998</v>
      </c>
      <c r="Y22" s="152">
        <v>-0.16035597739999999</v>
      </c>
      <c r="Z22" s="159">
        <v>624944.50199999998</v>
      </c>
      <c r="AA22" s="159">
        <v>581117.603</v>
      </c>
      <c r="AB22" s="152">
        <v>7.5418295299999993E-2</v>
      </c>
      <c r="AC22" s="159">
        <v>3102333.1949999998</v>
      </c>
      <c r="AD22" s="159">
        <v>3274608.4279999998</v>
      </c>
      <c r="AE22" s="152">
        <v>-5.2609414799999997E-2</v>
      </c>
      <c r="AF22" s="159">
        <v>7773503.932</v>
      </c>
      <c r="AG22" s="152">
        <v>-9.0974689900000003E-2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111601.713</v>
      </c>
      <c r="S23" s="158">
        <v>79946.524000000005</v>
      </c>
      <c r="T23" s="151">
        <v>0.39595453829999999</v>
      </c>
      <c r="U23" s="158">
        <v>602271.50399999996</v>
      </c>
      <c r="V23" s="158">
        <v>525392.61</v>
      </c>
      <c r="W23" s="151">
        <v>0.1463265614</v>
      </c>
      <c r="X23" s="158">
        <v>1503416.419</v>
      </c>
      <c r="Y23" s="151">
        <v>-4.47445837E-2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15515.205</v>
      </c>
      <c r="C24" s="159">
        <v>15827.471</v>
      </c>
      <c r="D24" s="152">
        <v>-1.9729368000000001E-2</v>
      </c>
      <c r="E24" s="159">
        <v>79737.710000000006</v>
      </c>
      <c r="F24" s="159">
        <v>81571.902000000002</v>
      </c>
      <c r="G24" s="152">
        <v>-2.2485585799999999E-2</v>
      </c>
      <c r="H24" s="159">
        <v>197363.91</v>
      </c>
      <c r="I24" s="152">
        <v>-3.8175887800000002E-2</v>
      </c>
      <c r="J24" s="159">
        <v>16356.509</v>
      </c>
      <c r="K24" s="159">
        <v>15573.759</v>
      </c>
      <c r="L24" s="152">
        <v>5.0260826600000003E-2</v>
      </c>
      <c r="M24" s="159">
        <v>81338.183999999994</v>
      </c>
      <c r="N24" s="159">
        <v>79677.183999999994</v>
      </c>
      <c r="O24" s="152">
        <v>2.08466203E-2</v>
      </c>
      <c r="P24" s="159">
        <v>209671.26300000001</v>
      </c>
      <c r="Q24" s="152">
        <v>1.22908176E-2</v>
      </c>
      <c r="R24" s="159">
        <v>380421.87900000002</v>
      </c>
      <c r="S24" s="159">
        <v>327175.07400000002</v>
      </c>
      <c r="T24" s="152">
        <v>0.1627471321</v>
      </c>
      <c r="U24" s="159">
        <v>2001560.1259999999</v>
      </c>
      <c r="V24" s="159">
        <v>1912619.7450000001</v>
      </c>
      <c r="W24" s="152">
        <v>4.6501862800000002E-2</v>
      </c>
      <c r="X24" s="159">
        <v>5030453.5029999996</v>
      </c>
      <c r="Y24" s="152">
        <v>-0.12884599090000001</v>
      </c>
      <c r="Z24" s="159">
        <v>624944.50199999998</v>
      </c>
      <c r="AA24" s="159">
        <v>581117.603</v>
      </c>
      <c r="AB24" s="152">
        <v>7.5418295299999993E-2</v>
      </c>
      <c r="AC24" s="159">
        <v>3102333.1949999998</v>
      </c>
      <c r="AD24" s="159">
        <v>3274608.4279999998</v>
      </c>
      <c r="AE24" s="152">
        <v>-5.2609414799999997E-2</v>
      </c>
      <c r="AF24" s="159">
        <v>7773503.932</v>
      </c>
      <c r="AG24" s="152">
        <v>-9.0974689900000003E-2</v>
      </c>
    </row>
    <row r="26" spans="1:33">
      <c r="A26" s="111" t="s">
        <v>103</v>
      </c>
      <c r="B26" s="179">
        <f>SUM(B24,J24,R24,Z24)</f>
        <v>1037238.095</v>
      </c>
      <c r="C26" s="179">
        <f>SUM(C24,K24,S24,AA24)</f>
        <v>939693.90700000001</v>
      </c>
      <c r="D26" s="180">
        <f>((B26/C26)-1)*100</f>
        <v>10.380421462070831</v>
      </c>
      <c r="R26" s="180"/>
    </row>
    <row r="29" spans="1:33" ht="15">
      <c r="A29" s="145" t="s">
        <v>67</v>
      </c>
      <c r="B29" s="207" t="str">
        <f>A2</f>
        <v>Mayo 2021</v>
      </c>
      <c r="C29" s="208"/>
    </row>
    <row r="30" spans="1:33" ht="15">
      <c r="A30" s="145" t="s">
        <v>69</v>
      </c>
      <c r="B30" s="219" t="s">
        <v>72</v>
      </c>
      <c r="C30" s="220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84">
        <v>139.4</v>
      </c>
      <c r="C35" s="147">
        <v>488.56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3.6375000000000002</v>
      </c>
      <c r="C41" s="147">
        <v>466.315</v>
      </c>
      <c r="D41" s="187"/>
    </row>
    <row r="42" spans="1:4">
      <c r="A42" s="144" t="s">
        <v>4</v>
      </c>
      <c r="B42" s="147">
        <v>134.26896500000001</v>
      </c>
      <c r="C42" s="147">
        <v>168.00714500000001</v>
      </c>
      <c r="D42" s="187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5">
        <f>SUM(B33:B46)</f>
        <v>2032.9594650000001</v>
      </c>
      <c r="C47" s="185">
        <f>SUM(C33:C46)</f>
        <v>3046.4081449999999</v>
      </c>
    </row>
    <row r="48" spans="1:4" ht="15">
      <c r="A48"/>
      <c r="C48"/>
      <c r="D48" s="186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11.864476599389549</v>
      </c>
      <c r="D52" s="182"/>
      <c r="F52" s="114" t="s">
        <v>10</v>
      </c>
      <c r="G52" s="115">
        <f>C35</f>
        <v>488.56</v>
      </c>
      <c r="H52" s="116">
        <f>G52/$G$62*100</f>
        <v>16.03724703801959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6.8569984989838444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17.093901250713735</v>
      </c>
    </row>
    <row r="54" spans="1:8">
      <c r="A54" s="114" t="s">
        <v>9</v>
      </c>
      <c r="B54" s="115">
        <f t="shared" si="1"/>
        <v>603.1</v>
      </c>
      <c r="C54" s="116">
        <f t="shared" si="0"/>
        <v>29.666110435704134</v>
      </c>
      <c r="D54" s="182"/>
      <c r="F54" s="114" t="s">
        <v>8</v>
      </c>
      <c r="G54" s="115">
        <f>C37</f>
        <v>482.64</v>
      </c>
      <c r="H54" s="116">
        <f t="shared" si="2"/>
        <v>15.842919826489632</v>
      </c>
    </row>
    <row r="55" spans="1:8">
      <c r="A55" s="114" t="s">
        <v>25</v>
      </c>
      <c r="B55" s="115">
        <f>B38</f>
        <v>822.9</v>
      </c>
      <c r="C55" s="116">
        <f t="shared" si="0"/>
        <v>40.477934467817825</v>
      </c>
      <c r="D55" s="182"/>
      <c r="F55" s="114" t="s">
        <v>25</v>
      </c>
      <c r="G55" s="115">
        <f>C38</f>
        <v>865.4</v>
      </c>
      <c r="H55" s="116">
        <f t="shared" si="2"/>
        <v>28.407224469260996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1.2539357230480359</v>
      </c>
    </row>
    <row r="57" spans="1:8">
      <c r="A57" s="114" t="s">
        <v>23</v>
      </c>
      <c r="B57" s="115">
        <f>B44</f>
        <v>11.523</v>
      </c>
      <c r="C57" s="116">
        <f t="shared" si="0"/>
        <v>0.56680913704297586</v>
      </c>
      <c r="D57" s="182"/>
      <c r="F57" s="114" t="s">
        <v>12</v>
      </c>
      <c r="G57" s="116">
        <f>C33</f>
        <v>1.52</v>
      </c>
      <c r="H57" s="116">
        <f t="shared" si="2"/>
        <v>4.9894824582016079E-2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1.8396825241176167</v>
      </c>
      <c r="D58" s="182"/>
      <c r="F58" s="114" t="s">
        <v>6</v>
      </c>
      <c r="G58" s="115">
        <f>C40</f>
        <v>11.32</v>
      </c>
      <c r="H58" s="116">
        <f t="shared" si="2"/>
        <v>0.37158514096606715</v>
      </c>
    </row>
    <row r="59" spans="1:8">
      <c r="A59" s="114" t="s">
        <v>54</v>
      </c>
      <c r="B59" s="115">
        <f>B45</f>
        <v>37.4</v>
      </c>
      <c r="C59" s="116">
        <f t="shared" si="3"/>
        <v>1.8396825241176167</v>
      </c>
      <c r="D59" s="182"/>
      <c r="F59" s="114" t="s">
        <v>5</v>
      </c>
      <c r="G59" s="115">
        <f>C41</f>
        <v>466.315</v>
      </c>
      <c r="H59" s="116">
        <f t="shared" si="2"/>
        <v>15.307042845370281</v>
      </c>
    </row>
    <row r="60" spans="1:8">
      <c r="A60" s="114" t="s">
        <v>5</v>
      </c>
      <c r="B60" s="115">
        <f>B41</f>
        <v>3.6375000000000002</v>
      </c>
      <c r="C60" s="116">
        <f t="shared" si="3"/>
        <v>0.17892634175074415</v>
      </c>
      <c r="D60" s="182"/>
      <c r="F60" s="114" t="s">
        <v>4</v>
      </c>
      <c r="G60" s="115">
        <f>C42</f>
        <v>168.00714500000001</v>
      </c>
      <c r="H60" s="116">
        <f t="shared" si="2"/>
        <v>5.5149256765133821</v>
      </c>
    </row>
    <row r="61" spans="1:8">
      <c r="A61" s="114" t="s">
        <v>4</v>
      </c>
      <c r="B61" s="115">
        <f>B42</f>
        <v>134.26896500000001</v>
      </c>
      <c r="C61" s="116">
        <f t="shared" si="3"/>
        <v>6.6046061080711223</v>
      </c>
      <c r="D61" s="182"/>
      <c r="F61" s="114" t="s">
        <v>22</v>
      </c>
      <c r="G61" s="115">
        <f>C43</f>
        <v>3.6960000000000002</v>
      </c>
      <c r="H61" s="116">
        <f t="shared" si="2"/>
        <v>0.1213232050362707</v>
      </c>
    </row>
    <row r="62" spans="1:8">
      <c r="A62" s="114" t="s">
        <v>22</v>
      </c>
      <c r="B62" s="115">
        <f>B43</f>
        <v>2.13</v>
      </c>
      <c r="C62" s="116">
        <f t="shared" si="3"/>
        <v>0.10477336300455946</v>
      </c>
      <c r="D62" s="182"/>
      <c r="F62" s="117" t="s">
        <v>20</v>
      </c>
      <c r="G62" s="118">
        <f>SUM(G52:G61)</f>
        <v>3046.4081449999999</v>
      </c>
      <c r="H62" s="119">
        <f>SUM(H52:H61)</f>
        <v>100</v>
      </c>
    </row>
    <row r="63" spans="1:8">
      <c r="A63" s="117" t="s">
        <v>20</v>
      </c>
      <c r="B63" s="118">
        <f>SUM(B52:B62)</f>
        <v>2032.9594650000001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1">
        <f>(C68/SUM($C$68:$C$78))*100</f>
        <v>0</v>
      </c>
      <c r="F68" s="114" t="s">
        <v>10</v>
      </c>
      <c r="G68" s="116">
        <f>Z10/Z$24*100</f>
        <v>19.622815403214798</v>
      </c>
    </row>
    <row r="69" spans="1:7">
      <c r="A69" s="114" t="s">
        <v>10</v>
      </c>
      <c r="B69" s="116">
        <f t="shared" ref="B69:B78" si="4">C69/$C$80*100</f>
        <v>5.2722538357515729</v>
      </c>
      <c r="C69" s="115">
        <f>R10</f>
        <v>20114.982</v>
      </c>
      <c r="D69" s="191">
        <f t="shared" ref="D69:D78" si="5">(C69/SUM($C$68:$C$78))*100</f>
        <v>7.4521024991436295</v>
      </c>
      <c r="F69" s="114" t="s">
        <v>9</v>
      </c>
      <c r="G69" s="116">
        <f>Z11/Z$24*100</f>
        <v>2.6463093838050922</v>
      </c>
    </row>
    <row r="70" spans="1:7">
      <c r="A70" s="114" t="s">
        <v>9</v>
      </c>
      <c r="B70" s="116">
        <f t="shared" si="4"/>
        <v>2.0194577138063678</v>
      </c>
      <c r="C70" s="115">
        <f>R11</f>
        <v>7704.7420000000002</v>
      </c>
      <c r="D70" s="191">
        <f t="shared" si="5"/>
        <v>2.8544160324606249</v>
      </c>
      <c r="F70" s="114" t="s">
        <v>8</v>
      </c>
      <c r="G70" s="116">
        <f>Z12/Z$24*100</f>
        <v>9.6073401410610373</v>
      </c>
    </row>
    <row r="71" spans="1:7">
      <c r="A71" s="114" t="s">
        <v>25</v>
      </c>
      <c r="B71" s="116">
        <f t="shared" si="4"/>
        <v>53.420446473935634</v>
      </c>
      <c r="C71" s="115">
        <f>R13</f>
        <v>203812.516</v>
      </c>
      <c r="D71" s="191">
        <f>(C71/SUM($C$68:$C$78))*100</f>
        <v>75.507487893369785</v>
      </c>
      <c r="F71" s="114" t="s">
        <v>25</v>
      </c>
      <c r="G71" s="116">
        <f>Z13/Z$24*100</f>
        <v>37.297735119525861</v>
      </c>
    </row>
    <row r="72" spans="1:7">
      <c r="A72" s="114" t="s">
        <v>24</v>
      </c>
      <c r="B72" s="116">
        <f t="shared" si="4"/>
        <v>0.30854284510808133</v>
      </c>
      <c r="C72" s="115">
        <f>R14</f>
        <v>1177.1690000000001</v>
      </c>
      <c r="D72" s="192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0.67402634470147016</v>
      </c>
      <c r="C73" s="115">
        <f>R19</f>
        <v>2571.5810000000001</v>
      </c>
      <c r="D73" s="191">
        <f t="shared" si="5"/>
        <v>0.9527070517314048</v>
      </c>
      <c r="F73" s="114" t="s">
        <v>12</v>
      </c>
      <c r="G73" s="116">
        <f>Z8/Z$24*100</f>
        <v>4.2859645799396121E-2</v>
      </c>
    </row>
    <row r="74" spans="1:7">
      <c r="A74" s="114" t="s">
        <v>55</v>
      </c>
      <c r="B74" s="116">
        <f t="shared" si="4"/>
        <v>1.5788373874398027</v>
      </c>
      <c r="C74" s="115">
        <f>R21</f>
        <v>6023.6639999999998</v>
      </c>
      <c r="D74" s="191">
        <f t="shared" si="5"/>
        <v>2.2316182807621461</v>
      </c>
      <c r="F74" s="114" t="s">
        <v>6</v>
      </c>
      <c r="G74" s="116">
        <f>Z15/Z$24*100</f>
        <v>0.49371584038673566</v>
      </c>
    </row>
    <row r="75" spans="1:7">
      <c r="A75" s="114" t="s">
        <v>54</v>
      </c>
      <c r="B75" s="116">
        <f t="shared" si="4"/>
        <v>1.5788373874398027</v>
      </c>
      <c r="C75" s="115">
        <f>R20</f>
        <v>6023.6639999999998</v>
      </c>
      <c r="D75" s="191">
        <f t="shared" si="5"/>
        <v>2.2316182807621461</v>
      </c>
      <c r="F75" s="114" t="s">
        <v>5</v>
      </c>
      <c r="G75" s="116">
        <f>Z16/Z$24*100</f>
        <v>25.860439684290558</v>
      </c>
    </row>
    <row r="76" spans="1:7">
      <c r="A76" s="114" t="s">
        <v>5</v>
      </c>
      <c r="B76" s="116">
        <f t="shared" si="4"/>
        <v>4.9683206456861542E-2</v>
      </c>
      <c r="C76" s="115">
        <f>R16</f>
        <v>189.554</v>
      </c>
      <c r="D76" s="191">
        <f t="shared" si="5"/>
        <v>7.0225060958178903E-2</v>
      </c>
      <c r="F76" s="114" t="s">
        <v>4</v>
      </c>
      <c r="G76" s="116">
        <f>Z17/Z$24*100</f>
        <v>4.3131636351286762</v>
      </c>
    </row>
    <row r="77" spans="1:7">
      <c r="A77" s="114" t="s">
        <v>4</v>
      </c>
      <c r="B77" s="116">
        <f t="shared" si="4"/>
        <v>5.8153847964392522</v>
      </c>
      <c r="C77" s="115">
        <f>R17</f>
        <v>22187.164000000001</v>
      </c>
      <c r="D77" s="191">
        <f t="shared" si="5"/>
        <v>8.2197945935675989</v>
      </c>
      <c r="F77" s="114" t="s">
        <v>22</v>
      </c>
      <c r="G77" s="116">
        <f>Z18/Z$24*100</f>
        <v>0.11562114678784709</v>
      </c>
    </row>
    <row r="78" spans="1:7">
      <c r="A78" s="114" t="s">
        <v>22</v>
      </c>
      <c r="B78" s="116">
        <f t="shared" si="4"/>
        <v>3.1071596445525332E-2</v>
      </c>
      <c r="C78" s="115">
        <f>R18</f>
        <v>118.54600000000001</v>
      </c>
      <c r="D78" s="191">
        <f t="shared" si="5"/>
        <v>4.3918356121993088E-2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29.251458412475646</v>
      </c>
      <c r="C79" s="115">
        <f>R23</f>
        <v>111601.713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381525.29499999993</v>
      </c>
      <c r="D80" s="182"/>
    </row>
    <row r="85" spans="1:26" ht="15">
      <c r="A85" s="145"/>
      <c r="B85" s="145" t="s">
        <v>69</v>
      </c>
      <c r="C85" s="221" t="s">
        <v>13</v>
      </c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/>
      <c r="V85"/>
      <c r="W85"/>
      <c r="X85"/>
      <c r="Y85"/>
      <c r="Z85"/>
    </row>
    <row r="86" spans="1:26" ht="15">
      <c r="A86" s="145"/>
      <c r="B86" s="143" t="s">
        <v>67</v>
      </c>
      <c r="C86" s="188" t="s">
        <v>104</v>
      </c>
      <c r="D86" s="188" t="s">
        <v>105</v>
      </c>
      <c r="E86" s="188" t="s">
        <v>107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119</v>
      </c>
      <c r="Q86" s="188" t="s">
        <v>120</v>
      </c>
      <c r="R86" s="188" t="s">
        <v>121</v>
      </c>
      <c r="S86" s="188" t="s">
        <v>122</v>
      </c>
      <c r="T86" s="188" t="s">
        <v>126</v>
      </c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/>
      <c r="V87"/>
      <c r="W87"/>
      <c r="X87"/>
      <c r="Y87"/>
      <c r="Z87"/>
    </row>
    <row r="88" spans="1:26" ht="15">
      <c r="A88" s="218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15.84207</v>
      </c>
      <c r="U88"/>
      <c r="V88"/>
      <c r="W88"/>
      <c r="X88"/>
      <c r="Y88"/>
      <c r="Z88"/>
    </row>
    <row r="89" spans="1:26" ht="15">
      <c r="A89" s="216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11.648562</v>
      </c>
      <c r="U89"/>
      <c r="V89"/>
      <c r="W89"/>
      <c r="X89"/>
      <c r="Y89"/>
      <c r="Z89"/>
    </row>
    <row r="90" spans="1:26" ht="15">
      <c r="A90" s="216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3.274505</v>
      </c>
      <c r="U90"/>
      <c r="V90"/>
      <c r="W90"/>
      <c r="X90"/>
      <c r="Y90"/>
      <c r="Z90"/>
    </row>
    <row r="91" spans="1:26" ht="15">
      <c r="A91" s="216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55.876885000000001</v>
      </c>
      <c r="U91"/>
      <c r="V91"/>
      <c r="W91"/>
      <c r="X91"/>
      <c r="Y91"/>
      <c r="Z91"/>
    </row>
    <row r="92" spans="1:26" ht="15">
      <c r="A92" s="216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0.102987</v>
      </c>
      <c r="U92"/>
      <c r="V92"/>
      <c r="W92"/>
      <c r="X92"/>
      <c r="Y92"/>
      <c r="Z92"/>
    </row>
    <row r="93" spans="1:26" ht="15">
      <c r="A93" s="216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4.845E-2</v>
      </c>
      <c r="U93"/>
      <c r="V93"/>
      <c r="W93"/>
      <c r="X93"/>
      <c r="Y93"/>
      <c r="Z93"/>
    </row>
    <row r="94" spans="1:26" ht="15">
      <c r="A94" s="216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8.3992629999999995</v>
      </c>
      <c r="P94" s="147">
        <v>9.5055530000000008</v>
      </c>
      <c r="Q94" s="147">
        <v>13.089174</v>
      </c>
      <c r="R94" s="147">
        <v>14.703541</v>
      </c>
      <c r="S94" s="147">
        <v>22.187163999999999</v>
      </c>
      <c r="T94" s="147">
        <v>4.7256999999999998</v>
      </c>
      <c r="U94"/>
      <c r="V94"/>
      <c r="W94"/>
      <c r="X94"/>
      <c r="Y94"/>
      <c r="Z94"/>
    </row>
    <row r="95" spans="1:26" ht="15">
      <c r="A95" s="216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8.9999999999999993E-3</v>
      </c>
      <c r="U95"/>
      <c r="V95"/>
      <c r="W95"/>
      <c r="X95"/>
      <c r="Y95"/>
      <c r="Z95"/>
    </row>
    <row r="96" spans="1:26" ht="15">
      <c r="A96" s="216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0.91891999999999996</v>
      </c>
      <c r="U96"/>
      <c r="V96"/>
      <c r="W96"/>
      <c r="X96"/>
      <c r="Y96"/>
      <c r="Z96"/>
    </row>
    <row r="97" spans="1:26" ht="15">
      <c r="A97" s="216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3.6587399999999999</v>
      </c>
      <c r="U97"/>
      <c r="V97"/>
      <c r="W97"/>
      <c r="X97"/>
      <c r="Y97"/>
      <c r="Z97"/>
    </row>
    <row r="98" spans="1:26" ht="15">
      <c r="A98" s="216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3.6587399999999999</v>
      </c>
      <c r="U98"/>
      <c r="V98"/>
      <c r="W98"/>
      <c r="X98"/>
      <c r="Y98"/>
      <c r="Z98"/>
    </row>
    <row r="99" spans="1:26" ht="15">
      <c r="A99" s="216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332.48277100000001</v>
      </c>
      <c r="P99" s="150">
        <v>248.296424</v>
      </c>
      <c r="Q99" s="150">
        <v>281.91183899999999</v>
      </c>
      <c r="R99" s="150">
        <v>267.777422</v>
      </c>
      <c r="S99" s="150">
        <v>268.82016599999997</v>
      </c>
      <c r="T99" s="150">
        <v>99.764559000000006</v>
      </c>
      <c r="U99"/>
      <c r="V99"/>
      <c r="W99"/>
      <c r="X99"/>
      <c r="Y99"/>
      <c r="Z99"/>
    </row>
    <row r="100" spans="1:26" ht="15">
      <c r="A100" s="216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22.934000000000001</v>
      </c>
      <c r="U100"/>
      <c r="V100"/>
      <c r="W100"/>
      <c r="X100"/>
      <c r="Y100"/>
      <c r="Z100"/>
    </row>
    <row r="101" spans="1:26" ht="15">
      <c r="A101" s="217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470.733183</v>
      </c>
      <c r="P101" s="150">
        <v>361.70843300000001</v>
      </c>
      <c r="Q101" s="150">
        <v>409.89741199999997</v>
      </c>
      <c r="R101" s="150">
        <v>378.79921899999999</v>
      </c>
      <c r="S101" s="150">
        <v>380.42187899999999</v>
      </c>
      <c r="T101" s="150">
        <v>122.698559</v>
      </c>
      <c r="U101"/>
      <c r="V101"/>
      <c r="W101"/>
      <c r="X101"/>
      <c r="Y101"/>
      <c r="Z101"/>
    </row>
    <row r="102" spans="1:26" ht="15">
      <c r="A102" s="215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0.267849</v>
      </c>
      <c r="T102" s="147">
        <v>0</v>
      </c>
      <c r="U102"/>
      <c r="V102"/>
      <c r="W102"/>
      <c r="X102"/>
      <c r="Y102"/>
      <c r="Z102"/>
    </row>
    <row r="103" spans="1:26" ht="15">
      <c r="A103" s="216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122.63170599999999</v>
      </c>
      <c r="T103" s="147">
        <v>41.359402000000003</v>
      </c>
      <c r="U103"/>
      <c r="V103"/>
      <c r="W103"/>
      <c r="X103"/>
      <c r="Y103"/>
      <c r="Z103"/>
    </row>
    <row r="104" spans="1:26" ht="15">
      <c r="A104" s="216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16.537965</v>
      </c>
      <c r="T104" s="147">
        <v>3.0693969999999999</v>
      </c>
      <c r="U104"/>
      <c r="V104"/>
      <c r="W104"/>
      <c r="X104"/>
      <c r="Y104"/>
      <c r="Z104"/>
    </row>
    <row r="105" spans="1:26" ht="15">
      <c r="A105" s="216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60.040543999999997</v>
      </c>
      <c r="T105" s="147">
        <v>11.274820999999999</v>
      </c>
      <c r="U105"/>
      <c r="V105"/>
      <c r="W105"/>
      <c r="X105"/>
      <c r="Y105"/>
      <c r="Z105"/>
    </row>
    <row r="106" spans="1:26" ht="15">
      <c r="A106" s="216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233.09014500000001</v>
      </c>
      <c r="T106" s="147">
        <v>84.915223999999995</v>
      </c>
      <c r="U106"/>
      <c r="V106"/>
      <c r="W106"/>
      <c r="X106"/>
      <c r="Y106"/>
      <c r="Z106"/>
    </row>
    <row r="107" spans="1:26" ht="15">
      <c r="A107" s="216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3.0854499999999998</v>
      </c>
      <c r="T107" s="147">
        <v>0.723526</v>
      </c>
      <c r="U107"/>
      <c r="V107"/>
      <c r="W107"/>
      <c r="X107"/>
      <c r="Y107"/>
      <c r="Z107"/>
    </row>
    <row r="108" spans="1:26" ht="15">
      <c r="A108" s="216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81.105193</v>
      </c>
      <c r="P108" s="147">
        <v>58.505417000000001</v>
      </c>
      <c r="Q108" s="147">
        <v>83.922410999999997</v>
      </c>
      <c r="R108" s="147">
        <v>52.700507000000002</v>
      </c>
      <c r="S108" s="147">
        <v>161.61339599999999</v>
      </c>
      <c r="T108" s="147">
        <v>44.196232000000002</v>
      </c>
      <c r="U108"/>
      <c r="V108"/>
      <c r="W108"/>
      <c r="X108"/>
      <c r="Y108"/>
      <c r="Z108"/>
    </row>
    <row r="109" spans="1:26" ht="15">
      <c r="A109" s="216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16.368086000000002</v>
      </c>
      <c r="P109" s="147">
        <v>17.767357000000001</v>
      </c>
      <c r="Q109" s="147">
        <v>24.172991</v>
      </c>
      <c r="R109" s="147">
        <v>22.410291000000001</v>
      </c>
      <c r="S109" s="147">
        <v>26.954878999999998</v>
      </c>
      <c r="T109" s="147">
        <v>7.0242829999999996</v>
      </c>
      <c r="U109"/>
      <c r="V109"/>
      <c r="W109"/>
      <c r="X109"/>
      <c r="Y109"/>
      <c r="Z109"/>
    </row>
    <row r="110" spans="1:26" ht="15">
      <c r="A110" s="216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</v>
      </c>
      <c r="U110"/>
      <c r="V110"/>
      <c r="W110"/>
      <c r="X110"/>
      <c r="Y110"/>
      <c r="Z110"/>
    </row>
    <row r="111" spans="1:26" ht="15">
      <c r="A111" s="216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647.27388199999996</v>
      </c>
      <c r="P111" s="150">
        <v>575.89432999999997</v>
      </c>
      <c r="Q111" s="150">
        <v>639.30901600000004</v>
      </c>
      <c r="R111" s="150">
        <v>614.91146500000002</v>
      </c>
      <c r="S111" s="150">
        <v>624.94450200000006</v>
      </c>
      <c r="T111" s="150">
        <v>192.56288499999999</v>
      </c>
      <c r="U111"/>
      <c r="V111"/>
      <c r="W111"/>
      <c r="X111"/>
      <c r="Y111"/>
      <c r="Z111"/>
    </row>
    <row r="112" spans="1:26" ht="15">
      <c r="A112" s="217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647.27388199999996</v>
      </c>
      <c r="P112" s="150">
        <v>575.89432999999997</v>
      </c>
      <c r="Q112" s="150">
        <v>639.30901600000004</v>
      </c>
      <c r="R112" s="150">
        <v>614.91146500000002</v>
      </c>
      <c r="S112" s="150">
        <v>624.94450200000006</v>
      </c>
      <c r="T112" s="150">
        <v>192.56288499999999</v>
      </c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3" t="s">
        <v>73</v>
      </c>
      <c r="C117" s="120" t="str">
        <f>TEXT(EDATE(D117,-1),"mmmm aaaa")</f>
        <v>mayo 2020</v>
      </c>
      <c r="D117" s="120" t="str">
        <f t="shared" ref="D117:M117" si="6">TEXT(EDATE(E117,-1),"mmmm aaaa")</f>
        <v>junio 2020</v>
      </c>
      <c r="E117" s="120" t="str">
        <f t="shared" si="6"/>
        <v>julio 2020</v>
      </c>
      <c r="F117" s="120" t="str">
        <f t="shared" si="6"/>
        <v>agosto 2020</v>
      </c>
      <c r="G117" s="120" t="str">
        <f t="shared" si="6"/>
        <v>septiembre 2020</v>
      </c>
      <c r="H117" s="120" t="str">
        <f t="shared" si="6"/>
        <v>octubre 2020</v>
      </c>
      <c r="I117" s="120" t="str">
        <f t="shared" si="6"/>
        <v>noviembre 2020</v>
      </c>
      <c r="J117" s="120" t="str">
        <f t="shared" si="6"/>
        <v>diciembre 2020</v>
      </c>
      <c r="K117" s="120" t="str">
        <f t="shared" si="6"/>
        <v>enero 2021</v>
      </c>
      <c r="L117" s="120" t="str">
        <f t="shared" si="6"/>
        <v>febrero 2021</v>
      </c>
      <c r="M117" s="120" t="str">
        <f t="shared" si="6"/>
        <v>marzo 2021</v>
      </c>
      <c r="N117" s="120" t="str">
        <f>TEXT(EDATE(O117,-1),"mmmm aaaa")</f>
        <v>abril 2021</v>
      </c>
      <c r="O117" s="121" t="str">
        <f>A2</f>
        <v>Mayo 2021</v>
      </c>
    </row>
    <row r="118" spans="1:19">
      <c r="B118" s="214"/>
      <c r="C118" s="131" t="str">
        <f>TEXT(EDATE($A$2,-12),"mmm")&amp;".-"&amp;TEXT(EDATE($A$2,-12),"aa")</f>
        <v>may.-20</v>
      </c>
      <c r="D118" s="131" t="str">
        <f>TEXT(EDATE($A$2,-11),"mmm")&amp;".-"&amp;TEXT(EDATE($A$2,-11),"aa")</f>
        <v>jun.-20</v>
      </c>
      <c r="E118" s="131" t="str">
        <f>TEXT(EDATE($A$2,-10),"mmm")&amp;".-"&amp;TEXT(EDATE($A$2,-10),"aa")</f>
        <v>jul.-20</v>
      </c>
      <c r="F118" s="131" t="str">
        <f>TEXT(EDATE($A$2,-9),"mmm")&amp;".-"&amp;TEXT(EDATE($A$2,-9),"aa")</f>
        <v>ago.-20</v>
      </c>
      <c r="G118" s="131" t="str">
        <f>TEXT(EDATE($A$2,-8),"mmm")&amp;".-"&amp;TEXT(EDATE($A$2,-8),"aa")</f>
        <v>sep.-20</v>
      </c>
      <c r="H118" s="131" t="str">
        <f>TEXT(EDATE($A$2,-7),"mmm")&amp;".-"&amp;TEXT(EDATE($A$2,-7),"aa")</f>
        <v>oct.-20</v>
      </c>
      <c r="I118" s="131" t="str">
        <f>TEXT(EDATE($A$2,-6),"mmm")&amp;".-"&amp;TEXT(EDATE($A$2,-6),"aa")</f>
        <v>nov.-20</v>
      </c>
      <c r="J118" s="131" t="str">
        <f>TEXT(EDATE($A$2,-5),"mmm")&amp;".-"&amp;TEXT(EDATE($A$2,-5),"aa")</f>
        <v>dic.-20</v>
      </c>
      <c r="K118" s="131" t="str">
        <f>TEXT(EDATE($A$2,-4),"mmm")&amp;".-"&amp;TEXT(EDATE($A$2,-4),"aa")</f>
        <v>ene.-21</v>
      </c>
      <c r="L118" s="131" t="str">
        <f>TEXT(EDATE($A$2,-3),"mmm")&amp;".-"&amp;TEXT(EDATE($A$2,-3),"aa")</f>
        <v>feb.-21</v>
      </c>
      <c r="M118" s="131" t="str">
        <f>TEXT(EDATE($A$2,-2),"mmm")&amp;".-"&amp;TEXT(EDATE($A$2,-2),"aa")</f>
        <v>mar.-21</v>
      </c>
      <c r="N118" s="131" t="str">
        <f>TEXT(EDATE($A$2,-1),"mmm")&amp;".-"&amp;TEXT(EDATE($A$2,-1),"aa")</f>
        <v>abr.-21</v>
      </c>
      <c r="O118" s="160" t="str">
        <f>TEXT($A$2,"mmm")&amp;".-"&amp;TEXT($A$2,"aa")</f>
        <v>may.-21</v>
      </c>
    </row>
    <row r="119" spans="1:19">
      <c r="A119" s="210" t="s">
        <v>76</v>
      </c>
      <c r="B119" s="132" t="s">
        <v>11</v>
      </c>
      <c r="C119" s="133">
        <f>HLOOKUP(C$117,$86:$101,3,FALSE)</f>
        <v>-1.8020959999999999</v>
      </c>
      <c r="D119" s="133">
        <f t="shared" ref="D119:N119" si="7">HLOOKUP(D$117,$86:$101,3,FALSE)</f>
        <v>-1.2808299999999999</v>
      </c>
      <c r="E119" s="133">
        <f t="shared" si="7"/>
        <v>-1.119569</v>
      </c>
      <c r="F119" s="133">
        <f t="shared" si="7"/>
        <v>-1.1268309999999999</v>
      </c>
      <c r="G119" s="133">
        <f t="shared" si="7"/>
        <v>68.615076999999999</v>
      </c>
      <c r="H119" s="133">
        <f t="shared" si="7"/>
        <v>69.531803999999994</v>
      </c>
      <c r="I119" s="133">
        <f t="shared" si="7"/>
        <v>18.689830000000001</v>
      </c>
      <c r="J119" s="133">
        <f t="shared" si="7"/>
        <v>78.075038000000006</v>
      </c>
      <c r="K119" s="133">
        <f t="shared" si="7"/>
        <v>-0.63269200000000003</v>
      </c>
      <c r="L119" s="133">
        <f t="shared" si="7"/>
        <v>-0.606159</v>
      </c>
      <c r="M119" s="133">
        <f t="shared" si="7"/>
        <v>-0.651559</v>
      </c>
      <c r="N119" s="133">
        <f t="shared" si="7"/>
        <v>-0.59136100000000003</v>
      </c>
      <c r="O119" s="134">
        <f>HLOOKUP(O$117,$86:$101,3,FALSE)</f>
        <v>-1.103416</v>
      </c>
    </row>
    <row r="120" spans="1:19">
      <c r="A120" s="211"/>
      <c r="B120" s="122" t="s">
        <v>10</v>
      </c>
      <c r="C120" s="116">
        <f>HLOOKUP(C$117,$86:$101,4,FALSE)</f>
        <v>20.180289999999999</v>
      </c>
      <c r="D120" s="116">
        <f t="shared" ref="D120:O120" si="8">HLOOKUP(D$117,$86:$101,4,FALSE)</f>
        <v>17.902134</v>
      </c>
      <c r="E120" s="116">
        <f t="shared" si="8"/>
        <v>32.575167</v>
      </c>
      <c r="F120" s="116">
        <f t="shared" si="8"/>
        <v>48.229475999999998</v>
      </c>
      <c r="G120" s="116">
        <f t="shared" si="8"/>
        <v>25.914612999999999</v>
      </c>
      <c r="H120" s="116">
        <f t="shared" si="8"/>
        <v>16.883790999999999</v>
      </c>
      <c r="I120" s="116">
        <f t="shared" si="8"/>
        <v>18.608250999999999</v>
      </c>
      <c r="J120" s="116">
        <f t="shared" si="8"/>
        <v>22.109065000000001</v>
      </c>
      <c r="K120" s="116">
        <f t="shared" si="8"/>
        <v>27.196950000000001</v>
      </c>
      <c r="L120" s="116">
        <f t="shared" si="8"/>
        <v>18.940327</v>
      </c>
      <c r="M120" s="116">
        <f t="shared" si="8"/>
        <v>14.240815</v>
      </c>
      <c r="N120" s="116">
        <f t="shared" si="8"/>
        <v>18.127455999999999</v>
      </c>
      <c r="O120" s="134">
        <f t="shared" si="8"/>
        <v>20.114982000000001</v>
      </c>
    </row>
    <row r="121" spans="1:19">
      <c r="A121" s="211"/>
      <c r="B121" s="122" t="s">
        <v>9</v>
      </c>
      <c r="C121" s="116">
        <f>HLOOKUP(C$117,$86:$101,5,FALSE)</f>
        <v>9.5129249999999992</v>
      </c>
      <c r="D121" s="116">
        <f t="shared" ref="D121:O121" si="9">HLOOKUP(D$117,$86:$101,5,FALSE)</f>
        <v>15.970385</v>
      </c>
      <c r="E121" s="116">
        <f t="shared" si="9"/>
        <v>33.700387999999997</v>
      </c>
      <c r="F121" s="116">
        <f t="shared" si="9"/>
        <v>37.145944999999998</v>
      </c>
      <c r="G121" s="116">
        <f t="shared" si="9"/>
        <v>15.232726</v>
      </c>
      <c r="H121" s="116">
        <f t="shared" si="9"/>
        <v>8.9368049999999997</v>
      </c>
      <c r="I121" s="116">
        <f t="shared" si="9"/>
        <v>10.474845</v>
      </c>
      <c r="J121" s="116">
        <f t="shared" si="9"/>
        <v>11.540551000000001</v>
      </c>
      <c r="K121" s="116">
        <f t="shared" si="9"/>
        <v>18.542487000000001</v>
      </c>
      <c r="L121" s="116">
        <f t="shared" si="9"/>
        <v>7.6657599999999997</v>
      </c>
      <c r="M121" s="116">
        <f t="shared" si="9"/>
        <v>13.131584999999999</v>
      </c>
      <c r="N121" s="116">
        <f t="shared" si="9"/>
        <v>8.3072920000000003</v>
      </c>
      <c r="O121" s="134">
        <f t="shared" si="9"/>
        <v>7.7047420000000004</v>
      </c>
    </row>
    <row r="122" spans="1:19" ht="14.25">
      <c r="A122" s="211"/>
      <c r="B122" s="122" t="s">
        <v>74</v>
      </c>
      <c r="C122" s="116">
        <f>HLOOKUP(C$117,$86:$101,6,FALSE)</f>
        <v>192.66073600000001</v>
      </c>
      <c r="D122" s="116">
        <f t="shared" ref="D122:O122" si="10">HLOOKUP(D$117,$86:$101,6,FALSE)</f>
        <v>191.22599500000001</v>
      </c>
      <c r="E122" s="116">
        <f t="shared" si="10"/>
        <v>258.52646600000003</v>
      </c>
      <c r="F122" s="116">
        <f t="shared" si="10"/>
        <v>260.88770599999998</v>
      </c>
      <c r="G122" s="116">
        <f t="shared" si="10"/>
        <v>135.30891800000001</v>
      </c>
      <c r="H122" s="116">
        <f t="shared" si="10"/>
        <v>141.13588200000001</v>
      </c>
      <c r="I122" s="116">
        <f t="shared" si="10"/>
        <v>185.01504499999999</v>
      </c>
      <c r="J122" s="116">
        <f t="shared" si="10"/>
        <v>159.35356899999999</v>
      </c>
      <c r="K122" s="116">
        <f t="shared" si="10"/>
        <v>260.27204499999999</v>
      </c>
      <c r="L122" s="116">
        <f t="shared" si="10"/>
        <v>187.465463</v>
      </c>
      <c r="M122" s="116">
        <f t="shared" si="10"/>
        <v>217.47864799999999</v>
      </c>
      <c r="N122" s="116">
        <f t="shared" si="10"/>
        <v>208.53059300000001</v>
      </c>
      <c r="O122" s="134">
        <f t="shared" si="10"/>
        <v>203.81251599999999</v>
      </c>
    </row>
    <row r="123" spans="1:19">
      <c r="A123" s="211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2.5841270000000001</v>
      </c>
      <c r="G123" s="116">
        <f t="shared" si="11"/>
        <v>0.57992999999999995</v>
      </c>
      <c r="H123" s="116">
        <f t="shared" si="11"/>
        <v>0.73975400000000002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-2.3999999999999998E-3</v>
      </c>
      <c r="N123" s="116">
        <f t="shared" si="11"/>
        <v>0</v>
      </c>
      <c r="O123" s="134">
        <f t="shared" si="11"/>
        <v>1.1771689999999999</v>
      </c>
    </row>
    <row r="124" spans="1:19">
      <c r="A124" s="211"/>
      <c r="B124" s="122" t="s">
        <v>5</v>
      </c>
      <c r="C124" s="116">
        <f>HLOOKUP(C$117,$86:$102,8,FALSE)</f>
        <v>0.35256199999999999</v>
      </c>
      <c r="D124" s="116">
        <f t="shared" ref="D124:O124" si="12">HLOOKUP(D$117,$86:$102,8,FALSE)</f>
        <v>0.22043199999999999</v>
      </c>
      <c r="E124" s="116">
        <f t="shared" si="12"/>
        <v>0.22134999999999999</v>
      </c>
      <c r="F124" s="116">
        <f t="shared" si="12"/>
        <v>0.20865500000000001</v>
      </c>
      <c r="G124" s="116">
        <f t="shared" si="12"/>
        <v>0.189775</v>
      </c>
      <c r="H124" s="116">
        <f t="shared" si="12"/>
        <v>0.32789299999999999</v>
      </c>
      <c r="I124" s="116">
        <f t="shared" si="12"/>
        <v>0.34884399999999999</v>
      </c>
      <c r="J124" s="116">
        <f t="shared" si="12"/>
        <v>0.28645399999999999</v>
      </c>
      <c r="K124" s="116">
        <f t="shared" si="12"/>
        <v>0.27796300000000002</v>
      </c>
      <c r="L124" s="116">
        <f t="shared" si="12"/>
        <v>0.15948300000000001</v>
      </c>
      <c r="M124" s="116">
        <f t="shared" si="12"/>
        <v>0.30611500000000003</v>
      </c>
      <c r="N124" s="116">
        <f t="shared" si="12"/>
        <v>0.29466900000000001</v>
      </c>
      <c r="O124" s="134">
        <f t="shared" si="12"/>
        <v>0.189554</v>
      </c>
    </row>
    <row r="125" spans="1:19">
      <c r="A125" s="211"/>
      <c r="B125" s="122" t="s">
        <v>4</v>
      </c>
      <c r="C125" s="116">
        <f>HLOOKUP(C$117,$86:$102,9,FALSE)</f>
        <v>12.909148999999999</v>
      </c>
      <c r="D125" s="116">
        <f t="shared" ref="D125:O125" si="13">HLOOKUP(D$117,$86:$102,9,FALSE)</f>
        <v>12.23429</v>
      </c>
      <c r="E125" s="116">
        <f t="shared" si="13"/>
        <v>12.749435999999999</v>
      </c>
      <c r="F125" s="116">
        <f t="shared" si="13"/>
        <v>12.079094</v>
      </c>
      <c r="G125" s="116">
        <f t="shared" si="13"/>
        <v>10.538423999999999</v>
      </c>
      <c r="H125" s="116">
        <f t="shared" si="13"/>
        <v>9.627974</v>
      </c>
      <c r="I125" s="116">
        <f t="shared" si="13"/>
        <v>6.7521509999999996</v>
      </c>
      <c r="J125" s="116">
        <f t="shared" si="13"/>
        <v>6.7092029999999996</v>
      </c>
      <c r="K125" s="116">
        <f t="shared" si="13"/>
        <v>8.3992629999999995</v>
      </c>
      <c r="L125" s="116">
        <f t="shared" si="13"/>
        <v>9.5055530000000008</v>
      </c>
      <c r="M125" s="116">
        <f t="shared" si="13"/>
        <v>13.089174</v>
      </c>
      <c r="N125" s="116">
        <f t="shared" si="13"/>
        <v>14.703541</v>
      </c>
      <c r="O125" s="134">
        <f t="shared" si="13"/>
        <v>22.187163999999999</v>
      </c>
    </row>
    <row r="126" spans="1:19">
      <c r="A126" s="211"/>
      <c r="B126" s="123" t="s">
        <v>22</v>
      </c>
      <c r="C126" s="116">
        <f>HLOOKUP(C$117,$86:$102,10,FALSE)</f>
        <v>2.3830000000000001E-3</v>
      </c>
      <c r="D126" s="116">
        <f t="shared" ref="D126:O126" si="14">HLOOKUP(D$117,$86:$102,10,FALSE)</f>
        <v>5.9750999999999999E-2</v>
      </c>
      <c r="E126" s="116">
        <f t="shared" si="14"/>
        <v>5.2531000000000001E-2</v>
      </c>
      <c r="F126" s="116">
        <f t="shared" si="14"/>
        <v>5.0303E-2</v>
      </c>
      <c r="G126" s="116">
        <f t="shared" si="14"/>
        <v>2.81E-3</v>
      </c>
      <c r="H126" s="116">
        <f t="shared" si="14"/>
        <v>2.7317000000000001E-2</v>
      </c>
      <c r="I126" s="116">
        <f t="shared" si="14"/>
        <v>6.9145999999999999E-2</v>
      </c>
      <c r="J126" s="116">
        <f t="shared" si="14"/>
        <v>3.986E-2</v>
      </c>
      <c r="K126" s="116">
        <f t="shared" si="14"/>
        <v>5.7757000000000003E-2</v>
      </c>
      <c r="L126" s="116">
        <f t="shared" si="14"/>
        <v>7.6887999999999998E-2</v>
      </c>
      <c r="M126" s="116">
        <f t="shared" si="14"/>
        <v>0.13778699999999999</v>
      </c>
      <c r="N126" s="116">
        <f t="shared" si="14"/>
        <v>0.10574</v>
      </c>
      <c r="O126" s="134">
        <f t="shared" si="14"/>
        <v>0.118546</v>
      </c>
    </row>
    <row r="127" spans="1:19">
      <c r="A127" s="211"/>
      <c r="B127" s="123" t="s">
        <v>23</v>
      </c>
      <c r="C127" s="116">
        <f>HLOOKUP(C$117,$86:$102,11,FALSE)</f>
        <v>2.681413</v>
      </c>
      <c r="D127" s="116">
        <f t="shared" ref="D127:O127" si="15">HLOOKUP(D$117,$86:$102,11,FALSE)</f>
        <v>2.5969359999999999</v>
      </c>
      <c r="E127" s="116">
        <f t="shared" si="15"/>
        <v>2.3319320000000001</v>
      </c>
      <c r="F127" s="116">
        <f t="shared" si="15"/>
        <v>1.922374</v>
      </c>
      <c r="G127" s="116">
        <f t="shared" si="15"/>
        <v>2.047806</v>
      </c>
      <c r="H127" s="116">
        <f t="shared" si="15"/>
        <v>2.3333560000000002</v>
      </c>
      <c r="I127" s="116">
        <f t="shared" si="15"/>
        <v>2.521382</v>
      </c>
      <c r="J127" s="116">
        <f t="shared" si="15"/>
        <v>3.3692880000000001</v>
      </c>
      <c r="K127" s="116">
        <f t="shared" si="15"/>
        <v>4.0659429999999999</v>
      </c>
      <c r="L127" s="116">
        <f t="shared" si="15"/>
        <v>3.641699</v>
      </c>
      <c r="M127" s="116">
        <f t="shared" si="15"/>
        <v>3.9954990000000001</v>
      </c>
      <c r="N127" s="116">
        <f t="shared" si="15"/>
        <v>3.2208809999999999</v>
      </c>
      <c r="O127" s="134">
        <f t="shared" si="15"/>
        <v>2.5715810000000001</v>
      </c>
    </row>
    <row r="128" spans="1:19">
      <c r="A128" s="211"/>
      <c r="B128" s="122" t="s">
        <v>55</v>
      </c>
      <c r="C128" s="116">
        <f t="shared" ref="C128:O128" si="16">HLOOKUP(C$117,$86:$102,13,FALSE)</f>
        <v>5.3655939999999998</v>
      </c>
      <c r="D128" s="116">
        <f t="shared" si="16"/>
        <v>14.316091999999999</v>
      </c>
      <c r="E128" s="116">
        <f t="shared" si="16"/>
        <v>10.772016499999999</v>
      </c>
      <c r="F128" s="116">
        <f t="shared" si="16"/>
        <v>10.810641499999999</v>
      </c>
      <c r="G128" s="116">
        <f t="shared" si="16"/>
        <v>14.376298</v>
      </c>
      <c r="H128" s="116">
        <f t="shared" si="16"/>
        <v>6.2387214999999996</v>
      </c>
      <c r="I128" s="116">
        <f t="shared" si="16"/>
        <v>12.812825</v>
      </c>
      <c r="J128" s="116">
        <f t="shared" si="16"/>
        <v>8.6052265000000006</v>
      </c>
      <c r="K128" s="116">
        <f t="shared" si="16"/>
        <v>7.1515275000000003</v>
      </c>
      <c r="L128" s="116">
        <f t="shared" si="16"/>
        <v>10.723705000000001</v>
      </c>
      <c r="M128" s="116">
        <f t="shared" si="16"/>
        <v>10.093087499999999</v>
      </c>
      <c r="N128" s="116">
        <f t="shared" si="16"/>
        <v>7.5393055000000002</v>
      </c>
      <c r="O128" s="134">
        <f t="shared" si="16"/>
        <v>6.0236640000000001</v>
      </c>
    </row>
    <row r="129" spans="1:15">
      <c r="A129" s="211"/>
      <c r="B129" s="122" t="s">
        <v>54</v>
      </c>
      <c r="C129" s="116">
        <f>HLOOKUP(C$117,$86:$102,12,FALSE)</f>
        <v>5.3655939999999998</v>
      </c>
      <c r="D129" s="116">
        <f t="shared" ref="D129:O129" si="17">HLOOKUP(D$117,$86:$102,12,FALSE)</f>
        <v>14.316091999999999</v>
      </c>
      <c r="E129" s="116">
        <f t="shared" si="17"/>
        <v>10.772016499999999</v>
      </c>
      <c r="F129" s="116">
        <f t="shared" si="17"/>
        <v>10.810641499999999</v>
      </c>
      <c r="G129" s="116">
        <f t="shared" si="17"/>
        <v>14.376298</v>
      </c>
      <c r="H129" s="116">
        <f t="shared" si="17"/>
        <v>6.2387214999999996</v>
      </c>
      <c r="I129" s="116">
        <f t="shared" si="17"/>
        <v>12.812825</v>
      </c>
      <c r="J129" s="116">
        <f t="shared" si="17"/>
        <v>8.6052265000000006</v>
      </c>
      <c r="K129" s="116">
        <f t="shared" si="17"/>
        <v>7.1515275000000003</v>
      </c>
      <c r="L129" s="116">
        <f t="shared" si="17"/>
        <v>10.723705000000001</v>
      </c>
      <c r="M129" s="116">
        <f t="shared" si="17"/>
        <v>10.093087499999999</v>
      </c>
      <c r="N129" s="116">
        <f t="shared" si="17"/>
        <v>7.5393055000000002</v>
      </c>
      <c r="O129" s="134">
        <f t="shared" si="17"/>
        <v>6.0236640000000001</v>
      </c>
    </row>
    <row r="130" spans="1:15">
      <c r="A130" s="211"/>
      <c r="B130" s="124" t="s">
        <v>2</v>
      </c>
      <c r="C130" s="125">
        <f>HLOOKUP(C$117,$86:$102,14,FALSE)</f>
        <v>247.22855000000001</v>
      </c>
      <c r="D130" s="125">
        <f t="shared" ref="D130:O130" si="18">HLOOKUP(D$117,$86:$102,14,FALSE)</f>
        <v>267.56127700000002</v>
      </c>
      <c r="E130" s="125">
        <f t="shared" si="18"/>
        <v>360.58173399999998</v>
      </c>
      <c r="F130" s="125">
        <f t="shared" si="18"/>
        <v>383.60213199999998</v>
      </c>
      <c r="G130" s="125">
        <f t="shared" si="18"/>
        <v>287.18267500000002</v>
      </c>
      <c r="H130" s="125">
        <f t="shared" si="18"/>
        <v>262.022019</v>
      </c>
      <c r="I130" s="125">
        <f t="shared" si="18"/>
        <v>268.105144</v>
      </c>
      <c r="J130" s="125">
        <f t="shared" si="18"/>
        <v>298.69348100000002</v>
      </c>
      <c r="K130" s="125">
        <f t="shared" si="18"/>
        <v>332.48277100000001</v>
      </c>
      <c r="L130" s="125">
        <f t="shared" si="18"/>
        <v>248.296424</v>
      </c>
      <c r="M130" s="125">
        <f t="shared" si="18"/>
        <v>281.91183899999999</v>
      </c>
      <c r="N130" s="125">
        <f t="shared" si="18"/>
        <v>267.777422</v>
      </c>
      <c r="O130" s="135">
        <f t="shared" si="18"/>
        <v>268.82016599999997</v>
      </c>
    </row>
    <row r="131" spans="1:15">
      <c r="A131" s="211"/>
      <c r="B131" s="122" t="s">
        <v>21</v>
      </c>
      <c r="C131" s="126">
        <f>HLOOKUP(C$117,$86:$102,15,FALSE)</f>
        <v>79.946523999999997</v>
      </c>
      <c r="D131" s="126">
        <f t="shared" ref="D131:O131" si="19">HLOOKUP(D$117,$86:$102,15,FALSE)</f>
        <v>93.289579000000003</v>
      </c>
      <c r="E131" s="126">
        <f t="shared" si="19"/>
        <v>168.331695</v>
      </c>
      <c r="F131" s="126">
        <f t="shared" si="19"/>
        <v>182.71595500000001</v>
      </c>
      <c r="G131" s="126">
        <f t="shared" si="19"/>
        <v>116.274961</v>
      </c>
      <c r="H131" s="126">
        <f t="shared" si="19"/>
        <v>105.943506</v>
      </c>
      <c r="I131" s="126">
        <f t="shared" si="19"/>
        <v>96.327618999999999</v>
      </c>
      <c r="J131" s="126">
        <f t="shared" si="19"/>
        <v>138.26159999999999</v>
      </c>
      <c r="K131" s="126">
        <f t="shared" si="19"/>
        <v>138.25041200000001</v>
      </c>
      <c r="L131" s="126">
        <f t="shared" si="19"/>
        <v>113.412009</v>
      </c>
      <c r="M131" s="126">
        <f t="shared" si="19"/>
        <v>127.985573</v>
      </c>
      <c r="N131" s="126">
        <f t="shared" si="19"/>
        <v>111.02179700000001</v>
      </c>
      <c r="O131" s="126">
        <f t="shared" si="19"/>
        <v>111.601713</v>
      </c>
    </row>
    <row r="132" spans="1:15">
      <c r="A132" s="211"/>
      <c r="B132" s="127" t="s">
        <v>1</v>
      </c>
      <c r="C132" s="128">
        <f>HLOOKUP(C$117,$86:$102,16,FALSE)</f>
        <v>327.175074</v>
      </c>
      <c r="D132" s="128">
        <f t="shared" ref="D132:O132" si="20">HLOOKUP(D$117,$86:$102,16,FALSE)</f>
        <v>360.85085600000002</v>
      </c>
      <c r="E132" s="128">
        <f t="shared" si="20"/>
        <v>528.91342899999995</v>
      </c>
      <c r="F132" s="128">
        <f t="shared" si="20"/>
        <v>566.31808699999999</v>
      </c>
      <c r="G132" s="128">
        <f t="shared" si="20"/>
        <v>403.45763599999998</v>
      </c>
      <c r="H132" s="128">
        <f t="shared" si="20"/>
        <v>367.96552500000001</v>
      </c>
      <c r="I132" s="128">
        <f t="shared" si="20"/>
        <v>364.43276300000002</v>
      </c>
      <c r="J132" s="128">
        <f t="shared" si="20"/>
        <v>436.95508100000001</v>
      </c>
      <c r="K132" s="128">
        <f t="shared" si="20"/>
        <v>470.733183</v>
      </c>
      <c r="L132" s="128">
        <f t="shared" si="20"/>
        <v>361.70843300000001</v>
      </c>
      <c r="M132" s="128">
        <f t="shared" si="20"/>
        <v>409.89741199999997</v>
      </c>
      <c r="N132" s="128">
        <f t="shared" si="20"/>
        <v>378.79921899999999</v>
      </c>
      <c r="O132" s="128">
        <f t="shared" si="20"/>
        <v>380.42187899999999</v>
      </c>
    </row>
    <row r="133" spans="1:15" ht="14.25">
      <c r="A133" s="212"/>
      <c r="B133" s="137" t="s">
        <v>75</v>
      </c>
      <c r="C133" s="138">
        <f>C120+C121+C123</f>
        <v>29.693214999999999</v>
      </c>
      <c r="D133" s="138">
        <f>D120+D121+D123</f>
        <v>33.872518999999997</v>
      </c>
      <c r="E133" s="138">
        <f t="shared" ref="E133:O133" si="21">E120+E121+E123</f>
        <v>66.275554999999997</v>
      </c>
      <c r="F133" s="138">
        <f t="shared" si="21"/>
        <v>87.959547999999984</v>
      </c>
      <c r="G133" s="138">
        <f t="shared" si="21"/>
        <v>41.727269</v>
      </c>
      <c r="H133" s="138">
        <f t="shared" si="21"/>
        <v>26.56035</v>
      </c>
      <c r="I133" s="138">
        <f t="shared" si="21"/>
        <v>29.083095999999998</v>
      </c>
      <c r="J133" s="138">
        <f t="shared" si="21"/>
        <v>33.649616000000002</v>
      </c>
      <c r="K133" s="138">
        <f t="shared" si="21"/>
        <v>45.739437000000002</v>
      </c>
      <c r="L133" s="138">
        <f t="shared" si="21"/>
        <v>26.606086999999999</v>
      </c>
      <c r="M133" s="138">
        <f t="shared" si="21"/>
        <v>27.369999999999997</v>
      </c>
      <c r="N133" s="138">
        <f t="shared" si="21"/>
        <v>26.434747999999999</v>
      </c>
      <c r="O133" s="138">
        <f t="shared" si="21"/>
        <v>28.996893</v>
      </c>
    </row>
    <row r="134" spans="1:15">
      <c r="A134" s="210" t="s">
        <v>77</v>
      </c>
      <c r="B134" s="139" t="s">
        <v>73</v>
      </c>
      <c r="C134" s="120" t="str">
        <f>TEXT(EDATE($A$2,-12),"mmm")&amp;".-"&amp;TEXT(EDATE($A$2,-12),"aa")</f>
        <v>may.-20</v>
      </c>
      <c r="D134" s="120" t="str">
        <f>TEXT(EDATE($A$2,-11),"mmm")&amp;".-"&amp;TEXT(EDATE($A$2,-11),"aa")</f>
        <v>jun.-20</v>
      </c>
      <c r="E134" s="120" t="str">
        <f>TEXT(EDATE($A$2,-10),"mmm")&amp;".-"&amp;TEXT(EDATE($A$2,-10),"aa")</f>
        <v>jul.-20</v>
      </c>
      <c r="F134" s="120" t="str">
        <f>TEXT(EDATE($A$2,-9),"mmm")&amp;".-"&amp;TEXT(EDATE($A$2,-9),"aa")</f>
        <v>ago.-20</v>
      </c>
      <c r="G134" s="120" t="str">
        <f>TEXT(EDATE($A$2,-8),"mmm")&amp;".-"&amp;TEXT(EDATE($A$2,-8),"aa")</f>
        <v>sep.-20</v>
      </c>
      <c r="H134" s="120" t="str">
        <f>TEXT(EDATE($A$2,-7),"mmm")&amp;".-"&amp;TEXT(EDATE($A$2,-7),"aa")</f>
        <v>oct.-20</v>
      </c>
      <c r="I134" s="120" t="str">
        <f>TEXT(EDATE($A$2,-6),"mmm")&amp;".-"&amp;TEXT(EDATE($A$2,-6),"aa")</f>
        <v>nov.-20</v>
      </c>
      <c r="J134" s="120" t="str">
        <f>TEXT(EDATE($A$2,-5),"mmm")&amp;".-"&amp;TEXT(EDATE($A$2,-5),"aa")</f>
        <v>dic.-20</v>
      </c>
      <c r="K134" s="120" t="str">
        <f>TEXT(EDATE($A$2,-4),"mmm")&amp;".-"&amp;TEXT(EDATE($A$2,-4),"aa")</f>
        <v>ene.-21</v>
      </c>
      <c r="L134" s="120" t="str">
        <f>TEXT(EDATE($A$2,-3),"mmm")&amp;".-"&amp;TEXT(EDATE($A$2,-3),"aa")</f>
        <v>feb.-21</v>
      </c>
      <c r="M134" s="120" t="str">
        <f>TEXT(EDATE($A$2,-2),"mmm")&amp;".-"&amp;TEXT(EDATE($A$2,-2),"aa")</f>
        <v>mar.-21</v>
      </c>
      <c r="N134" s="120" t="str">
        <f>TEXT(EDATE($A$2,-1),"mmm")&amp;".-"&amp;TEXT(EDATE($A$2,-1),"aa")</f>
        <v>abr.-21</v>
      </c>
      <c r="O134" s="121" t="str">
        <f>TEXT($A$2,"mmm")&amp;".-"&amp;TEXT($A$2,"aa")</f>
        <v>may.-21</v>
      </c>
    </row>
    <row r="135" spans="1:15" ht="15" customHeight="1">
      <c r="A135" s="211"/>
      <c r="B135" s="122" t="s">
        <v>12</v>
      </c>
      <c r="C135" s="116">
        <f>HLOOKUP(C$117,$86:$115,17,FALSE)</f>
        <v>0.28846300000000002</v>
      </c>
      <c r="D135" s="116">
        <f t="shared" ref="D135:O135" si="22">HLOOKUP(D$117,$86:$115,17,FALSE)</f>
        <v>0.27233299999999999</v>
      </c>
      <c r="E135" s="116">
        <f t="shared" si="22"/>
        <v>0.29030099999999998</v>
      </c>
      <c r="F135" s="116">
        <f t="shared" si="22"/>
        <v>0.29413899999999998</v>
      </c>
      <c r="G135" s="116">
        <f t="shared" si="22"/>
        <v>0.29165099999999999</v>
      </c>
      <c r="H135" s="116">
        <f t="shared" si="22"/>
        <v>0.299369</v>
      </c>
      <c r="I135" s="116">
        <f t="shared" si="22"/>
        <v>0.28527599999999997</v>
      </c>
      <c r="J135" s="116">
        <f t="shared" si="22"/>
        <v>0.29958099999999999</v>
      </c>
      <c r="K135" s="116">
        <f t="shared" si="22"/>
        <v>0.29762100000000002</v>
      </c>
      <c r="L135" s="116">
        <f t="shared" si="22"/>
        <v>0.25852999999999998</v>
      </c>
      <c r="M135" s="116">
        <f t="shared" si="22"/>
        <v>0.28226499999999999</v>
      </c>
      <c r="N135" s="116">
        <f t="shared" si="22"/>
        <v>0.13780600000000001</v>
      </c>
      <c r="O135" s="161">
        <f t="shared" si="22"/>
        <v>0.267849</v>
      </c>
    </row>
    <row r="136" spans="1:15">
      <c r="A136" s="211"/>
      <c r="B136" s="122" t="s">
        <v>10</v>
      </c>
      <c r="C136" s="116">
        <f>HLOOKUP(C$117,$86:$115,18,FALSE)</f>
        <v>127.46634299999999</v>
      </c>
      <c r="D136" s="116">
        <f t="shared" ref="D136:O136" si="23">HLOOKUP(D$117,$86:$115,18,FALSE)</f>
        <v>122.84934</v>
      </c>
      <c r="E136" s="116">
        <f t="shared" si="23"/>
        <v>140.50550799999999</v>
      </c>
      <c r="F136" s="116">
        <f t="shared" si="23"/>
        <v>152.65874500000001</v>
      </c>
      <c r="G136" s="116">
        <f t="shared" si="23"/>
        <v>151.15563499999999</v>
      </c>
      <c r="H136" s="116">
        <f t="shared" si="23"/>
        <v>140.27562900000001</v>
      </c>
      <c r="I136" s="116">
        <f t="shared" si="23"/>
        <v>147.43617</v>
      </c>
      <c r="J136" s="116">
        <f t="shared" si="23"/>
        <v>146.45553799999999</v>
      </c>
      <c r="K136" s="116">
        <f t="shared" si="23"/>
        <v>141.05104299999999</v>
      </c>
      <c r="L136" s="116">
        <f t="shared" si="23"/>
        <v>112.359525</v>
      </c>
      <c r="M136" s="116">
        <f t="shared" si="23"/>
        <v>128.50312700000001</v>
      </c>
      <c r="N136" s="116">
        <f t="shared" si="23"/>
        <v>140.012246</v>
      </c>
      <c r="O136" s="134">
        <f t="shared" si="23"/>
        <v>122.63170599999999</v>
      </c>
    </row>
    <row r="137" spans="1:15">
      <c r="A137" s="211"/>
      <c r="B137" s="122" t="s">
        <v>9</v>
      </c>
      <c r="C137" s="116">
        <f>HLOOKUP(C$117,$86:$115,19,FALSE)</f>
        <v>9.4236719999999998</v>
      </c>
      <c r="D137" s="116">
        <f t="shared" ref="D137:O137" si="24">HLOOKUP(D$117,$86:$115,19,FALSE)</f>
        <v>8.6874149999999997</v>
      </c>
      <c r="E137" s="116">
        <f t="shared" si="24"/>
        <v>15.04932</v>
      </c>
      <c r="F137" s="116">
        <f t="shared" si="24"/>
        <v>17.289342999999999</v>
      </c>
      <c r="G137" s="116">
        <f t="shared" si="24"/>
        <v>21.610752000000002</v>
      </c>
      <c r="H137" s="116">
        <f t="shared" si="24"/>
        <v>32.544134999999997</v>
      </c>
      <c r="I137" s="116">
        <f t="shared" si="24"/>
        <v>18.073917999999999</v>
      </c>
      <c r="J137" s="116">
        <f t="shared" si="24"/>
        <v>16.086774999999999</v>
      </c>
      <c r="K137" s="116">
        <f t="shared" si="24"/>
        <v>10.157844000000001</v>
      </c>
      <c r="L137" s="116">
        <f t="shared" si="24"/>
        <v>10.355027</v>
      </c>
      <c r="M137" s="116">
        <f t="shared" si="24"/>
        <v>14.760713000000001</v>
      </c>
      <c r="N137" s="116">
        <f t="shared" si="24"/>
        <v>16.229486999999999</v>
      </c>
      <c r="O137" s="134">
        <f t="shared" si="24"/>
        <v>16.537965</v>
      </c>
    </row>
    <row r="138" spans="1:15">
      <c r="A138" s="211"/>
      <c r="B138" s="122" t="s">
        <v>8</v>
      </c>
      <c r="C138" s="116">
        <f>HLOOKUP(C$117,$86:$115,20,FALSE)</f>
        <v>116.06845300000001</v>
      </c>
      <c r="D138" s="116">
        <f t="shared" ref="D138:O138" si="25">HLOOKUP(D$117,$86:$115,20,FALSE)</f>
        <v>83.295309000000003</v>
      </c>
      <c r="E138" s="116">
        <f t="shared" si="25"/>
        <v>114.33213000000001</v>
      </c>
      <c r="F138" s="116">
        <f t="shared" si="25"/>
        <v>127.712586</v>
      </c>
      <c r="G138" s="116">
        <f t="shared" si="25"/>
        <v>98.396693999999997</v>
      </c>
      <c r="H138" s="116">
        <f t="shared" si="25"/>
        <v>128.21449999999999</v>
      </c>
      <c r="I138" s="116">
        <f t="shared" si="25"/>
        <v>121.615077</v>
      </c>
      <c r="J138" s="116">
        <f t="shared" si="25"/>
        <v>109.732229</v>
      </c>
      <c r="K138" s="116">
        <f t="shared" si="25"/>
        <v>116.282053</v>
      </c>
      <c r="L138" s="116">
        <f t="shared" si="25"/>
        <v>104.960847</v>
      </c>
      <c r="M138" s="116">
        <f t="shared" si="25"/>
        <v>100.758259</v>
      </c>
      <c r="N138" s="116">
        <f t="shared" si="25"/>
        <v>70.652975999999995</v>
      </c>
      <c r="O138" s="134">
        <f t="shared" si="25"/>
        <v>60.040543999999997</v>
      </c>
    </row>
    <row r="139" spans="1:15" ht="14.25">
      <c r="A139" s="211"/>
      <c r="B139" s="122" t="s">
        <v>74</v>
      </c>
      <c r="C139" s="116">
        <f>HLOOKUP(C$117,$86:$115,21,FALSE)</f>
        <v>229.928777</v>
      </c>
      <c r="D139" s="116">
        <f t="shared" ref="D139:O139" si="26">HLOOKUP(D$117,$86:$115,21,FALSE)</f>
        <v>258.95318400000002</v>
      </c>
      <c r="E139" s="116">
        <f t="shared" si="26"/>
        <v>229.38776100000001</v>
      </c>
      <c r="F139" s="116">
        <f t="shared" si="26"/>
        <v>217.204814</v>
      </c>
      <c r="G139" s="116">
        <f t="shared" si="26"/>
        <v>297.07835399999999</v>
      </c>
      <c r="H139" s="116">
        <f t="shared" si="26"/>
        <v>252.83072899999999</v>
      </c>
      <c r="I139" s="116">
        <f t="shared" si="26"/>
        <v>292.22053799999998</v>
      </c>
      <c r="J139" s="116">
        <f t="shared" si="26"/>
        <v>314.37255499999998</v>
      </c>
      <c r="K139" s="116">
        <f t="shared" si="26"/>
        <v>280.66014899999999</v>
      </c>
      <c r="L139" s="116">
        <f t="shared" si="26"/>
        <v>269.76136200000002</v>
      </c>
      <c r="M139" s="116">
        <f t="shared" si="26"/>
        <v>284.19602200000003</v>
      </c>
      <c r="N139" s="116">
        <f t="shared" si="26"/>
        <v>311.21022299999998</v>
      </c>
      <c r="O139" s="134">
        <f t="shared" si="26"/>
        <v>233.09014500000001</v>
      </c>
    </row>
    <row r="140" spans="1:15">
      <c r="A140" s="211"/>
      <c r="B140" s="122" t="s">
        <v>6</v>
      </c>
      <c r="C140" s="116">
        <f>HLOOKUP(C$117,$86:$115,22,FALSE)</f>
        <v>1.4427080000000001</v>
      </c>
      <c r="D140" s="116">
        <f t="shared" ref="D140:O140" si="27">HLOOKUP(D$117,$86:$115,22,FALSE)</f>
        <v>0.74262799999999995</v>
      </c>
      <c r="E140" s="116">
        <f t="shared" si="27"/>
        <v>3.6524220000000001</v>
      </c>
      <c r="F140" s="116">
        <f t="shared" si="27"/>
        <v>3.5757409999999998</v>
      </c>
      <c r="G140" s="116">
        <f t="shared" si="27"/>
        <v>1.9118980000000001</v>
      </c>
      <c r="H140" s="116">
        <f t="shared" si="27"/>
        <v>1.456723</v>
      </c>
      <c r="I140" s="116">
        <f t="shared" si="27"/>
        <v>0.821801</v>
      </c>
      <c r="J140" s="116">
        <f t="shared" si="27"/>
        <v>0.95850199999999997</v>
      </c>
      <c r="K140" s="116">
        <f t="shared" si="27"/>
        <v>0.99317</v>
      </c>
      <c r="L140" s="116">
        <f t="shared" si="27"/>
        <v>1.226483</v>
      </c>
      <c r="M140" s="116">
        <f t="shared" si="27"/>
        <v>1.921443</v>
      </c>
      <c r="N140" s="116">
        <f t="shared" si="27"/>
        <v>0.83590799999999998</v>
      </c>
      <c r="O140" s="134">
        <f t="shared" si="27"/>
        <v>3.0854499999999998</v>
      </c>
    </row>
    <row r="141" spans="1:15">
      <c r="A141" s="211"/>
      <c r="B141" s="122" t="s">
        <v>5</v>
      </c>
      <c r="C141" s="116">
        <f>HLOOKUP(C$117,$86:$115,23,FALSE)</f>
        <v>69.749658999999994</v>
      </c>
      <c r="D141" s="116">
        <f t="shared" ref="D141:O141" si="28">HLOOKUP(D$117,$86:$115,23,FALSE)</f>
        <v>103.362193</v>
      </c>
      <c r="E141" s="116">
        <f t="shared" si="28"/>
        <v>148.255436</v>
      </c>
      <c r="F141" s="116">
        <f t="shared" si="28"/>
        <v>166.40398400000001</v>
      </c>
      <c r="G141" s="116">
        <f t="shared" si="28"/>
        <v>92.772315000000006</v>
      </c>
      <c r="H141" s="116">
        <f t="shared" si="28"/>
        <v>98.400535000000005</v>
      </c>
      <c r="I141" s="116">
        <f t="shared" si="28"/>
        <v>54.804782000000003</v>
      </c>
      <c r="J141" s="116">
        <f t="shared" si="28"/>
        <v>61.442059999999998</v>
      </c>
      <c r="K141" s="116">
        <f t="shared" si="28"/>
        <v>81.105193</v>
      </c>
      <c r="L141" s="116">
        <f t="shared" si="28"/>
        <v>58.505417000000001</v>
      </c>
      <c r="M141" s="116">
        <f t="shared" si="28"/>
        <v>83.922410999999997</v>
      </c>
      <c r="N141" s="116">
        <f t="shared" si="28"/>
        <v>52.700507000000002</v>
      </c>
      <c r="O141" s="134">
        <f t="shared" si="28"/>
        <v>161.61339599999999</v>
      </c>
    </row>
    <row r="142" spans="1:15">
      <c r="A142" s="211"/>
      <c r="B142" s="122" t="s">
        <v>4</v>
      </c>
      <c r="C142" s="116">
        <f>HLOOKUP(C$117,$86:$115,24,FALSE)</f>
        <v>26.043626</v>
      </c>
      <c r="D142" s="116">
        <f t="shared" ref="D142:O142" si="29">HLOOKUP(D$117,$86:$115,24,FALSE)</f>
        <v>23.750204</v>
      </c>
      <c r="E142" s="116">
        <f t="shared" si="29"/>
        <v>27.014696000000001</v>
      </c>
      <c r="F142" s="116">
        <f t="shared" si="29"/>
        <v>26.667397999999999</v>
      </c>
      <c r="G142" s="116">
        <f t="shared" si="29"/>
        <v>20.951909000000001</v>
      </c>
      <c r="H142" s="116">
        <f t="shared" si="29"/>
        <v>19.852456</v>
      </c>
      <c r="I142" s="116">
        <f t="shared" si="29"/>
        <v>15.933180999999999</v>
      </c>
      <c r="J142" s="116">
        <f t="shared" si="29"/>
        <v>15.284926</v>
      </c>
      <c r="K142" s="116">
        <f t="shared" si="29"/>
        <v>16.368086000000002</v>
      </c>
      <c r="L142" s="116">
        <f t="shared" si="29"/>
        <v>17.767357000000001</v>
      </c>
      <c r="M142" s="116">
        <f t="shared" si="29"/>
        <v>24.172991</v>
      </c>
      <c r="N142" s="116">
        <f t="shared" si="29"/>
        <v>22.410291000000001</v>
      </c>
      <c r="O142" s="134">
        <f t="shared" si="29"/>
        <v>26.954878999999998</v>
      </c>
    </row>
    <row r="143" spans="1:15">
      <c r="A143" s="211"/>
      <c r="B143" s="122" t="s">
        <v>22</v>
      </c>
      <c r="C143" s="116">
        <f>HLOOKUP(C$117,$86:$115,25,FALSE)</f>
        <v>0.70590200000000003</v>
      </c>
      <c r="D143" s="116">
        <f t="shared" ref="D143:O143" si="30">HLOOKUP(D$117,$86:$115,25,FALSE)</f>
        <v>0.78505800000000003</v>
      </c>
      <c r="E143" s="116">
        <f t="shared" si="30"/>
        <v>0.69386000000000003</v>
      </c>
      <c r="F143" s="116">
        <f t="shared" si="30"/>
        <v>0.69097799999999998</v>
      </c>
      <c r="G143" s="116">
        <f t="shared" si="30"/>
        <v>0.64958000000000005</v>
      </c>
      <c r="H143" s="116">
        <f t="shared" si="30"/>
        <v>0.78250799999999998</v>
      </c>
      <c r="I143" s="116">
        <f t="shared" si="30"/>
        <v>0.74310299999999996</v>
      </c>
      <c r="J143" s="116">
        <f t="shared" si="30"/>
        <v>0.75252699999999995</v>
      </c>
      <c r="K143" s="116">
        <f t="shared" si="30"/>
        <v>0.35872300000000001</v>
      </c>
      <c r="L143" s="116">
        <f t="shared" si="30"/>
        <v>0.69978200000000002</v>
      </c>
      <c r="M143" s="116">
        <f t="shared" si="30"/>
        <v>0.79178499999999996</v>
      </c>
      <c r="N143" s="116">
        <f t="shared" si="30"/>
        <v>0.72202100000000002</v>
      </c>
      <c r="O143" s="134">
        <f t="shared" si="30"/>
        <v>0.72256799999999999</v>
      </c>
    </row>
    <row r="144" spans="1:15">
      <c r="A144" s="211"/>
      <c r="B144" s="127" t="s">
        <v>1</v>
      </c>
      <c r="C144" s="128">
        <f>HLOOKUP(C$117,$86:$115,26,FALSE)</f>
        <v>581.11760300000003</v>
      </c>
      <c r="D144" s="128">
        <f t="shared" ref="D144:O144" si="31">HLOOKUP(D$117,$86:$115,26,FALSE)</f>
        <v>602.69766400000003</v>
      </c>
      <c r="E144" s="128">
        <f t="shared" si="31"/>
        <v>679.18143399999997</v>
      </c>
      <c r="F144" s="128">
        <f t="shared" si="31"/>
        <v>712.49772800000005</v>
      </c>
      <c r="G144" s="128">
        <f t="shared" si="31"/>
        <v>684.81878800000004</v>
      </c>
      <c r="H144" s="128">
        <f t="shared" si="31"/>
        <v>674.65658399999995</v>
      </c>
      <c r="I144" s="128">
        <f t="shared" si="31"/>
        <v>651.93384600000002</v>
      </c>
      <c r="J144" s="128">
        <f t="shared" si="31"/>
        <v>665.38469299999997</v>
      </c>
      <c r="K144" s="128">
        <f t="shared" si="31"/>
        <v>647.27388199999996</v>
      </c>
      <c r="L144" s="128">
        <f t="shared" si="31"/>
        <v>575.89432999999997</v>
      </c>
      <c r="M144" s="128">
        <f t="shared" si="31"/>
        <v>639.30901600000004</v>
      </c>
      <c r="N144" s="128">
        <f t="shared" si="31"/>
        <v>614.91146500000002</v>
      </c>
      <c r="O144" s="136">
        <f t="shared" si="31"/>
        <v>624.94450200000006</v>
      </c>
    </row>
    <row r="145" spans="1:26">
      <c r="A145" s="211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2"/>
      <c r="B146" s="137" t="s">
        <v>75</v>
      </c>
      <c r="C146" s="141">
        <f>SUM(C136:C138)</f>
        <v>252.95846800000001</v>
      </c>
      <c r="D146" s="141">
        <f t="shared" ref="D146:O146" si="32">SUM(D136:D138)</f>
        <v>214.832064</v>
      </c>
      <c r="E146" s="141">
        <f t="shared" si="32"/>
        <v>269.88695799999999</v>
      </c>
      <c r="F146" s="141">
        <f t="shared" si="32"/>
        <v>297.66067400000003</v>
      </c>
      <c r="G146" s="141">
        <f t="shared" si="32"/>
        <v>271.16308099999998</v>
      </c>
      <c r="H146" s="141">
        <f t="shared" si="32"/>
        <v>301.03426400000001</v>
      </c>
      <c r="I146" s="141">
        <f t="shared" si="32"/>
        <v>287.12516499999998</v>
      </c>
      <c r="J146" s="141">
        <f t="shared" si="32"/>
        <v>272.274542</v>
      </c>
      <c r="K146" s="141">
        <f t="shared" si="32"/>
        <v>267.49094000000002</v>
      </c>
      <c r="L146" s="141">
        <f t="shared" si="32"/>
        <v>227.675399</v>
      </c>
      <c r="M146" s="141">
        <f t="shared" si="32"/>
        <v>244.02209900000003</v>
      </c>
      <c r="N146" s="141">
        <f t="shared" si="32"/>
        <v>226.89470900000001</v>
      </c>
      <c r="O146" s="142">
        <f t="shared" si="32"/>
        <v>199.21021500000001</v>
      </c>
    </row>
    <row r="149" spans="1:26" ht="15">
      <c r="A149" s="174"/>
      <c r="B149" s="174" t="s">
        <v>68</v>
      </c>
      <c r="C149" s="209" t="s">
        <v>57</v>
      </c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122</v>
      </c>
      <c r="B152" s="176" t="s">
        <v>123</v>
      </c>
      <c r="C152" s="183">
        <v>0.16275000000000001</v>
      </c>
      <c r="D152" s="183">
        <v>-1.5499999999999999E-3</v>
      </c>
      <c r="E152" s="183">
        <v>-2.886E-2</v>
      </c>
      <c r="F152" s="183">
        <v>0.19316</v>
      </c>
      <c r="G152" s="183">
        <v>4.65E-2</v>
      </c>
      <c r="H152" s="183">
        <v>-3.47E-3</v>
      </c>
      <c r="I152" s="183">
        <v>1.553E-2</v>
      </c>
      <c r="J152" s="183">
        <v>3.4439999999999998E-2</v>
      </c>
      <c r="K152" s="183">
        <v>-0.12884999999999999</v>
      </c>
      <c r="L152" s="183">
        <v>-1.75E-3</v>
      </c>
      <c r="M152" s="183">
        <v>-6.0400000000000002E-3</v>
      </c>
      <c r="N152" s="183">
        <v>-0.12106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9" t="s">
        <v>58</v>
      </c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122</v>
      </c>
      <c r="B158" s="176" t="s">
        <v>123</v>
      </c>
      <c r="C158" s="183">
        <v>7.5420000000000001E-2</v>
      </c>
      <c r="D158" s="183">
        <v>1.5900000000000001E-3</v>
      </c>
      <c r="E158" s="183">
        <v>5.9999999999999995E-4</v>
      </c>
      <c r="F158" s="183">
        <v>7.3230000000000003E-2</v>
      </c>
      <c r="G158" s="183">
        <v>-5.2609999999999997E-2</v>
      </c>
      <c r="H158" s="183">
        <v>8.0999999999999996E-4</v>
      </c>
      <c r="I158" s="183">
        <v>2.9999999999999997E-4</v>
      </c>
      <c r="J158" s="183">
        <v>-5.3719999999999997E-2</v>
      </c>
      <c r="K158" s="183">
        <v>-9.0969999999999995E-2</v>
      </c>
      <c r="L158" s="183">
        <v>6.9999999999999999E-4</v>
      </c>
      <c r="M158" s="183">
        <v>1.58E-3</v>
      </c>
      <c r="N158" s="183">
        <v>-9.325E-2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T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47</v>
      </c>
      <c r="E7" s="77"/>
      <c r="F7" s="195" t="str">
        <f>K3</f>
        <v>Mayo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380.42187899999999</v>
      </c>
      <c r="G9" s="164">
        <f>Dat_01!T24*100</f>
        <v>16.274713209999998</v>
      </c>
      <c r="H9" s="83">
        <f>Dat_01!U24/1000</f>
        <v>2001.5601259999999</v>
      </c>
      <c r="I9" s="164">
        <f>Dat_01!W24*100</f>
        <v>4.6501862799999998</v>
      </c>
      <c r="J9" s="83">
        <f>Dat_01!X24/1000</f>
        <v>5030.4535029999997</v>
      </c>
      <c r="K9" s="164">
        <f>Dat_01!Y24*100</f>
        <v>-12.884599090000002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-0.155</v>
      </c>
      <c r="H12" s="103"/>
      <c r="I12" s="103">
        <f>Dat_01!H152*100</f>
        <v>-0.34699999999999998</v>
      </c>
      <c r="J12" s="103"/>
      <c r="K12" s="103">
        <f>Dat_01!L152*100</f>
        <v>-0.17500000000000002</v>
      </c>
    </row>
    <row r="13" spans="3:12">
      <c r="E13" s="85" t="s">
        <v>42</v>
      </c>
      <c r="F13" s="84"/>
      <c r="G13" s="103">
        <f>Dat_01!E152*100</f>
        <v>-2.8860000000000001</v>
      </c>
      <c r="H13" s="103"/>
      <c r="I13" s="103">
        <f>Dat_01!I152*100</f>
        <v>1.5529999999999999</v>
      </c>
      <c r="J13" s="103"/>
      <c r="K13" s="103">
        <f>Dat_01!M152*100</f>
        <v>-0.60399999999999998</v>
      </c>
    </row>
    <row r="14" spans="3:12">
      <c r="E14" s="86" t="s">
        <v>43</v>
      </c>
      <c r="F14" s="87"/>
      <c r="G14" s="104">
        <f>Dat_01!F152*100</f>
        <v>19.315999999999999</v>
      </c>
      <c r="H14" s="104"/>
      <c r="I14" s="104">
        <f>Dat_01!J152*100</f>
        <v>3.444</v>
      </c>
      <c r="J14" s="104"/>
      <c r="K14" s="104">
        <f>Dat_01!N152*100</f>
        <v>-12.106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48</v>
      </c>
      <c r="E7" s="77"/>
      <c r="F7" s="195" t="str">
        <f>K3</f>
        <v>Mayo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624.94450199999994</v>
      </c>
      <c r="G9" s="164">
        <f>Dat_01!AB24*100</f>
        <v>7.5418295299999993</v>
      </c>
      <c r="H9" s="83">
        <f>Dat_01!AC24/1000</f>
        <v>3102.3331949999997</v>
      </c>
      <c r="I9" s="164">
        <f>Dat_01!AE24*100</f>
        <v>-5.2609414799999996</v>
      </c>
      <c r="J9" s="83">
        <f>Dat_01!AF24/1000</f>
        <v>7773.5039319999996</v>
      </c>
      <c r="K9" s="164">
        <f>Dat_01!AG24*100</f>
        <v>-9.0974689899999994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0.159</v>
      </c>
      <c r="H12" s="103"/>
      <c r="I12" s="103">
        <f>Dat_01!H158*100</f>
        <v>8.0999999999999989E-2</v>
      </c>
      <c r="J12" s="103"/>
      <c r="K12" s="103">
        <f>Dat_01!L158*100</f>
        <v>6.9999999999999993E-2</v>
      </c>
    </row>
    <row r="13" spans="3:12">
      <c r="E13" s="85" t="s">
        <v>42</v>
      </c>
      <c r="F13" s="84"/>
      <c r="G13" s="103">
        <f>Dat_01!E158*100</f>
        <v>0.06</v>
      </c>
      <c r="H13" s="103"/>
      <c r="I13" s="103">
        <f>Dat_01!I158*100</f>
        <v>0.03</v>
      </c>
      <c r="J13" s="103"/>
      <c r="K13" s="103">
        <f>Dat_01!M158*100</f>
        <v>0.158</v>
      </c>
    </row>
    <row r="14" spans="3:12">
      <c r="E14" s="86" t="s">
        <v>43</v>
      </c>
      <c r="F14" s="87"/>
      <c r="G14" s="104">
        <f>Dat_01!F158*100</f>
        <v>7.3230000000000004</v>
      </c>
      <c r="H14" s="104"/>
      <c r="I14" s="104">
        <f>Dat_01!J158*100</f>
        <v>-5.3719999999999999</v>
      </c>
      <c r="J14" s="104"/>
      <c r="K14" s="104">
        <f>Dat_01!N158*100</f>
        <v>-9.3249999999999993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129</v>
      </c>
    </row>
    <row r="2" spans="1:2">
      <c r="A2" t="s">
        <v>124</v>
      </c>
    </row>
    <row r="3" spans="1:2">
      <c r="A3" t="s">
        <v>125</v>
      </c>
    </row>
    <row r="4" spans="1:2">
      <c r="A4" t="s">
        <v>127</v>
      </c>
    </row>
    <row r="5" spans="1:2">
      <c r="A5" t="s">
        <v>130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P15" sqref="P15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Mayo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8" t="s">
        <v>18</v>
      </c>
      <c r="E7" s="31"/>
      <c r="F7" s="199" t="s">
        <v>17</v>
      </c>
      <c r="G7" s="200"/>
      <c r="H7" s="199" t="s">
        <v>16</v>
      </c>
      <c r="I7" s="200"/>
      <c r="J7" s="199" t="s">
        <v>15</v>
      </c>
      <c r="K7" s="200"/>
      <c r="L7" s="199" t="s">
        <v>14</v>
      </c>
      <c r="M7" s="200"/>
    </row>
    <row r="8" spans="3:23" s="28" customFormat="1" ht="12.75" customHeight="1">
      <c r="C8" s="198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0.267849</v>
      </c>
      <c r="I9" s="17">
        <f>IF(Dat_01!AB8*100=-100,"-",Dat_01!AB8)</f>
        <v>-7.1461504600000003E-2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3.0854499999999998</v>
      </c>
      <c r="I10" s="17">
        <f>Dat_01!AB15*100</f>
        <v>113.86517576999999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0.189554</v>
      </c>
      <c r="G11" s="17">
        <f>Dat_01!T16*100</f>
        <v>-46.235272090000002</v>
      </c>
      <c r="H11" s="153">
        <f>Dat_01!Z16/1000</f>
        <v>161.61339599999999</v>
      </c>
      <c r="I11" s="17">
        <f>Dat_01!AB16*100</f>
        <v>131.70492633000001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22.187163999999999</v>
      </c>
      <c r="G12" s="17">
        <f>Dat_01!T17*100</f>
        <v>71.871623760000006</v>
      </c>
      <c r="H12" s="153">
        <f>Dat_01!Z17/1000</f>
        <v>26.954879000000002</v>
      </c>
      <c r="I12" s="17">
        <f>Dat_01!AB17*100</f>
        <v>3.4989482600000001</v>
      </c>
      <c r="J12" s="153" t="s">
        <v>3</v>
      </c>
      <c r="K12" s="17" t="s">
        <v>3</v>
      </c>
      <c r="L12" s="153">
        <f>Dat_01!J17/1000</f>
        <v>7.2919999999999999E-3</v>
      </c>
      <c r="M12" s="17">
        <f>IF(Dat_01!L17*100=-100,"-",Dat_01!L17*100)</f>
        <v>-9.0092338400000003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0.11854600000000001</v>
      </c>
      <c r="G13" s="17">
        <f>Dat_01!T18*100</f>
        <v>4874.6537977300004</v>
      </c>
      <c r="H13" s="153">
        <f>Dat_01!Z18/1000</f>
        <v>0.72256799999999999</v>
      </c>
      <c r="I13" s="17">
        <f>IF(Dat_01!AB18*100=-100,"-",Dat_01!AB18)</f>
        <v>2.36095095E-2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6.0236640000000001</v>
      </c>
      <c r="G14" s="17">
        <f>Dat_01!T21*100</f>
        <v>12.264625310000001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0.56199900000000003</v>
      </c>
      <c r="M14" s="17">
        <f>Dat_01!L21*100</f>
        <v>13.739422919999999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28.518927999999999</v>
      </c>
      <c r="G15" s="173">
        <f>((SUM(Dat_01!R8,Dat_01!R15:R18,Dat_01!R20)/SUM(Dat_01!S8,Dat_01!S15:S18,Dat_01!S20))-1)*100</f>
        <v>53.083229305826272</v>
      </c>
      <c r="H15" s="172">
        <f>SUM(H9:H14)</f>
        <v>192.64414199999999</v>
      </c>
      <c r="I15" s="173">
        <f>((SUM(Dat_01!Z8,Dat_01!Z15:Z18,Dat_01!Z20)/SUM(Dat_01!AA8,Dat_01!AA15:AA18,Dat_01!AA20))-1)*100</f>
        <v>96.114669560707512</v>
      </c>
      <c r="J15" s="172" t="s">
        <v>3</v>
      </c>
      <c r="K15" s="173" t="s">
        <v>3</v>
      </c>
      <c r="L15" s="172">
        <f>SUM(L9:L14)</f>
        <v>0.56929099999999999</v>
      </c>
      <c r="M15" s="173">
        <f>((SUM(Dat_01!J8,Dat_01!J15:J18,Dat_01!J21)/SUM(Dat_01!K8,Dat_01!K15:K18,Dat_01!K20))-1)*100</f>
        <v>13.376350510331104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-1.103416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21.292151</v>
      </c>
      <c r="G17" s="24">
        <f>((SUM(Dat_01!R10,Dat_01!R14)/SUM(Dat_01!S10,Dat_01!S14))-1)*100</f>
        <v>5.5096383649590797</v>
      </c>
      <c r="H17" s="154">
        <f>Dat_01!Z10/1000</f>
        <v>122.63170600000001</v>
      </c>
      <c r="I17" s="24">
        <f>Dat_01!AB10*100</f>
        <v>-3.7928733899999996</v>
      </c>
      <c r="J17" s="154">
        <f>Dat_01!B10/1000</f>
        <v>15.508210999999999</v>
      </c>
      <c r="K17" s="24">
        <f>Dat_01!D10*100</f>
        <v>-1.97522171</v>
      </c>
      <c r="L17" s="154">
        <f>Dat_01!J10/1000</f>
        <v>15.223865</v>
      </c>
      <c r="M17" s="24">
        <f>Dat_01!L10*100</f>
        <v>4.4406035800000003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7.7047420000000004</v>
      </c>
      <c r="G18" s="24">
        <f>Dat_01!T11*100</f>
        <v>-19.007644859999999</v>
      </c>
      <c r="H18" s="154">
        <f>Dat_01!Z11/1000</f>
        <v>16.537965</v>
      </c>
      <c r="I18" s="24">
        <f>Dat_01!AB11*100</f>
        <v>75.493852079999996</v>
      </c>
      <c r="J18" s="154">
        <f>Dat_01!B11/1000</f>
        <v>6.9939999999999993E-3</v>
      </c>
      <c r="K18" s="24">
        <f>IF(Dat_01!D11=-100%,"-",Dat_01!D11*100)</f>
        <v>3.3697901300000002</v>
      </c>
      <c r="L18" s="154">
        <f>Dat_01!J11/1000</f>
        <v>1.3540000000000002E-3</v>
      </c>
      <c r="M18" s="24">
        <f>Dat_01!L11*100</f>
        <v>43.128964060000001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60.040544000000004</v>
      </c>
      <c r="I19" s="24">
        <f>Dat_01!AB12*100</f>
        <v>-48.271435990000001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28.996893</v>
      </c>
      <c r="G20" s="17">
        <f>((SUM(Dat_01!R10:R12,Dat_01!R14)/SUM(Dat_01!S10:S12,Dat_01!S14))-1)*100</f>
        <v>-2.3450542489252046</v>
      </c>
      <c r="H20" s="153">
        <f>SUM(H17:H19)</f>
        <v>199.21021500000001</v>
      </c>
      <c r="I20" s="17">
        <f>(H20/(H17/(I17/100+1)+H18/(I18/100+1)+H19/(I19/100+1))-1)*100</f>
        <v>-21.247856780775376</v>
      </c>
      <c r="J20" s="153">
        <f>SUM(J17:J19)</f>
        <v>15.515205</v>
      </c>
      <c r="K20" s="17">
        <f>((SUM(Dat_01!B10:B12)/SUM(Dat_01!C10:C12))-1)*100</f>
        <v>-1.9729368008319148</v>
      </c>
      <c r="L20" s="153">
        <f>SUM(L17:L19)</f>
        <v>15.225218999999999</v>
      </c>
      <c r="M20" s="17">
        <f>(L20/(L17/(M17/100+1)+L18/(M18/100+1))-1)*100</f>
        <v>4.4431142389791622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203.81251600000002</v>
      </c>
      <c r="G21" s="17">
        <f>Dat_01!T13*100</f>
        <v>5.7882992799999995</v>
      </c>
      <c r="H21" s="153">
        <f>Dat_01!Z13/1000</f>
        <v>233.09014499999998</v>
      </c>
      <c r="I21" s="17">
        <f>Dat_01!AB13*100</f>
        <v>1.3749335999999999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2.5715810000000001</v>
      </c>
      <c r="G22" s="17">
        <f>Dat_01!T19*100</f>
        <v>-4.0960493600000003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6.0236640000000001</v>
      </c>
      <c r="G23" s="17">
        <f>Dat_01!T20*100</f>
        <v>12.264625310000001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0.56199900000000003</v>
      </c>
      <c r="M23" s="17">
        <f>Dat_01!L20*100</f>
        <v>13.739422919999999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240.30123800000001</v>
      </c>
      <c r="G24" s="173">
        <f>((SUM(Dat_01!R9:R14,Dat_01!R19,Dat_01!R21)/SUM(Dat_01!S9:S14,Dat_01!S19,Dat_01!S21))-1)*100</f>
        <v>5.1191750902066957</v>
      </c>
      <c r="H24" s="155">
        <f>SUM(H16,H20:H23)</f>
        <v>432.30035999999996</v>
      </c>
      <c r="I24" s="173">
        <f>((SUM(Dat_01!Z9:Z14,Dat_01!Z19,Dat_01!Z21)/SUM(Dat_01!AA9:AA14,Dat_01!AA19,Dat_01!AA21))-1)*100</f>
        <v>-10.475920729693334</v>
      </c>
      <c r="J24" s="155">
        <f>SUM(J16,J20:J23)</f>
        <v>15.515205</v>
      </c>
      <c r="K24" s="173">
        <f>((SUM(Dat_01!B9:B14,Dat_01!B19,Dat_01!B21)/SUM(Dat_01!C9:C14,Dat_01!C19,Dat_01!C21))-1)*100</f>
        <v>-1.9729368008319148</v>
      </c>
      <c r="L24" s="155">
        <f>SUM(L16,L20:L23)</f>
        <v>15.787217999999999</v>
      </c>
      <c r="M24" s="173">
        <f>((SUM(Dat_01!J9:J14,Dat_01!J19,Dat_01!J21)/SUM(Dat_01!K9:K14,Dat_01!K19,Dat_01!K21))-1)*100</f>
        <v>4.7478859956392228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111.601713</v>
      </c>
      <c r="G25" s="14">
        <f>Dat_01!T23*100</f>
        <v>39.595453829999997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380.42187899999999</v>
      </c>
      <c r="G26" s="11">
        <f>Dat_01!T24*100</f>
        <v>16.274713209999998</v>
      </c>
      <c r="H26" s="157">
        <f>Dat_01!Z24/1000</f>
        <v>624.94450199999994</v>
      </c>
      <c r="I26" s="11">
        <f>Dat_01!AB24*100</f>
        <v>7.5418295299999993</v>
      </c>
      <c r="J26" s="157">
        <f>Dat_01!B24/1000</f>
        <v>15.515205</v>
      </c>
      <c r="K26" s="11">
        <f>Dat_01!D24*100</f>
        <v>-1.9729368</v>
      </c>
      <c r="L26" s="157">
        <f>Dat_01!J24/1000</f>
        <v>16.356508999999999</v>
      </c>
      <c r="M26" s="11">
        <f>Dat_01!L24*100</f>
        <v>5.0260826600000001</v>
      </c>
      <c r="N26" s="10"/>
      <c r="O26" s="10"/>
    </row>
    <row r="27" spans="3:23" s="2" customFormat="1" ht="16.350000000000001" customHeight="1">
      <c r="C27" s="13"/>
      <c r="E27" s="203" t="s">
        <v>56</v>
      </c>
      <c r="F27" s="203"/>
      <c r="G27" s="203"/>
      <c r="H27" s="203"/>
      <c r="I27" s="203"/>
      <c r="J27" s="203"/>
      <c r="K27" s="203"/>
      <c r="L27" s="170"/>
      <c r="M27" s="171"/>
      <c r="N27" s="10"/>
      <c r="O27" s="10"/>
    </row>
    <row r="28" spans="3:23" s="2" customFormat="1" ht="34.5" customHeight="1">
      <c r="C28" s="13"/>
      <c r="E28" s="204" t="s">
        <v>108</v>
      </c>
      <c r="F28" s="204"/>
      <c r="G28" s="204"/>
      <c r="H28" s="204"/>
      <c r="I28" s="204"/>
      <c r="J28" s="204"/>
      <c r="K28" s="204"/>
      <c r="L28" s="204"/>
      <c r="M28" s="204"/>
      <c r="N28" s="10"/>
      <c r="O28" s="10"/>
    </row>
    <row r="29" spans="3:23" s="2" customFormat="1" ht="12.75" customHeight="1">
      <c r="C29" s="8"/>
      <c r="D29" s="8"/>
      <c r="E29" s="202" t="s">
        <v>0</v>
      </c>
      <c r="F29" s="202"/>
      <c r="G29" s="202"/>
      <c r="H29" s="202"/>
      <c r="I29" s="202"/>
      <c r="J29" s="202"/>
      <c r="K29" s="202"/>
      <c r="L29" s="202"/>
      <c r="M29" s="202"/>
      <c r="O29" s="9"/>
    </row>
    <row r="30" spans="3:23" s="7" customFormat="1" ht="12.75" customHeight="1">
      <c r="E30" s="201" t="s">
        <v>82</v>
      </c>
      <c r="F30" s="201"/>
      <c r="G30" s="201"/>
      <c r="H30" s="201"/>
      <c r="I30" s="201"/>
      <c r="J30" s="201"/>
      <c r="K30" s="201"/>
      <c r="L30" s="201"/>
      <c r="M30" s="201"/>
    </row>
    <row r="31" spans="3:23" s="2" customFormat="1" ht="12.75" customHeight="1">
      <c r="C31" s="8"/>
      <c r="D31" s="8"/>
      <c r="E31" s="201" t="s">
        <v>85</v>
      </c>
      <c r="F31" s="201"/>
      <c r="G31" s="201"/>
      <c r="H31" s="201"/>
      <c r="I31" s="201"/>
      <c r="J31" s="201"/>
      <c r="K31" s="201"/>
      <c r="L31" s="201"/>
      <c r="M31" s="201"/>
    </row>
    <row r="32" spans="3:23" ht="12.75" customHeight="1">
      <c r="C32" s="1"/>
      <c r="D32" s="1"/>
      <c r="E32" s="201" t="s">
        <v>86</v>
      </c>
      <c r="F32" s="201"/>
      <c r="G32" s="201"/>
      <c r="H32" s="201"/>
      <c r="I32" s="201"/>
      <c r="J32" s="201"/>
      <c r="K32" s="201"/>
      <c r="L32" s="201"/>
      <c r="M32" s="201"/>
    </row>
    <row r="33" spans="3:13" ht="12.75" customHeight="1">
      <c r="C33" s="1"/>
      <c r="D33" s="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 I20" formula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31" sqref="H31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31</v>
      </c>
      <c r="D7" s="44"/>
      <c r="E7" s="48"/>
    </row>
    <row r="8" spans="2:12" s="38" customFormat="1" ht="12.75" customHeight="1">
      <c r="B8" s="46"/>
      <c r="C8" s="205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5" t="s">
        <v>28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32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31" sqref="J31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35</v>
      </c>
      <c r="D7" s="44"/>
      <c r="E7" s="48"/>
    </row>
    <row r="8" spans="2:12" s="38" customFormat="1" ht="12.75" customHeight="1">
      <c r="B8" s="46"/>
      <c r="C8" s="205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5" t="s">
        <v>49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36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2016-11-17T11:02:48Z</dcterms:created>
  <dcterms:modified xsi:type="dcterms:W3CDTF">2021-06-14T12:37:41Z</dcterms:modified>
</cp:coreProperties>
</file>