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2\MAR\INF_ELABORADA\"/>
    </mc:Choice>
  </mc:AlternateContent>
  <xr:revisionPtr revIDLastSave="0" documentId="8_{2C0A08C3-65D1-413F-9B0D-EDC6643CE5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Dat_01!$A$85:$R$112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<sst xmlns="http://schemas.openxmlformats.org/spreadsheetml/2006/main" count="423" uniqueCount="129">
  <si>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</si>
  <si>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</si>
  <si>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</si>
  <si>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</si>
  <si>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</si>
  <si>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</si>
  <si>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</si>
  <si>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</si>
  <si>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</si>
  <si>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</si>
  <si>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</si>
  <si>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</si>
  <si>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</si>
  <si>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</si>
  <si>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</si>
  <si>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</si>
  <si>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</si>
  <si>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</si>
  <si>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</si>
  <si>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</si>
  <si>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</si>
  <si>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</si>
  <si>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</si>
  <si>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</si>
  <si>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</si>
  <si>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</si>
  <si>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</si>
  <si>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</si>
  <si>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</si>
  <si>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</si>
  <si>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</si>
  <si>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</si>
  <si>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</si>
  <si>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</si>
  <si>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</si>
  <si>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</si>
  <si>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</si>
  <si>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</si>
  <si>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</si>
  <si>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</si>
  <si>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</si>
  <si>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</si>
  <si>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</si>
  <si>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</si>
  <si>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</si>
  <si>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</si>
  <si>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</si>
  <si>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</si>
  <si>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</si>
  <si>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</si>
  <si>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</si>
  <si>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</si>
  <si>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</si>
  <si>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</si>
  <si>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</si>
  <si>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</si>
  <si>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</si>
  <si>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</si>
  <si>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</si>
  <si>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</si>
  <si>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</si>
  <si>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</si>
  <si>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</si>
  <si>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</si>
  <si>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</si>
  <si>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</si>
  <si>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</si>
  <si>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</si>
  <si>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</si>
  <si>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</si>
  <si>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</si>
  <si>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</si>
  <si>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</si>
  <si>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</si>
  <si>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</si>
  <si>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</si>
  <si>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</si>
  <si>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</si>
  <si>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</si>
  <si>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</si>
  <si>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</si>
  <si>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</si>
  <si>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</si>
  <si>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</si>
  <si>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</si>
  <si>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</si>
  <si>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</si>
  <si>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</si>
  <si>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</si>
  <si>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</si>
  <si>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</si>
  <si>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</si>
  <si>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</si>
  <si>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</si>
  <si>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</si>
  <si>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</si>
  <si>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</si>
  <si>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</si>
  <si>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</si>
  <si>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</si>
  <si>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</si>
  <si>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</si>
  <si>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</si>
  <si>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</si>
  <si>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</si>
  <si>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</si>
  <si>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</si>
  <si>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</si>
  <si>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</si>
  <si>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</si>
  <si>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</si>
  <si>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</si>
  <si>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</si>
  <si>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</si>
  <si>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</si>
  <si>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</si>
  <si>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</si>
  <si>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</si>
  <si>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</si>
  <si>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</si>
  <si>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</si>
  <si>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31/03/2022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</si>
  <si>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ut="04/11/2022 07:42:41"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msgID="F3BC806C11ECB96AB5F20080EFD5C058"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</si>
  <si>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ut="04/11/2022 07:46:53"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msgID="FE51EFD111ECB96AB5F20080EF55BF57"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nrr="1020" nrc="1920"&gt;&lt;pg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</si>
  <si>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Abril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</si>
  <si>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ut="04/11/2022 07:52:54" si="2.00000001205867173bb709f732705a7b59dd73e27edbe7d8465962115b9571c92868034b2c27d0fc7e1c0835da0e868dd736f1f0e4fec7a0564cef370df1a029db8e2a174eaa3ad5cac86631c78f60a30b41a0416745b65ca5ef969c028e0544f3cccf40cefb9e6fbca23a2216db711cd91f0397a4588eb194cd95d1c61c26e805321b1b49e1f1d84471309691618aed6db39ff3d9d2c2c71fb85ca07c0695e44e45.p.3082.0.1.Europe/Madrid.upriv*_1*_pidn2*_21*_session*-lat*_1.000000017dda04ee59fb81d845243c8849dcb842bc6025e0cd82bfdfb6aa37e455877272ffc97401ef339b21f8764badefaed83ee10e48b8.00000001381e7d89534a926b7a211432f952eddebc6025e016758bec91c771e05e62d4f3a0c2440ce820ca56b6ebb39a203ac475665288fd.0.1.1.BDEbi.D066E1C611E6257C10D00080EF253B44.0-3082.1.1_-0.1.0_-3082.1.1_5.5.0.*0.00000001aefb38eae2809422e309758a6e45bfadc911585a032bd41de7b0769aa6cfb01357b4a6ee.0.23.11*.2*.0400*.31152J.e.0000000149016d2e9c3a8f23ec39c66a3fcc2468c911585ab4d5ba13ebb82dd008a08e4ac5ab94a6.0.10*.131*.122*.122.0.0" msgID="093F32F811ECB96CB5F20080EFC59F56"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cols="18" /&gt;&lt;esdo ews="" ece="" ptn="" /&gt;&lt;/excel&gt;&lt;pgs&gt;&lt;pg rows="25" cols="16" nrr="1452" nrc="1134"&gt;&lt;pg /&gt;&lt;bls&gt;&lt;bl sr="1" sc="1" rfetch="25" cfetch="16" posid="1" darows="0" dacols="1"&gt;&lt;excel&gt;&lt;epo ews="Dat_01" ece="A85" enr="MSTR.Serie_Balance_B.C._Mensual_Baleares_y_Canarias" ptn="" qtn="" rows="28" cols="18" /&gt;&lt;esdo ews="" ece="" ptn="" /&gt;&lt;/excel&gt;&lt;gridRng&gt;&lt;sect id="TITLE_AREA" rngprop="1:1:3:2" /&gt;&lt;sect id="ROWHEADERS_AREA" rngprop="4:1:25:2" /&gt;&lt;sect id="COLUMNHEADERS_AREA" rngprop="1:3:3:16" /&gt;&lt;sect id="DATA_AREA" rngprop="4:3:25:16"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</si>
  <si>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ut="04/11/2022 07:55:58" si="2.00000001106e70ac48847ca706f55b6b65615d38447e3c065954802ae41b439209e29a94d7f5e10bf3a9b3651c85f22c0e6226a2381798e00fee0f615d347df389787700a7398ecb26faa7d5c80c355c10f2b2de0821bc57657c4cec81d763929354930c002942b112faf0dd850bab19848a803d774ef8b720bb0e60086911c425828bd1cec4ca96fb2109b55e0cc8f2efb10311f2bca7892b0a9501bfc7129e5ee1.p.3082.0.1.Europe/Madrid.upriv*_1*_pidn2*_57*_session*-lat*_1.00000001d51459b8e9e8e69c3c7e97bd05820f67bc6025e0de67ccf900d7d03c6578f46d985cd4d194bb7bee6e0d9bae908bb3976c26a627.0000000146dec2113c2bef4695669fcc16cc2b9fbc6025e0cf79ee3a97edb1418d7ac7e9f4d4562938cc2759b22d0b1c33552245ef737b66.0.1.1.BDEbi.D066E1C611E6257C10D00080EF253B44.0-3082.1.1_-0.1.0_-3082.1.1_5.5.0.*0.000000015582368fab3025369b476f3830615284c911585a196b488115774a1663c1f29306b4246e.0.23.11*.2*.0400*.31152J.e.0000000105d9eb505583f2c60e89b325cd4b8eecc911585ae696b88db628ce9b4e222d25bb41a30f.0.10*.131*.122*.122.0.0" msgID="CBDF99BB11ECB96C310D0080EF257ABB"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nrr="87" nrc="480"&gt;&lt;pg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</si>
  <si>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01b79d383e334822b3b5d52cf17638dc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</si>
  <si>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ut="04/11/2022 07:56:51" si="2.00000001106e70ac48847ca706f55b6b65615d38447e3c065954802ae41b439209e29a94d7f5e10bf3a9b3651c85f22c0e6226a2381798e00fee0f615d347df389787700a7398ecb26faa7d5c80c355c10f2b2de0821bc57657c4cec81d763929354930c002942b112faf0dd850bab19848a803d774ef8b720bb0e60086911c425828bd1cec4ca96fb2109b55e0cc8f2efb10311f2bca7892b0a9501bfc7129e5ee1.p.3082.0.1.Europe/Madrid.upriv*_1*_pidn2*_57*_session*-lat*_1.00000001d51459b8e9e8e69c3c7e97bd05820f67bc6025e0de67ccf900d7d03c6578f46d985cd4d194bb7bee6e0d9bae908bb3976c26a627.0000000146dec2113c2bef4695669fcc16cc2b9fbc6025e0cf79ee3a97edb1418d7ac7e9f4d4562938cc2759b22d0b1c33552245ef737b66.0.1.1.BDEbi.D066E1C611E6257C10D00080EF253B44.0-3082.1.1_-0.1.0_-3082.1.1_5.5.0.*0.000000015582368fab3025369b476f3830615284c911585a196b488115774a1663c1f29306b4246e.0.23.11*.2*.0400*.31152J.e.0000000105d9eb505583f2c60e89b325cd4b8eecc911585ae696b88db628ce9b4e222d25bb41a30f.0.10*.131*.122*.122.0.0" msgID="EC0DCB8111ECB96C310D0080EF45BABC"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nrr="41" nrc="504"&gt;&lt;pg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</si>
</sst>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2113821138211381"/>
                  <c:y val="5.86220472440944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0.102287598425196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1396671147813843"/>
                  <c:y val="8.92157480314960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4.9557665585919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5.8536585365853717E-2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951219512195122"/>
                  <c:y val="-0.101475984251968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4.8780487804877933E-2"/>
                  <c:y val="-0.153086614173228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5691056910569093"/>
                  <c:y val="-9.799212598425196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6.018059115686321</c:v>
                </c:pt>
                <c:pt idx="2">
                  <c:v>3.7493688813722259</c:v>
                </c:pt>
                <c:pt idx="3">
                  <c:v>74.808583980870893</c:v>
                </c:pt>
                <c:pt idx="4">
                  <c:v>0</c:v>
                </c:pt>
                <c:pt idx="5">
                  <c:v>0.90250783061269402</c:v>
                </c:pt>
                <c:pt idx="6">
                  <c:v>2.184016135843863</c:v>
                </c:pt>
                <c:pt idx="7">
                  <c:v>2.184016135843863</c:v>
                </c:pt>
                <c:pt idx="8">
                  <c:v>7.6495666224208017E-2</c:v>
                </c:pt>
                <c:pt idx="9">
                  <c:v>3.0750285975045517</c:v>
                </c:pt>
                <c:pt idx="10">
                  <c:v>6.5810094506976058E-2</c:v>
                </c:pt>
                <c:pt idx="11">
                  <c:v>6.9361135615343894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27970117246373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11.748582010812333</c:v>
                </c:pt>
                <c:pt idx="1">
                  <c:v>6.7900179614727998</c:v>
                </c:pt>
                <c:pt idx="2">
                  <c:v>29.37632591509502</c:v>
                </c:pt>
                <c:pt idx="3">
                  <c:v>40.082537880171934</c:v>
                </c:pt>
                <c:pt idx="4">
                  <c:v>0</c:v>
                </c:pt>
                <c:pt idx="5">
                  <c:v>0.56127243163594742</c:v>
                </c:pt>
                <c:pt idx="6">
                  <c:v>1.8217121360048976</c:v>
                </c:pt>
                <c:pt idx="7">
                  <c:v>1.8217121360048976</c:v>
                </c:pt>
                <c:pt idx="8">
                  <c:v>0.17571728691544566</c:v>
                </c:pt>
                <c:pt idx="9">
                  <c:v>7.5183723261196045</c:v>
                </c:pt>
                <c:pt idx="10">
                  <c:v>0.10374991576712383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-0.651559</c:v>
                </c:pt>
                <c:pt idx="1">
                  <c:v>-0.59136100000000003</c:v>
                </c:pt>
                <c:pt idx="2">
                  <c:v>-1.103416</c:v>
                </c:pt>
                <c:pt idx="3">
                  <c:v>41.953423999999998</c:v>
                </c:pt>
                <c:pt idx="4">
                  <c:v>9.292719</c:v>
                </c:pt>
                <c:pt idx="5">
                  <c:v>-0.72875599999999996</c:v>
                </c:pt>
                <c:pt idx="6">
                  <c:v>-0.54997399999999996</c:v>
                </c:pt>
                <c:pt idx="7">
                  <c:v>-0.58327700000000005</c:v>
                </c:pt>
                <c:pt idx="8">
                  <c:v>-0.582067</c:v>
                </c:pt>
                <c:pt idx="9">
                  <c:v>-0.61424800000000002</c:v>
                </c:pt>
                <c:pt idx="10">
                  <c:v>-0.627467</c:v>
                </c:pt>
                <c:pt idx="11">
                  <c:v>-0.58012699999999995</c:v>
                </c:pt>
                <c:pt idx="12">
                  <c:v>-0.66887300000000005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27.374068000000001</c:v>
                </c:pt>
                <c:pt idx="1">
                  <c:v>26.434747999999999</c:v>
                </c:pt>
                <c:pt idx="2">
                  <c:v>28.996893</c:v>
                </c:pt>
                <c:pt idx="3">
                  <c:v>60.343260999999998</c:v>
                </c:pt>
                <c:pt idx="4">
                  <c:v>87.100239000000002</c:v>
                </c:pt>
                <c:pt idx="5">
                  <c:v>103.041223</c:v>
                </c:pt>
                <c:pt idx="6">
                  <c:v>93.585977999999997</c:v>
                </c:pt>
                <c:pt idx="7">
                  <c:v>60.567518999999997</c:v>
                </c:pt>
                <c:pt idx="8">
                  <c:v>37.046178999999995</c:v>
                </c:pt>
                <c:pt idx="9">
                  <c:v>38.331002999999995</c:v>
                </c:pt>
                <c:pt idx="10">
                  <c:v>46.216700000000003</c:v>
                </c:pt>
                <c:pt idx="11">
                  <c:v>39.300246999999999</c:v>
                </c:pt>
                <c:pt idx="12">
                  <c:v>43.216614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217.47864799999999</c:v>
                </c:pt>
                <c:pt idx="1">
                  <c:v>208.53059300000001</c:v>
                </c:pt>
                <c:pt idx="2">
                  <c:v>203.81251599999999</c:v>
                </c:pt>
                <c:pt idx="3">
                  <c:v>240.58060900000001</c:v>
                </c:pt>
                <c:pt idx="4">
                  <c:v>408.79444899999999</c:v>
                </c:pt>
                <c:pt idx="5">
                  <c:v>437.91378300000002</c:v>
                </c:pt>
                <c:pt idx="6">
                  <c:v>367.24080800000002</c:v>
                </c:pt>
                <c:pt idx="7">
                  <c:v>312.10340600000001</c:v>
                </c:pt>
                <c:pt idx="8">
                  <c:v>305.43751500000002</c:v>
                </c:pt>
                <c:pt idx="9">
                  <c:v>332.59120100000001</c:v>
                </c:pt>
                <c:pt idx="10">
                  <c:v>350.08292499999999</c:v>
                </c:pt>
                <c:pt idx="11">
                  <c:v>298.61759000000001</c:v>
                </c:pt>
                <c:pt idx="12">
                  <c:v>330.99539600000003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0.30611500000000003</c:v>
                </c:pt>
                <c:pt idx="1">
                  <c:v>0.29466900000000001</c:v>
                </c:pt>
                <c:pt idx="2">
                  <c:v>0.189554</c:v>
                </c:pt>
                <c:pt idx="3">
                  <c:v>9.4216999999999995E-2</c:v>
                </c:pt>
                <c:pt idx="4">
                  <c:v>0.106017</c:v>
                </c:pt>
                <c:pt idx="5">
                  <c:v>0.20128099999999999</c:v>
                </c:pt>
                <c:pt idx="6">
                  <c:v>0.27444800000000003</c:v>
                </c:pt>
                <c:pt idx="7">
                  <c:v>0.26974799999999999</c:v>
                </c:pt>
                <c:pt idx="8">
                  <c:v>6.1364000000000002E-2</c:v>
                </c:pt>
                <c:pt idx="9">
                  <c:v>0.10125000000000001</c:v>
                </c:pt>
                <c:pt idx="10">
                  <c:v>0.215638</c:v>
                </c:pt>
                <c:pt idx="11">
                  <c:v>0.22824</c:v>
                </c:pt>
                <c:pt idx="12">
                  <c:v>0.33845999999999998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13.295218999999999</c:v>
                </c:pt>
                <c:pt idx="1">
                  <c:v>14.71546</c:v>
                </c:pt>
                <c:pt idx="2">
                  <c:v>22.208131999999999</c:v>
                </c:pt>
                <c:pt idx="3">
                  <c:v>21.169694</c:v>
                </c:pt>
                <c:pt idx="4">
                  <c:v>22.966384000000001</c:v>
                </c:pt>
                <c:pt idx="5">
                  <c:v>21.414781000000001</c:v>
                </c:pt>
                <c:pt idx="6">
                  <c:v>17.622215000000001</c:v>
                </c:pt>
                <c:pt idx="7">
                  <c:v>16.792960999999998</c:v>
                </c:pt>
                <c:pt idx="8">
                  <c:v>8.8102359999999997</c:v>
                </c:pt>
                <c:pt idx="9">
                  <c:v>11.149039999999999</c:v>
                </c:pt>
                <c:pt idx="10">
                  <c:v>13.971553</c:v>
                </c:pt>
                <c:pt idx="11">
                  <c:v>17.801418000000002</c:v>
                </c:pt>
                <c:pt idx="12">
                  <c:v>13.605662000000001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0.13778699999999999</c:v>
                </c:pt>
                <c:pt idx="1">
                  <c:v>0.10574</c:v>
                </c:pt>
                <c:pt idx="2">
                  <c:v>0.118546</c:v>
                </c:pt>
                <c:pt idx="3">
                  <c:v>0.10044400000000001</c:v>
                </c:pt>
                <c:pt idx="4">
                  <c:v>9.6151E-2</c:v>
                </c:pt>
                <c:pt idx="5">
                  <c:v>8.4413000000000002E-2</c:v>
                </c:pt>
                <c:pt idx="6">
                  <c:v>8.1381999999999996E-2</c:v>
                </c:pt>
                <c:pt idx="7">
                  <c:v>0.243059</c:v>
                </c:pt>
                <c:pt idx="8">
                  <c:v>0.24007600000000001</c:v>
                </c:pt>
                <c:pt idx="9">
                  <c:v>0.230462</c:v>
                </c:pt>
                <c:pt idx="10">
                  <c:v>0.285244</c:v>
                </c:pt>
                <c:pt idx="11">
                  <c:v>0.28095199999999998</c:v>
                </c:pt>
                <c:pt idx="12">
                  <c:v>0.29118100000000002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3.9954990000000001</c:v>
                </c:pt>
                <c:pt idx="1">
                  <c:v>3.2208809999999999</c:v>
                </c:pt>
                <c:pt idx="2">
                  <c:v>2.5715810000000001</c:v>
                </c:pt>
                <c:pt idx="3">
                  <c:v>3.062163</c:v>
                </c:pt>
                <c:pt idx="4">
                  <c:v>4.0856940000000002</c:v>
                </c:pt>
                <c:pt idx="5">
                  <c:v>3.9309270000000001</c:v>
                </c:pt>
                <c:pt idx="6">
                  <c:v>3.8190279999999999</c:v>
                </c:pt>
                <c:pt idx="7">
                  <c:v>4.0205719999999996</c:v>
                </c:pt>
                <c:pt idx="8">
                  <c:v>1.4121680000000001</c:v>
                </c:pt>
                <c:pt idx="9">
                  <c:v>3.5189080000000001</c:v>
                </c:pt>
                <c:pt idx="10">
                  <c:v>3.4010050000000001</c:v>
                </c:pt>
                <c:pt idx="11">
                  <c:v>3.0684070000000001</c:v>
                </c:pt>
                <c:pt idx="12">
                  <c:v>3.993204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10.093087499999999</c:v>
                </c:pt>
                <c:pt idx="1">
                  <c:v>7.5393055000000002</c:v>
                </c:pt>
                <c:pt idx="2">
                  <c:v>6.0236640000000001</c:v>
                </c:pt>
                <c:pt idx="3">
                  <c:v>13.481942</c:v>
                </c:pt>
                <c:pt idx="4">
                  <c:v>11.473026000000001</c:v>
                </c:pt>
                <c:pt idx="5">
                  <c:v>13.3199895</c:v>
                </c:pt>
                <c:pt idx="6">
                  <c:v>11.972504499999999</c:v>
                </c:pt>
                <c:pt idx="7">
                  <c:v>6.4146000000000001</c:v>
                </c:pt>
                <c:pt idx="8">
                  <c:v>13.8683715</c:v>
                </c:pt>
                <c:pt idx="9">
                  <c:v>8.8660929999999993</c:v>
                </c:pt>
                <c:pt idx="10">
                  <c:v>9.8711500000000001</c:v>
                </c:pt>
                <c:pt idx="11">
                  <c:v>5.4414375000000001</c:v>
                </c:pt>
                <c:pt idx="12">
                  <c:v>9.6633200000000006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10.093087499999999</c:v>
                </c:pt>
                <c:pt idx="1">
                  <c:v>7.5393055000000002</c:v>
                </c:pt>
                <c:pt idx="2">
                  <c:v>6.0236640000000001</c:v>
                </c:pt>
                <c:pt idx="3">
                  <c:v>13.481942</c:v>
                </c:pt>
                <c:pt idx="4">
                  <c:v>11.473026000000001</c:v>
                </c:pt>
                <c:pt idx="5">
                  <c:v>13.3199895</c:v>
                </c:pt>
                <c:pt idx="6">
                  <c:v>11.972504499999999</c:v>
                </c:pt>
                <c:pt idx="7">
                  <c:v>6.4146000000000001</c:v>
                </c:pt>
                <c:pt idx="8">
                  <c:v>13.8683715</c:v>
                </c:pt>
                <c:pt idx="9">
                  <c:v>8.8660929999999993</c:v>
                </c:pt>
                <c:pt idx="10">
                  <c:v>9.8711500000000001</c:v>
                </c:pt>
                <c:pt idx="11">
                  <c:v>5.4414375000000001</c:v>
                </c:pt>
                <c:pt idx="12">
                  <c:v>9.6633200000000006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127.985573</c:v>
                </c:pt>
                <c:pt idx="1">
                  <c:v>111.02179700000001</c:v>
                </c:pt>
                <c:pt idx="2">
                  <c:v>111.601713</c:v>
                </c:pt>
                <c:pt idx="3">
                  <c:v>65.429468</c:v>
                </c:pt>
                <c:pt idx="4">
                  <c:v>45.879221000000001</c:v>
                </c:pt>
                <c:pt idx="5">
                  <c:v>40.107311000000003</c:v>
                </c:pt>
                <c:pt idx="6">
                  <c:v>37.549396999999999</c:v>
                </c:pt>
                <c:pt idx="7">
                  <c:v>38.285525</c:v>
                </c:pt>
                <c:pt idx="8">
                  <c:v>28.435708999999999</c:v>
                </c:pt>
                <c:pt idx="9">
                  <c:v>32.270831999999999</c:v>
                </c:pt>
                <c:pt idx="10">
                  <c:v>31.159338999999999</c:v>
                </c:pt>
                <c:pt idx="11">
                  <c:v>27.502502</c:v>
                </c:pt>
                <c:pt idx="12">
                  <c:v>30.689281000000001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15.380690000734262</c:v>
                </c:pt>
                <c:pt idx="1">
                  <c:v>16.42501500673113</c:v>
                </c:pt>
                <c:pt idx="2">
                  <c:v>15.222984623809335</c:v>
                </c:pt>
                <c:pt idx="3">
                  <c:v>27.295646638166332</c:v>
                </c:pt>
                <c:pt idx="4">
                  <c:v>1.204869079706441</c:v>
                </c:pt>
                <c:pt idx="5">
                  <c:v>4.7942434585177753E-2</c:v>
                </c:pt>
                <c:pt idx="6">
                  <c:v>0.35704497335803431</c:v>
                </c:pt>
                <c:pt idx="7">
                  <c:v>17.654013009107082</c:v>
                </c:pt>
                <c:pt idx="8">
                  <c:v>6.2952184191793119</c:v>
                </c:pt>
                <c:pt idx="9">
                  <c:v>0.11657581462290591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9.5935087382369916E-2"/>
                  <c:y val="-0.134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7580905511811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934946546315845"/>
                  <c:y val="-0.14284333024548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20.927946507451136</c:v>
                </c:pt>
                <c:pt idx="1">
                  <c:v>3.1309543243836466</c:v>
                </c:pt>
                <c:pt idx="2">
                  <c:v>16.083692627071731</c:v>
                </c:pt>
                <c:pt idx="3">
                  <c:v>40.568505972199432</c:v>
                </c:pt>
                <c:pt idx="4">
                  <c:v>0</c:v>
                </c:pt>
                <c:pt idx="5">
                  <c:v>4.1683276224576134E-2</c:v>
                </c:pt>
                <c:pt idx="6">
                  <c:v>0.29898230690132227</c:v>
                </c:pt>
                <c:pt idx="7">
                  <c:v>15.325356105406328</c:v>
                </c:pt>
                <c:pt idx="8">
                  <c:v>3.4949457027400253</c:v>
                </c:pt>
                <c:pt idx="9">
                  <c:v>0.12793317762180378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0.28226499999999999</c:v>
                </c:pt>
                <c:pt idx="1">
                  <c:v>0.13780600000000001</c:v>
                </c:pt>
                <c:pt idx="2">
                  <c:v>0.26783600000000002</c:v>
                </c:pt>
                <c:pt idx="3">
                  <c:v>0.28217700000000001</c:v>
                </c:pt>
                <c:pt idx="4">
                  <c:v>0.28972599999999998</c:v>
                </c:pt>
                <c:pt idx="5">
                  <c:v>0.28065899999999999</c:v>
                </c:pt>
                <c:pt idx="6">
                  <c:v>0.27753299999999997</c:v>
                </c:pt>
                <c:pt idx="7">
                  <c:v>0.28213100000000002</c:v>
                </c:pt>
                <c:pt idx="8">
                  <c:v>0.23125799999999999</c:v>
                </c:pt>
                <c:pt idx="9">
                  <c:v>0.15536</c:v>
                </c:pt>
                <c:pt idx="10">
                  <c:v>0.294213</c:v>
                </c:pt>
                <c:pt idx="11">
                  <c:v>0.25058200000000003</c:v>
                </c:pt>
                <c:pt idx="12">
                  <c:v>0.29644599999999999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244.02209900000003</c:v>
                </c:pt>
                <c:pt idx="1">
                  <c:v>226.89470900000001</c:v>
                </c:pt>
                <c:pt idx="2">
                  <c:v>205.95798300000001</c:v>
                </c:pt>
                <c:pt idx="3">
                  <c:v>182.213075</c:v>
                </c:pt>
                <c:pt idx="4">
                  <c:v>222.63896800000001</c:v>
                </c:pt>
                <c:pt idx="5">
                  <c:v>266.148821</c:v>
                </c:pt>
                <c:pt idx="6">
                  <c:v>313.81515200000001</c:v>
                </c:pt>
                <c:pt idx="7">
                  <c:v>299.91658699999999</c:v>
                </c:pt>
                <c:pt idx="8">
                  <c:v>280.34116800000004</c:v>
                </c:pt>
                <c:pt idx="9">
                  <c:v>286.85584700000004</c:v>
                </c:pt>
                <c:pt idx="10">
                  <c:v>282.52258499999999</c:v>
                </c:pt>
                <c:pt idx="11">
                  <c:v>254.215059</c:v>
                </c:pt>
                <c:pt idx="12">
                  <c:v>285.48886599999997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284.19602200000003</c:v>
                </c:pt>
                <c:pt idx="1">
                  <c:v>311.21022299999998</c:v>
                </c:pt>
                <c:pt idx="2">
                  <c:v>236.28277700000001</c:v>
                </c:pt>
                <c:pt idx="3">
                  <c:v>276.61590899999999</c:v>
                </c:pt>
                <c:pt idx="4">
                  <c:v>284.60979800000001</c:v>
                </c:pt>
                <c:pt idx="5">
                  <c:v>284.30052499999999</c:v>
                </c:pt>
                <c:pt idx="6">
                  <c:v>278.88830000000002</c:v>
                </c:pt>
                <c:pt idx="7">
                  <c:v>288.42916700000001</c:v>
                </c:pt>
                <c:pt idx="8">
                  <c:v>314.272829</c:v>
                </c:pt>
                <c:pt idx="9">
                  <c:v>321.01253800000001</c:v>
                </c:pt>
                <c:pt idx="10">
                  <c:v>350.31383599999998</c:v>
                </c:pt>
                <c:pt idx="11">
                  <c:v>285.33313399999997</c:v>
                </c:pt>
                <c:pt idx="12">
                  <c:v>288.5179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1.921443</c:v>
                </c:pt>
                <c:pt idx="1">
                  <c:v>0.83590799999999998</c:v>
                </c:pt>
                <c:pt idx="2">
                  <c:v>3.227077</c:v>
                </c:pt>
                <c:pt idx="3">
                  <c:v>3.0020419999999999</c:v>
                </c:pt>
                <c:pt idx="4">
                  <c:v>3.5782180000000001</c:v>
                </c:pt>
                <c:pt idx="5">
                  <c:v>2.663478</c:v>
                </c:pt>
                <c:pt idx="6">
                  <c:v>1.4201079999999999</c:v>
                </c:pt>
                <c:pt idx="7">
                  <c:v>1.852679</c:v>
                </c:pt>
                <c:pt idx="8">
                  <c:v>1.1397900000000001</c:v>
                </c:pt>
                <c:pt idx="9">
                  <c:v>1.2278610000000001</c:v>
                </c:pt>
                <c:pt idx="10">
                  <c:v>1.110916</c:v>
                </c:pt>
                <c:pt idx="11">
                  <c:v>1.4820450000000001</c:v>
                </c:pt>
                <c:pt idx="12">
                  <c:v>2.1263230000000002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84.883152999999993</c:v>
                </c:pt>
                <c:pt idx="1">
                  <c:v>53.035682999999999</c:v>
                </c:pt>
                <c:pt idx="2">
                  <c:v>164.67089200000001</c:v>
                </c:pt>
                <c:pt idx="3">
                  <c:v>148.01756800000001</c:v>
                </c:pt>
                <c:pt idx="4">
                  <c:v>158.51629800000001</c:v>
                </c:pt>
                <c:pt idx="5">
                  <c:v>145.95032699999999</c:v>
                </c:pt>
                <c:pt idx="6">
                  <c:v>107.853368</c:v>
                </c:pt>
                <c:pt idx="7">
                  <c:v>121.987015</c:v>
                </c:pt>
                <c:pt idx="8">
                  <c:v>91.770038</c:v>
                </c:pt>
                <c:pt idx="9">
                  <c:v>92.867580000000004</c:v>
                </c:pt>
                <c:pt idx="10">
                  <c:v>60.108277000000001</c:v>
                </c:pt>
                <c:pt idx="11">
                  <c:v>88.969560999999999</c:v>
                </c:pt>
                <c:pt idx="12">
                  <c:v>108.99192499999999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24.504390000000001</c:v>
                </c:pt>
                <c:pt idx="1">
                  <c:v>22.758417999999999</c:v>
                </c:pt>
                <c:pt idx="2">
                  <c:v>27.092843999999999</c:v>
                </c:pt>
                <c:pt idx="3">
                  <c:v>24.741710999999999</c:v>
                </c:pt>
                <c:pt idx="4">
                  <c:v>27.937771999999999</c:v>
                </c:pt>
                <c:pt idx="5">
                  <c:v>26.120768999999999</c:v>
                </c:pt>
                <c:pt idx="6">
                  <c:v>21.565273000000001</c:v>
                </c:pt>
                <c:pt idx="7">
                  <c:v>20.979474</c:v>
                </c:pt>
                <c:pt idx="8">
                  <c:v>14.946410999999999</c:v>
                </c:pt>
                <c:pt idx="9">
                  <c:v>16.937016</c:v>
                </c:pt>
                <c:pt idx="10">
                  <c:v>17.847128000000001</c:v>
                </c:pt>
                <c:pt idx="11">
                  <c:v>18.690237</c:v>
                </c:pt>
                <c:pt idx="12">
                  <c:v>24.855595999999998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mar.-21</c:v>
                </c:pt>
                <c:pt idx="1">
                  <c:v>abr.-21</c:v>
                </c:pt>
                <c:pt idx="2">
                  <c:v>may.-21</c:v>
                </c:pt>
                <c:pt idx="3">
                  <c:v>jun.-21</c:v>
                </c:pt>
                <c:pt idx="4">
                  <c:v>jul.-21</c:v>
                </c:pt>
                <c:pt idx="5">
                  <c:v>ago.-21</c:v>
                </c:pt>
                <c:pt idx="6">
                  <c:v>sep.-21</c:v>
                </c:pt>
                <c:pt idx="7">
                  <c:v>oct.-21</c:v>
                </c:pt>
                <c:pt idx="8">
                  <c:v>nov.-21</c:v>
                </c:pt>
                <c:pt idx="9">
                  <c:v>dic.-21</c:v>
                </c:pt>
                <c:pt idx="10">
                  <c:v>ene.-22</c:v>
                </c:pt>
                <c:pt idx="11">
                  <c:v>feb.-22</c:v>
                </c:pt>
                <c:pt idx="12">
                  <c:v>mar.-22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0.79178499999999996</c:v>
                </c:pt>
                <c:pt idx="1">
                  <c:v>0.72202100000000002</c:v>
                </c:pt>
                <c:pt idx="2">
                  <c:v>0.72256799999999999</c:v>
                </c:pt>
                <c:pt idx="3">
                  <c:v>0.72395900000000002</c:v>
                </c:pt>
                <c:pt idx="4">
                  <c:v>0.73402900000000004</c:v>
                </c:pt>
                <c:pt idx="5">
                  <c:v>0.56980699999999995</c:v>
                </c:pt>
                <c:pt idx="6">
                  <c:v>0.40013300000000002</c:v>
                </c:pt>
                <c:pt idx="7">
                  <c:v>0.75599700000000003</c:v>
                </c:pt>
                <c:pt idx="8">
                  <c:v>0.75323799999999996</c:v>
                </c:pt>
                <c:pt idx="9">
                  <c:v>0.822349</c:v>
                </c:pt>
                <c:pt idx="10">
                  <c:v>0.86053100000000005</c:v>
                </c:pt>
                <c:pt idx="11">
                  <c:v>0.72069799999999995</c:v>
                </c:pt>
                <c:pt idx="12">
                  <c:v>0.90984399999999999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Marzo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="80" zoomScaleNormal="80" workbookViewId="0">
      <selection activeCell="A2" sqref="A2"/>
    </sheetView>
  </sheetViews>
  <sheetFormatPr baseColWidth="10" defaultColWidth="11.42578125" defaultRowHeight="12"/>
  <cols>
    <col min="1" max="1" width="10" style="111" bestFit="1" customWidth="1"/>
    <col min="2" max="2" width="17.7109375" style="111" bestFit="1" customWidth="1"/>
    <col min="3" max="3" width="31.7109375" style="111" bestFit="1" customWidth="1"/>
    <col min="4" max="4" width="27" style="111" bestFit="1" customWidth="1"/>
    <col min="5" max="5" width="27.85546875" style="111" bestFit="1" customWidth="1"/>
    <col min="6" max="6" width="42.85546875" style="111" bestFit="1" customWidth="1"/>
    <col min="7" max="7" width="31.5703125" style="111" bestFit="1" customWidth="1"/>
    <col min="8" max="8" width="26.5703125" style="111" bestFit="1" customWidth="1"/>
    <col min="9" max="9" width="27.42578125" style="111" bestFit="1" customWidth="1"/>
    <col min="10" max="10" width="36.7109375" style="111" bestFit="1" customWidth="1"/>
    <col min="11" max="11" width="37.42578125" style="111" bestFit="1" customWidth="1"/>
    <col min="12" max="12" width="32.42578125" style="111" bestFit="1" customWidth="1"/>
    <col min="13" max="13" width="33.42578125" style="111" bestFit="1" customWidth="1"/>
    <col min="14" max="14" width="42.71093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120</v>
      </c>
      <c r="B2" s="144" t="s">
        <v>121</v>
      </c>
    </row>
    <row r="4" spans="1:33" ht="15">
      <c r="A4" s="145" t="s">
        <v>67</v>
      </c>
      <c r="B4" s="206" t="s">
        <v>120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22" t="s">
        <v>15</v>
      </c>
      <c r="C5" s="223"/>
      <c r="D5" s="223"/>
      <c r="E5" s="223"/>
      <c r="F5" s="223"/>
      <c r="G5" s="223"/>
      <c r="H5" s="223"/>
      <c r="I5" s="224"/>
      <c r="J5" s="222" t="s">
        <v>14</v>
      </c>
      <c r="K5" s="223"/>
      <c r="L5" s="223"/>
      <c r="M5" s="223"/>
      <c r="N5" s="223"/>
      <c r="O5" s="223"/>
      <c r="P5" s="223"/>
      <c r="Q5" s="224"/>
      <c r="R5" s="222" t="s">
        <v>57</v>
      </c>
      <c r="S5" s="223"/>
      <c r="T5" s="223"/>
      <c r="U5" s="223"/>
      <c r="V5" s="223"/>
      <c r="W5" s="223"/>
      <c r="X5" s="223"/>
      <c r="Y5" s="224"/>
      <c r="Z5" s="222" t="s">
        <v>58</v>
      </c>
      <c r="AA5" s="223"/>
      <c r="AB5" s="223"/>
      <c r="AC5" s="223"/>
      <c r="AD5" s="223"/>
      <c r="AE5" s="223"/>
      <c r="AF5" s="223"/>
      <c r="AG5" s="223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296.44600000000003</v>
      </c>
      <c r="AA8" s="158">
        <v>282.26499999999999</v>
      </c>
      <c r="AB8" s="151">
        <v>5.0240022699999998E-2</v>
      </c>
      <c r="AC8" s="158">
        <v>841.24099999999999</v>
      </c>
      <c r="AD8" s="158">
        <v>838.41600000000005</v>
      </c>
      <c r="AE8" s="151">
        <v>3.3694491000000001E-3</v>
      </c>
      <c r="AF8" s="158">
        <v>3045.7269999999999</v>
      </c>
      <c r="AG8" s="151">
        <v>-0.1167461212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-668.87300000000005</v>
      </c>
      <c r="S9" s="158">
        <v>-651.55899999999997</v>
      </c>
      <c r="T9" s="151">
        <v>2.6573188300000002E-2</v>
      </c>
      <c r="U9" s="158">
        <v>-1876.4670000000001</v>
      </c>
      <c r="V9" s="158">
        <v>-1890.41</v>
      </c>
      <c r="W9" s="151">
        <v>-7.3756487000000001E-3</v>
      </c>
      <c r="X9" s="158">
        <v>44616.576999999997</v>
      </c>
      <c r="Y9" s="151">
        <v>-0.80258804360000002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17073.196</v>
      </c>
      <c r="C10" s="158">
        <v>15333.781000000001</v>
      </c>
      <c r="D10" s="151">
        <v>0.1134367968</v>
      </c>
      <c r="E10" s="158">
        <v>49576.548999999999</v>
      </c>
      <c r="F10" s="158">
        <v>49083.294999999998</v>
      </c>
      <c r="G10" s="151">
        <v>1.00493253E-2</v>
      </c>
      <c r="H10" s="158">
        <v>197172.20499999999</v>
      </c>
      <c r="I10" s="151">
        <v>-3.6863295000000001E-3</v>
      </c>
      <c r="J10" s="158">
        <v>14914.04</v>
      </c>
      <c r="K10" s="158">
        <v>15208.553</v>
      </c>
      <c r="L10" s="151">
        <v>-1.93649587E-2</v>
      </c>
      <c r="M10" s="158">
        <v>44639.446000000004</v>
      </c>
      <c r="N10" s="158">
        <v>46089.252</v>
      </c>
      <c r="O10" s="151">
        <v>-3.1456487900000003E-2</v>
      </c>
      <c r="P10" s="158">
        <v>191480.01199999999</v>
      </c>
      <c r="Q10" s="151">
        <v>-2.1151234599999999E-2</v>
      </c>
      <c r="R10" s="158">
        <v>26627.29</v>
      </c>
      <c r="S10" s="158">
        <v>14238.514999999999</v>
      </c>
      <c r="T10" s="151">
        <v>0.87008898050000005</v>
      </c>
      <c r="U10" s="158">
        <v>85841.122000000003</v>
      </c>
      <c r="V10" s="158">
        <v>60375.792000000001</v>
      </c>
      <c r="W10" s="151">
        <v>0.42178047120000001</v>
      </c>
      <c r="X10" s="158">
        <v>424345.61499999999</v>
      </c>
      <c r="Y10" s="151">
        <v>0.50734126290000003</v>
      </c>
      <c r="Z10" s="158">
        <v>148836.81400000001</v>
      </c>
      <c r="AA10" s="158">
        <v>128503.12699999999</v>
      </c>
      <c r="AB10" s="151">
        <v>0.15823495870000001</v>
      </c>
      <c r="AC10" s="158">
        <v>423092.23499999999</v>
      </c>
      <c r="AD10" s="158">
        <v>381913.69500000001</v>
      </c>
      <c r="AE10" s="151">
        <v>0.1078215852</v>
      </c>
      <c r="AF10" s="158">
        <v>1758086.0870000001</v>
      </c>
      <c r="AG10" s="151">
        <v>7.9284642099999997E-2</v>
      </c>
    </row>
    <row r="11" spans="1:33">
      <c r="A11" s="144" t="s">
        <v>9</v>
      </c>
      <c r="B11" s="158">
        <v>1.534</v>
      </c>
      <c r="C11" s="158">
        <v>6.4370000000000003</v>
      </c>
      <c r="D11" s="151">
        <v>-0.7616902284</v>
      </c>
      <c r="E11" s="158">
        <v>41.265999999999998</v>
      </c>
      <c r="F11" s="158">
        <v>10.817</v>
      </c>
      <c r="G11" s="151">
        <v>2.8149209578000001</v>
      </c>
      <c r="H11" s="158">
        <v>237.34200000000001</v>
      </c>
      <c r="I11" s="151">
        <v>0.33971934660000003</v>
      </c>
      <c r="J11" s="158">
        <v>2.6709999999999998</v>
      </c>
      <c r="K11" s="158">
        <v>1.6739999999999999</v>
      </c>
      <c r="L11" s="151">
        <v>0.59557945040000004</v>
      </c>
      <c r="M11" s="158">
        <v>5.31</v>
      </c>
      <c r="N11" s="158">
        <v>68.576999999999998</v>
      </c>
      <c r="O11" s="151">
        <v>-0.92256879130000002</v>
      </c>
      <c r="P11" s="158">
        <v>27.824999999999999</v>
      </c>
      <c r="Q11" s="151">
        <v>-0.82674346200000004</v>
      </c>
      <c r="R11" s="158">
        <v>16589.324000000001</v>
      </c>
      <c r="S11" s="158">
        <v>13135.553</v>
      </c>
      <c r="T11" s="151">
        <v>0.26293304899999997</v>
      </c>
      <c r="U11" s="158">
        <v>42892.438999999998</v>
      </c>
      <c r="V11" s="158">
        <v>39343.800000000003</v>
      </c>
      <c r="W11" s="151">
        <v>9.0195634400000002E-2</v>
      </c>
      <c r="X11" s="158">
        <v>227808.927</v>
      </c>
      <c r="Y11" s="151">
        <v>0.18788486569999999</v>
      </c>
      <c r="Z11" s="158">
        <v>22266.937000000002</v>
      </c>
      <c r="AA11" s="158">
        <v>14760.713</v>
      </c>
      <c r="AB11" s="151">
        <v>0.5085271965</v>
      </c>
      <c r="AC11" s="158">
        <v>64695.995999999999</v>
      </c>
      <c r="AD11" s="158">
        <v>35273.584000000003</v>
      </c>
      <c r="AE11" s="151">
        <v>0.83412028670000005</v>
      </c>
      <c r="AF11" s="158">
        <v>228448.11</v>
      </c>
      <c r="AG11" s="151">
        <v>0.2703407524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114385.11500000001</v>
      </c>
      <c r="AA12" s="158">
        <v>100758.25900000001</v>
      </c>
      <c r="AB12" s="151">
        <v>0.13524306729999999</v>
      </c>
      <c r="AC12" s="158">
        <v>334438.27899999998</v>
      </c>
      <c r="AD12" s="158">
        <v>322001.15899999999</v>
      </c>
      <c r="AE12" s="151">
        <v>3.8624457199999997E-2</v>
      </c>
      <c r="AF12" s="158">
        <v>1120474.6229999999</v>
      </c>
      <c r="AG12" s="151">
        <v>-0.15134351139999999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330995.39600000001</v>
      </c>
      <c r="S13" s="158">
        <v>217478.64799999999</v>
      </c>
      <c r="T13" s="151">
        <v>0.52196732440000004</v>
      </c>
      <c r="U13" s="158">
        <v>979695.91099999996</v>
      </c>
      <c r="V13" s="158">
        <v>665216.15599999996</v>
      </c>
      <c r="W13" s="151">
        <v>0.472748222</v>
      </c>
      <c r="X13" s="158">
        <v>3796700.7910000002</v>
      </c>
      <c r="Y13" s="151">
        <v>0.59521057170000002</v>
      </c>
      <c r="Z13" s="158">
        <v>288517.90000000002</v>
      </c>
      <c r="AA13" s="158">
        <v>284196.022</v>
      </c>
      <c r="AB13" s="151">
        <v>1.52073839E-2</v>
      </c>
      <c r="AC13" s="158">
        <v>924164.87</v>
      </c>
      <c r="AD13" s="158">
        <v>834617.53300000005</v>
      </c>
      <c r="AE13" s="151">
        <v>0.107291464</v>
      </c>
      <c r="AF13" s="158">
        <v>3519786.9360000002</v>
      </c>
      <c r="AG13" s="151">
        <v>0.10941809349999999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12026.062</v>
      </c>
      <c r="Y14" s="151">
        <v>2.0805953464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2126.3229999999999</v>
      </c>
      <c r="AA15" s="158">
        <v>1921.443</v>
      </c>
      <c r="AB15" s="151">
        <v>0.1066281956</v>
      </c>
      <c r="AC15" s="158">
        <v>4719.2839999999997</v>
      </c>
      <c r="AD15" s="158">
        <v>4141.0959999999995</v>
      </c>
      <c r="AE15" s="151">
        <v>0.1396219745</v>
      </c>
      <c r="AF15" s="158">
        <v>23666.445</v>
      </c>
      <c r="AG15" s="151">
        <v>0.2016690934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338.46</v>
      </c>
      <c r="S16" s="158">
        <v>306.11500000000001</v>
      </c>
      <c r="T16" s="151">
        <v>0.1056629045</v>
      </c>
      <c r="U16" s="158">
        <v>782.33799999999997</v>
      </c>
      <c r="V16" s="158">
        <v>743.56100000000004</v>
      </c>
      <c r="W16" s="151">
        <v>5.2150395199999998E-2</v>
      </c>
      <c r="X16" s="158">
        <v>2374.886</v>
      </c>
      <c r="Y16" s="151">
        <v>-0.24396255219999999</v>
      </c>
      <c r="Z16" s="158">
        <v>108991.925</v>
      </c>
      <c r="AA16" s="158">
        <v>84883.153000000006</v>
      </c>
      <c r="AB16" s="151">
        <v>0.28402304989999999</v>
      </c>
      <c r="AC16" s="158">
        <v>258069.76300000001</v>
      </c>
      <c r="AD16" s="158">
        <v>225356.595</v>
      </c>
      <c r="AE16" s="151">
        <v>0.14516179570000001</v>
      </c>
      <c r="AF16" s="158">
        <v>1342738.5319999999</v>
      </c>
      <c r="AG16" s="151">
        <v>0.24860055189999999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5.27</v>
      </c>
      <c r="K17" s="158">
        <v>5.9950000000000001</v>
      </c>
      <c r="L17" s="151">
        <v>-0.12093411179999999</v>
      </c>
      <c r="M17" s="158">
        <v>14.683</v>
      </c>
      <c r="N17" s="158">
        <v>15.478999999999999</v>
      </c>
      <c r="O17" s="151">
        <v>-5.1424510600000001E-2</v>
      </c>
      <c r="P17" s="158">
        <v>59.798999999999999</v>
      </c>
      <c r="Q17" s="151">
        <v>-0.210355346</v>
      </c>
      <c r="R17" s="158">
        <v>13605.662</v>
      </c>
      <c r="S17" s="158">
        <v>13295.218999999999</v>
      </c>
      <c r="T17" s="151">
        <v>2.3349972600000001E-2</v>
      </c>
      <c r="U17" s="158">
        <v>45378.633000000002</v>
      </c>
      <c r="V17" s="158">
        <v>31398.021000000001</v>
      </c>
      <c r="W17" s="151">
        <v>0.44527048380000001</v>
      </c>
      <c r="X17" s="158">
        <v>202227.53599999999</v>
      </c>
      <c r="Y17" s="151">
        <v>0.60515817110000003</v>
      </c>
      <c r="Z17" s="158">
        <v>24855.596000000001</v>
      </c>
      <c r="AA17" s="158">
        <v>24504.39</v>
      </c>
      <c r="AB17" s="151">
        <v>1.43323706E-2</v>
      </c>
      <c r="AC17" s="158">
        <v>61392.961000000003</v>
      </c>
      <c r="AD17" s="158">
        <v>59185.506999999998</v>
      </c>
      <c r="AE17" s="151">
        <v>3.7297205200000003E-2</v>
      </c>
      <c r="AF17" s="158">
        <v>264472.64899999998</v>
      </c>
      <c r="AG17" s="151">
        <v>2.4679853000000002E-2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291.18099999999998</v>
      </c>
      <c r="S18" s="158">
        <v>137.78700000000001</v>
      </c>
      <c r="T18" s="151">
        <v>1.1132690312</v>
      </c>
      <c r="U18" s="158">
        <v>857.37699999999995</v>
      </c>
      <c r="V18" s="158">
        <v>272.43200000000002</v>
      </c>
      <c r="W18" s="151">
        <v>2.1471229518000001</v>
      </c>
      <c r="X18" s="158">
        <v>2157.65</v>
      </c>
      <c r="Y18" s="151">
        <v>2.6449930653</v>
      </c>
      <c r="Z18" s="158">
        <v>909.84400000000005</v>
      </c>
      <c r="AA18" s="158">
        <v>791.78499999999997</v>
      </c>
      <c r="AB18" s="151">
        <v>0.14910487059999999</v>
      </c>
      <c r="AC18" s="158">
        <v>2491.0729999999999</v>
      </c>
      <c r="AD18" s="158">
        <v>1850.29</v>
      </c>
      <c r="AE18" s="151">
        <v>0.34631490199999998</v>
      </c>
      <c r="AF18" s="158">
        <v>8695.1740000000009</v>
      </c>
      <c r="AG18" s="151">
        <v>2.3732216300000001E-2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3993.2040000000002</v>
      </c>
      <c r="S19" s="158">
        <v>3995.4989999999998</v>
      </c>
      <c r="T19" s="151">
        <v>-5.7439630000000002E-4</v>
      </c>
      <c r="U19" s="158">
        <v>10462.616</v>
      </c>
      <c r="V19" s="158">
        <v>11703.141</v>
      </c>
      <c r="W19" s="151">
        <v>-0.10599932099999999</v>
      </c>
      <c r="X19" s="158">
        <v>40104.538</v>
      </c>
      <c r="Y19" s="151">
        <v>0.17034614249999999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427.67700000000002</v>
      </c>
      <c r="K20" s="158">
        <v>542.07950000000005</v>
      </c>
      <c r="L20" s="151">
        <v>-0.21104376759999999</v>
      </c>
      <c r="M20" s="158">
        <v>1529.1914999999999</v>
      </c>
      <c r="N20" s="158">
        <v>1754.684</v>
      </c>
      <c r="O20" s="151">
        <v>-0.1285088939</v>
      </c>
      <c r="P20" s="158">
        <v>5922.8815000000004</v>
      </c>
      <c r="Q20" s="151">
        <v>-5.0313544699999997E-2</v>
      </c>
      <c r="R20" s="158">
        <v>9663.32</v>
      </c>
      <c r="S20" s="158">
        <v>10093.0875</v>
      </c>
      <c r="T20" s="151">
        <v>-4.25803799E-2</v>
      </c>
      <c r="U20" s="158">
        <v>24975.907500000001</v>
      </c>
      <c r="V20" s="158">
        <v>27968.32</v>
      </c>
      <c r="W20" s="151">
        <v>-0.10699292990000001</v>
      </c>
      <c r="X20" s="158">
        <v>117935.4035</v>
      </c>
      <c r="Y20" s="151">
        <v>1.5974863200000002E-2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427.67700000000002</v>
      </c>
      <c r="K21" s="158">
        <v>542.07950000000005</v>
      </c>
      <c r="L21" s="151">
        <v>-0.21104376759999999</v>
      </c>
      <c r="M21" s="158">
        <v>1529.1914999999999</v>
      </c>
      <c r="N21" s="158">
        <v>1754.684</v>
      </c>
      <c r="O21" s="151">
        <v>-0.1285088939</v>
      </c>
      <c r="P21" s="158">
        <v>5922.8815000000004</v>
      </c>
      <c r="Q21" s="151">
        <v>-5.0313544699999997E-2</v>
      </c>
      <c r="R21" s="158">
        <v>9663.32</v>
      </c>
      <c r="S21" s="158">
        <v>10093.0875</v>
      </c>
      <c r="T21" s="151">
        <v>-4.25803799E-2</v>
      </c>
      <c r="U21" s="158">
        <v>24975.907500000001</v>
      </c>
      <c r="V21" s="158">
        <v>27968.32</v>
      </c>
      <c r="W21" s="151">
        <v>-0.10699292990000001</v>
      </c>
      <c r="X21" s="158">
        <v>117935.4035</v>
      </c>
      <c r="Y21" s="151">
        <v>1.5974863200000002E-2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17074.73</v>
      </c>
      <c r="C22" s="159">
        <v>15340.218000000001</v>
      </c>
      <c r="D22" s="152">
        <v>0.1130695796</v>
      </c>
      <c r="E22" s="159">
        <v>49617.815000000002</v>
      </c>
      <c r="F22" s="159">
        <v>49094.112000000001</v>
      </c>
      <c r="G22" s="152">
        <v>1.06673281E-2</v>
      </c>
      <c r="H22" s="159">
        <v>197409.54699999999</v>
      </c>
      <c r="I22" s="152">
        <v>-3.3791938999999998E-3</v>
      </c>
      <c r="J22" s="159">
        <v>15777.334999999999</v>
      </c>
      <c r="K22" s="159">
        <v>16300.380999999999</v>
      </c>
      <c r="L22" s="152">
        <v>-3.2087961599999999E-2</v>
      </c>
      <c r="M22" s="159">
        <v>47717.822</v>
      </c>
      <c r="N22" s="159">
        <v>49682.675999999999</v>
      </c>
      <c r="O22" s="152">
        <v>-3.9548070999999997E-2</v>
      </c>
      <c r="P22" s="159">
        <v>203413.399</v>
      </c>
      <c r="Q22" s="152">
        <v>-2.3587103200000001E-2</v>
      </c>
      <c r="R22" s="159">
        <v>411098.28399999999</v>
      </c>
      <c r="S22" s="159">
        <v>282121.95199999999</v>
      </c>
      <c r="T22" s="152">
        <v>0.4571651766</v>
      </c>
      <c r="U22" s="159">
        <v>1213985.784</v>
      </c>
      <c r="V22" s="159">
        <v>863099.13300000003</v>
      </c>
      <c r="W22" s="152">
        <v>0.40654269900000001</v>
      </c>
      <c r="X22" s="159">
        <v>4988233.3890000004</v>
      </c>
      <c r="Y22" s="152">
        <v>0.4336399682</v>
      </c>
      <c r="Z22" s="159">
        <v>711186.9</v>
      </c>
      <c r="AA22" s="159">
        <v>640601.15700000001</v>
      </c>
      <c r="AB22" s="152">
        <v>0.1101867242</v>
      </c>
      <c r="AC22" s="159">
        <v>2073905.702</v>
      </c>
      <c r="AD22" s="159">
        <v>1865177.875</v>
      </c>
      <c r="AE22" s="152">
        <v>0.1119077327</v>
      </c>
      <c r="AF22" s="159">
        <v>8269414.2829999998</v>
      </c>
      <c r="AG22" s="152">
        <v>7.8595235599999994E-2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30689.280999999999</v>
      </c>
      <c r="S23" s="158">
        <v>127985.573</v>
      </c>
      <c r="T23" s="151">
        <v>-0.76021296559999996</v>
      </c>
      <c r="U23" s="158">
        <v>89351.122000000003</v>
      </c>
      <c r="V23" s="158">
        <v>379647.99400000001</v>
      </c>
      <c r="W23" s="151">
        <v>-0.7646474539</v>
      </c>
      <c r="X23" s="158">
        <v>599932.09499999997</v>
      </c>
      <c r="Y23" s="151">
        <v>-0.58376225449999997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17074.73</v>
      </c>
      <c r="C24" s="159">
        <v>15340.218000000001</v>
      </c>
      <c r="D24" s="152">
        <v>0.1130695796</v>
      </c>
      <c r="E24" s="159">
        <v>49617.815000000002</v>
      </c>
      <c r="F24" s="159">
        <v>49094.112000000001</v>
      </c>
      <c r="G24" s="152">
        <v>1.06673281E-2</v>
      </c>
      <c r="H24" s="159">
        <v>197409.54699999999</v>
      </c>
      <c r="I24" s="152">
        <v>-3.3791938999999998E-3</v>
      </c>
      <c r="J24" s="159">
        <v>15777.334999999999</v>
      </c>
      <c r="K24" s="159">
        <v>16300.380999999999</v>
      </c>
      <c r="L24" s="152">
        <v>-3.2087961599999999E-2</v>
      </c>
      <c r="M24" s="159">
        <v>47717.822</v>
      </c>
      <c r="N24" s="159">
        <v>49682.675999999999</v>
      </c>
      <c r="O24" s="152">
        <v>-3.9548070999999997E-2</v>
      </c>
      <c r="P24" s="159">
        <v>203413.399</v>
      </c>
      <c r="Q24" s="152">
        <v>-2.3587103200000001E-2</v>
      </c>
      <c r="R24" s="159">
        <v>441787.565</v>
      </c>
      <c r="S24" s="159">
        <v>410107.52500000002</v>
      </c>
      <c r="T24" s="152">
        <v>7.7248131499999997E-2</v>
      </c>
      <c r="U24" s="159">
        <v>1303336.906</v>
      </c>
      <c r="V24" s="159">
        <v>1242747.1270000001</v>
      </c>
      <c r="W24" s="152">
        <v>4.87547126E-2</v>
      </c>
      <c r="X24" s="159">
        <v>5588165.4840000002</v>
      </c>
      <c r="Y24" s="152">
        <v>0.1356353676</v>
      </c>
      <c r="Z24" s="159">
        <v>711186.9</v>
      </c>
      <c r="AA24" s="159">
        <v>640601.15700000001</v>
      </c>
      <c r="AB24" s="152">
        <v>0.1101867242</v>
      </c>
      <c r="AC24" s="159">
        <v>2073905.702</v>
      </c>
      <c r="AD24" s="159">
        <v>1865177.875</v>
      </c>
      <c r="AE24" s="152">
        <v>0.1119077327</v>
      </c>
      <c r="AF24" s="159">
        <v>8269414.2829999998</v>
      </c>
      <c r="AG24" s="152">
        <v>7.8595235599999994E-2</v>
      </c>
    </row>
    <row r="26" spans="1:33">
      <c r="A26" s="111" t="s">
        <v>103</v>
      </c>
      <c r="B26" s="179">
        <f>SUM(B24,J24,R24,Z24)</f>
        <v>1185826.53</v>
      </c>
      <c r="C26" s="179">
        <f>SUM(C24,K24,S24,AA24)</f>
        <v>1082349.281</v>
      </c>
      <c r="D26" s="180">
        <f>((B26/C26)-1)*100</f>
        <v>9.5604303357965659</v>
      </c>
      <c r="R26" s="180"/>
    </row>
    <row r="29" spans="1:33" ht="15">
      <c r="A29" s="145" t="s">
        <v>67</v>
      </c>
      <c r="B29" s="206" t="str">
        <f>A2</f>
        <v>Marzo 2022</v>
      </c>
      <c r="C29" s="207"/>
    </row>
    <row r="30" spans="1:33" ht="15">
      <c r="A30" s="145" t="s">
        <v>69</v>
      </c>
      <c r="B30" s="218" t="s">
        <v>72</v>
      </c>
      <c r="C30" s="219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559.71500000000003</v>
      </c>
      <c r="D41" s="185"/>
    </row>
    <row r="42" spans="1:4">
      <c r="A42" s="144" t="s">
        <v>4</v>
      </c>
      <c r="B42" s="147">
        <v>154.35321500000001</v>
      </c>
      <c r="C42" s="147">
        <v>199.58794499999999</v>
      </c>
      <c r="D42" s="185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8">
        <f>SUM(B33:B46)</f>
        <v>2053.013715</v>
      </c>
      <c r="C47" s="188">
        <f>SUM(C33:C46)</f>
        <v>3170.4689449999996</v>
      </c>
    </row>
    <row r="48" spans="1:4" ht="15">
      <c r="A48"/>
      <c r="C48"/>
      <c r="D48" s="184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11.748582010812333</v>
      </c>
      <c r="D52" s="182"/>
      <c r="F52" s="114" t="s">
        <v>10</v>
      </c>
      <c r="G52" s="115">
        <f>C35</f>
        <v>487.64</v>
      </c>
      <c r="H52" s="116">
        <f>G52/$G$62*100</f>
        <v>15.380690000734262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6.7900179614727998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16.42501500673113</v>
      </c>
    </row>
    <row r="54" spans="1:8">
      <c r="A54" s="114" t="s">
        <v>9</v>
      </c>
      <c r="B54" s="115">
        <f t="shared" si="1"/>
        <v>603.1</v>
      </c>
      <c r="C54" s="116">
        <f t="shared" si="0"/>
        <v>29.37632591509502</v>
      </c>
      <c r="D54" s="182"/>
      <c r="F54" s="114" t="s">
        <v>8</v>
      </c>
      <c r="G54" s="115">
        <f>C37</f>
        <v>482.64</v>
      </c>
      <c r="H54" s="116">
        <f t="shared" si="2"/>
        <v>15.222984623809335</v>
      </c>
    </row>
    <row r="55" spans="1:8">
      <c r="A55" s="114" t="s">
        <v>25</v>
      </c>
      <c r="B55" s="115">
        <f>B38</f>
        <v>822.9</v>
      </c>
      <c r="C55" s="116">
        <f t="shared" si="0"/>
        <v>40.082537880171934</v>
      </c>
      <c r="D55" s="182"/>
      <c r="F55" s="114" t="s">
        <v>25</v>
      </c>
      <c r="G55" s="115">
        <f>C38</f>
        <v>865.4</v>
      </c>
      <c r="H55" s="116">
        <f t="shared" si="2"/>
        <v>27.295646638166332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1.204869079706441</v>
      </c>
    </row>
    <row r="57" spans="1:8">
      <c r="A57" s="114" t="s">
        <v>23</v>
      </c>
      <c r="B57" s="115">
        <f>B44</f>
        <v>11.523</v>
      </c>
      <c r="C57" s="116">
        <f t="shared" si="0"/>
        <v>0.56127243163594742</v>
      </c>
      <c r="D57" s="182"/>
      <c r="F57" s="114" t="s">
        <v>12</v>
      </c>
      <c r="G57" s="116">
        <f>C33</f>
        <v>1.52</v>
      </c>
      <c r="H57" s="116">
        <f t="shared" si="2"/>
        <v>4.7942434585177753E-2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1.8217121360048976</v>
      </c>
      <c r="D58" s="182"/>
      <c r="F58" s="114" t="s">
        <v>6</v>
      </c>
      <c r="G58" s="115">
        <f>C40</f>
        <v>11.32</v>
      </c>
      <c r="H58" s="116">
        <f t="shared" si="2"/>
        <v>0.35704497335803431</v>
      </c>
    </row>
    <row r="59" spans="1:8">
      <c r="A59" s="114" t="s">
        <v>54</v>
      </c>
      <c r="B59" s="115">
        <f>B45</f>
        <v>37.4</v>
      </c>
      <c r="C59" s="116">
        <f t="shared" si="3"/>
        <v>1.8217121360048976</v>
      </c>
      <c r="D59" s="182"/>
      <c r="F59" s="114" t="s">
        <v>5</v>
      </c>
      <c r="G59" s="115">
        <f>C41</f>
        <v>559.71500000000003</v>
      </c>
      <c r="H59" s="116">
        <f t="shared" si="2"/>
        <v>17.654013009107082</v>
      </c>
    </row>
    <row r="60" spans="1:8">
      <c r="A60" s="114" t="s">
        <v>5</v>
      </c>
      <c r="B60" s="115">
        <f>B41</f>
        <v>3.6074999999999999</v>
      </c>
      <c r="C60" s="116">
        <f t="shared" si="3"/>
        <v>0.17571728691544566</v>
      </c>
      <c r="D60" s="182"/>
      <c r="F60" s="114" t="s">
        <v>4</v>
      </c>
      <c r="G60" s="115">
        <f>C42</f>
        <v>199.58794499999999</v>
      </c>
      <c r="H60" s="116">
        <f t="shared" si="2"/>
        <v>6.2952184191793119</v>
      </c>
    </row>
    <row r="61" spans="1:8">
      <c r="A61" s="114" t="s">
        <v>4</v>
      </c>
      <c r="B61" s="115">
        <f>B42</f>
        <v>154.35321500000001</v>
      </c>
      <c r="C61" s="116">
        <f t="shared" si="3"/>
        <v>7.5183723261196045</v>
      </c>
      <c r="D61" s="182"/>
      <c r="F61" s="114" t="s">
        <v>22</v>
      </c>
      <c r="G61" s="115">
        <f>C43</f>
        <v>3.6960000000000002</v>
      </c>
      <c r="H61" s="116">
        <f t="shared" si="2"/>
        <v>0.11657581462290591</v>
      </c>
    </row>
    <row r="62" spans="1:8">
      <c r="A62" s="114" t="s">
        <v>22</v>
      </c>
      <c r="B62" s="115">
        <f>B43</f>
        <v>2.13</v>
      </c>
      <c r="C62" s="116">
        <f t="shared" si="3"/>
        <v>0.10374991576712383</v>
      </c>
      <c r="D62" s="182"/>
      <c r="F62" s="117" t="s">
        <v>20</v>
      </c>
      <c r="G62" s="118">
        <f>SUM(G52:G61)</f>
        <v>3170.4689449999996</v>
      </c>
      <c r="H62" s="119">
        <f>SUM(H52:H61)</f>
        <v>100.00000000000001</v>
      </c>
    </row>
    <row r="63" spans="1:8">
      <c r="A63" s="117" t="s">
        <v>20</v>
      </c>
      <c r="B63" s="118">
        <f>SUM(B52:B62)</f>
        <v>2053.013715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6">
        <f>(C68/SUM($C$68:$C$78))*100</f>
        <v>0</v>
      </c>
      <c r="F68" s="114" t="s">
        <v>10</v>
      </c>
      <c r="G68" s="116">
        <f>Z10/Z$24*100</f>
        <v>20.927946507451136</v>
      </c>
    </row>
    <row r="69" spans="1:7">
      <c r="A69" s="114" t="s">
        <v>10</v>
      </c>
      <c r="B69" s="116">
        <f t="shared" ref="B69:B78" si="4">C69/$C$80*100</f>
        <v>6.018059115686321</v>
      </c>
      <c r="C69" s="115">
        <f>R10</f>
        <v>26627.29</v>
      </c>
      <c r="D69" s="186">
        <f t="shared" ref="D69:D78" si="5">(C69/SUM($C$68:$C$78))*100</f>
        <v>6.4665890776713875</v>
      </c>
      <c r="F69" s="114" t="s">
        <v>9</v>
      </c>
      <c r="G69" s="116">
        <f>Z11/Z$24*100</f>
        <v>3.1309543243836466</v>
      </c>
    </row>
    <row r="70" spans="1:7">
      <c r="A70" s="114" t="s">
        <v>9</v>
      </c>
      <c r="B70" s="116">
        <f t="shared" si="4"/>
        <v>3.7493688813722259</v>
      </c>
      <c r="C70" s="115">
        <f>R11</f>
        <v>16589.324000000001</v>
      </c>
      <c r="D70" s="186">
        <f t="shared" si="5"/>
        <v>4.0288118462055964</v>
      </c>
      <c r="F70" s="114" t="s">
        <v>8</v>
      </c>
      <c r="G70" s="116">
        <f>Z12/Z$24*100</f>
        <v>16.083692627071731</v>
      </c>
    </row>
    <row r="71" spans="1:7">
      <c r="A71" s="114" t="s">
        <v>25</v>
      </c>
      <c r="B71" s="116">
        <f t="shared" si="4"/>
        <v>74.808583980870893</v>
      </c>
      <c r="C71" s="115">
        <f>R13</f>
        <v>330995.39600000001</v>
      </c>
      <c r="D71" s="186">
        <f>(C71/SUM($C$68:$C$78))*100</f>
        <v>80.38411766774297</v>
      </c>
      <c r="F71" s="114" t="s">
        <v>25</v>
      </c>
      <c r="G71" s="116">
        <f>Z13/Z$24*100</f>
        <v>40.568505972199432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87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0.90250783061269402</v>
      </c>
      <c r="C73" s="115">
        <f>R19</f>
        <v>3993.2040000000002</v>
      </c>
      <c r="D73" s="186">
        <f t="shared" si="5"/>
        <v>0.96977234150804303</v>
      </c>
      <c r="F73" s="114" t="s">
        <v>12</v>
      </c>
      <c r="G73" s="116">
        <f>Z8/Z$24*100</f>
        <v>4.1683276224576134E-2</v>
      </c>
    </row>
    <row r="74" spans="1:7">
      <c r="A74" s="114" t="s">
        <v>55</v>
      </c>
      <c r="B74" s="116">
        <f t="shared" si="4"/>
        <v>2.184016135843863</v>
      </c>
      <c r="C74" s="115">
        <f>R21</f>
        <v>9663.32</v>
      </c>
      <c r="D74" s="186">
        <f t="shared" si="5"/>
        <v>2.3467923159301405</v>
      </c>
      <c r="F74" s="114" t="s">
        <v>6</v>
      </c>
      <c r="G74" s="116">
        <f>Z15/Z$24*100</f>
        <v>0.29898230690132227</v>
      </c>
    </row>
    <row r="75" spans="1:7">
      <c r="A75" s="114" t="s">
        <v>54</v>
      </c>
      <c r="B75" s="116">
        <f t="shared" si="4"/>
        <v>2.184016135843863</v>
      </c>
      <c r="C75" s="115">
        <f>R20</f>
        <v>9663.32</v>
      </c>
      <c r="D75" s="186">
        <f t="shared" si="5"/>
        <v>2.3467923159301405</v>
      </c>
      <c r="F75" s="114" t="s">
        <v>5</v>
      </c>
      <c r="G75" s="116">
        <f>Z16/Z$24*100</f>
        <v>15.325356105406328</v>
      </c>
    </row>
    <row r="76" spans="1:7">
      <c r="A76" s="114" t="s">
        <v>5</v>
      </c>
      <c r="B76" s="116">
        <f t="shared" si="4"/>
        <v>7.6495666224208017E-2</v>
      </c>
      <c r="C76" s="115">
        <f>R16</f>
        <v>338.46</v>
      </c>
      <c r="D76" s="186">
        <f t="shared" si="5"/>
        <v>8.2196939276533876E-2</v>
      </c>
      <c r="F76" s="114" t="s">
        <v>4</v>
      </c>
      <c r="G76" s="116">
        <f>Z17/Z$24*100</f>
        <v>3.4949457027400253</v>
      </c>
    </row>
    <row r="77" spans="1:7">
      <c r="A77" s="114" t="s">
        <v>4</v>
      </c>
      <c r="B77" s="116">
        <f t="shared" si="4"/>
        <v>3.0750285975045517</v>
      </c>
      <c r="C77" s="115">
        <f>R17</f>
        <v>13605.662</v>
      </c>
      <c r="D77" s="186">
        <f t="shared" si="5"/>
        <v>3.3042125309668635</v>
      </c>
      <c r="F77" s="114" t="s">
        <v>22</v>
      </c>
      <c r="G77" s="116">
        <f>Z18/Z$24*100</f>
        <v>0.12793317762180378</v>
      </c>
    </row>
    <row r="78" spans="1:7">
      <c r="A78" s="114" t="s">
        <v>22</v>
      </c>
      <c r="B78" s="116">
        <f t="shared" si="4"/>
        <v>6.5810094506976058E-2</v>
      </c>
      <c r="C78" s="115">
        <f>R18</f>
        <v>291.18099999999998</v>
      </c>
      <c r="D78" s="186">
        <f t="shared" si="5"/>
        <v>7.0714964768304703E-2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6.9361135615343894</v>
      </c>
      <c r="C79" s="115">
        <f>R23</f>
        <v>30689.280999999999</v>
      </c>
      <c r="D79" s="182"/>
    </row>
    <row r="80" spans="1:7">
      <c r="A80" s="117" t="s">
        <v>20</v>
      </c>
      <c r="B80" s="119">
        <f>SUM(B68:B79)</f>
        <v>99.999999999999972</v>
      </c>
      <c r="C80" s="118">
        <f>SUM(C68:C79)</f>
        <v>442456.43800000008</v>
      </c>
      <c r="D80" s="182"/>
    </row>
    <row r="85" spans="1:26" ht="15">
      <c r="A85" s="145"/>
      <c r="B85" s="145" t="s">
        <v>69</v>
      </c>
      <c r="C85" s="220" t="s">
        <v>13</v>
      </c>
      <c r="D85" s="221"/>
      <c r="E85" s="221"/>
      <c r="F85" s="221"/>
      <c r="G85" s="221"/>
      <c r="H85" s="221"/>
      <c r="I85" s="221"/>
      <c r="J85" s="221"/>
      <c r="K85" s="221"/>
      <c r="L85" s="221"/>
      <c r="M85" s="221"/>
      <c r="N85" s="221"/>
      <c r="O85" s="221"/>
      <c r="P85" s="221"/>
      <c r="Q85" s="221"/>
      <c r="R85" s="221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9" t="s">
        <v>106</v>
      </c>
      <c r="D86" s="189" t="s">
        <v>107</v>
      </c>
      <c r="E86" s="189" t="s">
        <v>108</v>
      </c>
      <c r="F86" s="189" t="s">
        <v>109</v>
      </c>
      <c r="G86" s="189" t="s">
        <v>110</v>
      </c>
      <c r="H86" s="189" t="s">
        <v>111</v>
      </c>
      <c r="I86" s="189" t="s">
        <v>112</v>
      </c>
      <c r="J86" s="189" t="s">
        <v>113</v>
      </c>
      <c r="K86" s="189" t="s">
        <v>114</v>
      </c>
      <c r="L86" s="189" t="s">
        <v>115</v>
      </c>
      <c r="M86" s="189" t="s">
        <v>116</v>
      </c>
      <c r="N86" s="189" t="s">
        <v>117</v>
      </c>
      <c r="O86" s="189" t="s">
        <v>118</v>
      </c>
      <c r="P86" s="189" t="s">
        <v>119</v>
      </c>
      <c r="Q86" s="189" t="s">
        <v>120</v>
      </c>
      <c r="R86" s="189" t="s">
        <v>124</v>
      </c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/>
      <c r="T87"/>
      <c r="U87"/>
      <c r="V87"/>
      <c r="W87"/>
      <c r="X87"/>
      <c r="Y87"/>
      <c r="Z87"/>
    </row>
    <row r="88" spans="1:26" ht="15">
      <c r="A88" s="217" t="s">
        <v>57</v>
      </c>
      <c r="B88" s="144" t="s">
        <v>11</v>
      </c>
      <c r="C88" s="147">
        <v>-0.63269200000000003</v>
      </c>
      <c r="D88" s="147">
        <v>-0.606159</v>
      </c>
      <c r="E88" s="147">
        <v>-0.651559</v>
      </c>
      <c r="F88" s="147">
        <v>-0.59136100000000003</v>
      </c>
      <c r="G88" s="147">
        <v>-1.103416</v>
      </c>
      <c r="H88" s="147">
        <v>41.953423999999998</v>
      </c>
      <c r="I88" s="147">
        <v>9.292719</v>
      </c>
      <c r="J88" s="147">
        <v>-0.72875599999999996</v>
      </c>
      <c r="K88" s="147">
        <v>-0.54997399999999996</v>
      </c>
      <c r="L88" s="147">
        <v>-0.58327700000000005</v>
      </c>
      <c r="M88" s="147">
        <v>-0.582067</v>
      </c>
      <c r="N88" s="147">
        <v>-0.61424800000000002</v>
      </c>
      <c r="O88" s="147">
        <v>-0.627467</v>
      </c>
      <c r="P88" s="147">
        <v>-0.58012699999999995</v>
      </c>
      <c r="Q88" s="147">
        <v>-0.66887300000000005</v>
      </c>
      <c r="R88" s="147">
        <v>0</v>
      </c>
      <c r="S88"/>
      <c r="T88"/>
      <c r="U88"/>
      <c r="V88"/>
      <c r="W88"/>
      <c r="X88"/>
      <c r="Y88"/>
      <c r="Z88"/>
    </row>
    <row r="89" spans="1:26" ht="15">
      <c r="A89" s="215"/>
      <c r="B89" s="144" t="s">
        <v>78</v>
      </c>
      <c r="C89" s="147">
        <v>27.196950000000001</v>
      </c>
      <c r="D89" s="147">
        <v>18.940327</v>
      </c>
      <c r="E89" s="147">
        <v>14.238515</v>
      </c>
      <c r="F89" s="147">
        <v>18.127455999999999</v>
      </c>
      <c r="G89" s="147">
        <v>20.114982000000001</v>
      </c>
      <c r="H89" s="147">
        <v>40.523569999999999</v>
      </c>
      <c r="I89" s="147">
        <v>56.775785999999997</v>
      </c>
      <c r="J89" s="147">
        <v>61.091033000000003</v>
      </c>
      <c r="K89" s="147">
        <v>52.802481999999998</v>
      </c>
      <c r="L89" s="147">
        <v>40.707250000000002</v>
      </c>
      <c r="M89" s="147">
        <v>21.566172999999999</v>
      </c>
      <c r="N89" s="147">
        <v>26.795760999999999</v>
      </c>
      <c r="O89" s="147">
        <v>31.928764000000001</v>
      </c>
      <c r="P89" s="147">
        <v>27.285067999999999</v>
      </c>
      <c r="Q89" s="147">
        <v>26.627289999999999</v>
      </c>
      <c r="R89" s="147">
        <v>13.879502</v>
      </c>
      <c r="S89"/>
      <c r="T89"/>
      <c r="U89"/>
      <c r="V89"/>
      <c r="W89"/>
      <c r="X89"/>
      <c r="Y89"/>
      <c r="Z89"/>
    </row>
    <row r="90" spans="1:26" ht="15">
      <c r="A90" s="215"/>
      <c r="B90" s="144" t="s">
        <v>9</v>
      </c>
      <c r="C90" s="147">
        <v>18.542487000000001</v>
      </c>
      <c r="D90" s="147">
        <v>7.6657599999999997</v>
      </c>
      <c r="E90" s="147">
        <v>13.135553</v>
      </c>
      <c r="F90" s="147">
        <v>8.3072920000000003</v>
      </c>
      <c r="G90" s="147">
        <v>7.7047420000000004</v>
      </c>
      <c r="H90" s="147">
        <v>18.862037999999998</v>
      </c>
      <c r="I90" s="147">
        <v>27.349309999999999</v>
      </c>
      <c r="J90" s="147">
        <v>38.115422000000002</v>
      </c>
      <c r="K90" s="147">
        <v>38.690980000000003</v>
      </c>
      <c r="L90" s="147">
        <v>18.871455999999998</v>
      </c>
      <c r="M90" s="147">
        <v>15.480005999999999</v>
      </c>
      <c r="N90" s="147">
        <v>11.535242</v>
      </c>
      <c r="O90" s="147">
        <v>14.287936</v>
      </c>
      <c r="P90" s="147">
        <v>12.015179</v>
      </c>
      <c r="Q90" s="147">
        <v>16.589324000000001</v>
      </c>
      <c r="R90" s="147">
        <v>6.7001980000000003</v>
      </c>
      <c r="S90"/>
      <c r="T90"/>
      <c r="U90"/>
      <c r="V90"/>
      <c r="W90"/>
      <c r="X90"/>
      <c r="Y90"/>
      <c r="Z90"/>
    </row>
    <row r="91" spans="1:26" ht="15">
      <c r="A91" s="215"/>
      <c r="B91" s="144" t="s">
        <v>25</v>
      </c>
      <c r="C91" s="147">
        <v>260.27204499999999</v>
      </c>
      <c r="D91" s="147">
        <v>187.465463</v>
      </c>
      <c r="E91" s="147">
        <v>217.47864799999999</v>
      </c>
      <c r="F91" s="147">
        <v>208.53059300000001</v>
      </c>
      <c r="G91" s="147">
        <v>203.81251599999999</v>
      </c>
      <c r="H91" s="147">
        <v>240.58060900000001</v>
      </c>
      <c r="I91" s="147">
        <v>408.79444899999999</v>
      </c>
      <c r="J91" s="147">
        <v>437.91378300000002</v>
      </c>
      <c r="K91" s="147">
        <v>367.24080800000002</v>
      </c>
      <c r="L91" s="147">
        <v>312.10340600000001</v>
      </c>
      <c r="M91" s="147">
        <v>305.43751500000002</v>
      </c>
      <c r="N91" s="147">
        <v>332.59120100000001</v>
      </c>
      <c r="O91" s="147">
        <v>350.08292499999999</v>
      </c>
      <c r="P91" s="147">
        <v>298.61759000000001</v>
      </c>
      <c r="Q91" s="147">
        <v>330.99539600000003</v>
      </c>
      <c r="R91" s="147">
        <v>125.107963</v>
      </c>
      <c r="S91"/>
      <c r="T91"/>
      <c r="U91"/>
      <c r="V91"/>
      <c r="W91"/>
      <c r="X91"/>
      <c r="Y91"/>
      <c r="Z91"/>
    </row>
    <row r="92" spans="1:26" ht="15">
      <c r="A92" s="215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1.1771689999999999</v>
      </c>
      <c r="H92" s="147">
        <v>0.95765299999999998</v>
      </c>
      <c r="I92" s="147">
        <v>2.9751430000000001</v>
      </c>
      <c r="J92" s="147">
        <v>3.834768</v>
      </c>
      <c r="K92" s="147">
        <v>2.0925159999999998</v>
      </c>
      <c r="L92" s="147">
        <v>0.98881300000000005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/>
      <c r="T92"/>
      <c r="U92"/>
      <c r="V92"/>
      <c r="W92"/>
      <c r="X92"/>
      <c r="Y92"/>
      <c r="Z92"/>
    </row>
    <row r="93" spans="1:26" ht="15">
      <c r="A93" s="215"/>
      <c r="B93" s="144" t="s">
        <v>5</v>
      </c>
      <c r="C93" s="147">
        <v>0.27796300000000002</v>
      </c>
      <c r="D93" s="147">
        <v>0.15948300000000001</v>
      </c>
      <c r="E93" s="147">
        <v>0.30611500000000003</v>
      </c>
      <c r="F93" s="147">
        <v>0.29466900000000001</v>
      </c>
      <c r="G93" s="147">
        <v>0.189554</v>
      </c>
      <c r="H93" s="147">
        <v>9.4216999999999995E-2</v>
      </c>
      <c r="I93" s="147">
        <v>0.106017</v>
      </c>
      <c r="J93" s="147">
        <v>0.20128099999999999</v>
      </c>
      <c r="K93" s="147">
        <v>0.27444800000000003</v>
      </c>
      <c r="L93" s="147">
        <v>0.26974799999999999</v>
      </c>
      <c r="M93" s="147">
        <v>6.1364000000000002E-2</v>
      </c>
      <c r="N93" s="147">
        <v>0.10125000000000001</v>
      </c>
      <c r="O93" s="147">
        <v>0.215638</v>
      </c>
      <c r="P93" s="147">
        <v>0.22824</v>
      </c>
      <c r="Q93" s="147">
        <v>0.33845999999999998</v>
      </c>
      <c r="R93" s="147">
        <v>0.12606999999999999</v>
      </c>
      <c r="S93"/>
      <c r="T93"/>
      <c r="U93"/>
      <c r="V93"/>
      <c r="W93"/>
      <c r="X93"/>
      <c r="Y93"/>
      <c r="Z93"/>
    </row>
    <row r="94" spans="1:26" ht="15">
      <c r="A94" s="215"/>
      <c r="B94" s="144" t="s">
        <v>4</v>
      </c>
      <c r="C94" s="147">
        <v>8.5897050000000004</v>
      </c>
      <c r="D94" s="147">
        <v>9.5130970000000001</v>
      </c>
      <c r="E94" s="147">
        <v>13.295218999999999</v>
      </c>
      <c r="F94" s="147">
        <v>14.71546</v>
      </c>
      <c r="G94" s="147">
        <v>22.208131999999999</v>
      </c>
      <c r="H94" s="147">
        <v>21.169694</v>
      </c>
      <c r="I94" s="147">
        <v>22.966384000000001</v>
      </c>
      <c r="J94" s="147">
        <v>21.414781000000001</v>
      </c>
      <c r="K94" s="147">
        <v>17.622215000000001</v>
      </c>
      <c r="L94" s="147">
        <v>16.792960999999998</v>
      </c>
      <c r="M94" s="147">
        <v>8.8102359999999997</v>
      </c>
      <c r="N94" s="147">
        <v>11.149039999999999</v>
      </c>
      <c r="O94" s="147">
        <v>13.971553</v>
      </c>
      <c r="P94" s="147">
        <v>17.801418000000002</v>
      </c>
      <c r="Q94" s="147">
        <v>13.605662000000001</v>
      </c>
      <c r="R94" s="147">
        <v>6.7808999999999999</v>
      </c>
      <c r="S94"/>
      <c r="T94"/>
      <c r="U94"/>
      <c r="V94"/>
      <c r="W94"/>
      <c r="X94"/>
      <c r="Y94"/>
      <c r="Z94"/>
    </row>
    <row r="95" spans="1:26" ht="15">
      <c r="A95" s="215"/>
      <c r="B95" s="144" t="s">
        <v>22</v>
      </c>
      <c r="C95" s="147">
        <v>5.7757000000000003E-2</v>
      </c>
      <c r="D95" s="147">
        <v>7.6887999999999998E-2</v>
      </c>
      <c r="E95" s="147">
        <v>0.13778699999999999</v>
      </c>
      <c r="F95" s="147">
        <v>0.10574</v>
      </c>
      <c r="G95" s="147">
        <v>0.118546</v>
      </c>
      <c r="H95" s="147">
        <v>0.10044400000000001</v>
      </c>
      <c r="I95" s="147">
        <v>9.6151E-2</v>
      </c>
      <c r="J95" s="147">
        <v>8.4413000000000002E-2</v>
      </c>
      <c r="K95" s="147">
        <v>8.1381999999999996E-2</v>
      </c>
      <c r="L95" s="147">
        <v>0.243059</v>
      </c>
      <c r="M95" s="147">
        <v>0.24007600000000001</v>
      </c>
      <c r="N95" s="147">
        <v>0.230462</v>
      </c>
      <c r="O95" s="147">
        <v>0.285244</v>
      </c>
      <c r="P95" s="147">
        <v>0.28095199999999998</v>
      </c>
      <c r="Q95" s="147">
        <v>0.29118100000000002</v>
      </c>
      <c r="R95" s="147">
        <v>0.10661</v>
      </c>
      <c r="S95"/>
      <c r="T95"/>
      <c r="U95"/>
      <c r="V95"/>
      <c r="W95"/>
      <c r="X95"/>
      <c r="Y95"/>
      <c r="Z95"/>
    </row>
    <row r="96" spans="1:26" ht="15">
      <c r="A96" s="215"/>
      <c r="B96" s="144" t="s">
        <v>23</v>
      </c>
      <c r="C96" s="147">
        <v>4.0659429999999999</v>
      </c>
      <c r="D96" s="147">
        <v>3.641699</v>
      </c>
      <c r="E96" s="147">
        <v>3.9954990000000001</v>
      </c>
      <c r="F96" s="147">
        <v>3.2208809999999999</v>
      </c>
      <c r="G96" s="147">
        <v>2.5715810000000001</v>
      </c>
      <c r="H96" s="147">
        <v>3.062163</v>
      </c>
      <c r="I96" s="147">
        <v>4.0856940000000002</v>
      </c>
      <c r="J96" s="147">
        <v>3.9309270000000001</v>
      </c>
      <c r="K96" s="147">
        <v>3.8190279999999999</v>
      </c>
      <c r="L96" s="147">
        <v>4.0205719999999996</v>
      </c>
      <c r="M96" s="147">
        <v>1.4121680000000001</v>
      </c>
      <c r="N96" s="147">
        <v>3.5189080000000001</v>
      </c>
      <c r="O96" s="147">
        <v>3.4010050000000001</v>
      </c>
      <c r="P96" s="147">
        <v>3.0684070000000001</v>
      </c>
      <c r="Q96" s="147">
        <v>3.993204</v>
      </c>
      <c r="R96" s="147">
        <v>0.94079999999999997</v>
      </c>
      <c r="S96"/>
      <c r="T96"/>
      <c r="U96"/>
      <c r="V96"/>
      <c r="W96"/>
      <c r="X96"/>
      <c r="Y96"/>
      <c r="Z96"/>
    </row>
    <row r="97" spans="1:26" ht="15">
      <c r="A97" s="215"/>
      <c r="B97" s="144" t="s">
        <v>54</v>
      </c>
      <c r="C97" s="147">
        <v>7.1515275000000003</v>
      </c>
      <c r="D97" s="147">
        <v>10.723705000000001</v>
      </c>
      <c r="E97" s="147">
        <v>10.093087499999999</v>
      </c>
      <c r="F97" s="147">
        <v>7.5393055000000002</v>
      </c>
      <c r="G97" s="147">
        <v>6.0236640000000001</v>
      </c>
      <c r="H97" s="147">
        <v>13.481942</v>
      </c>
      <c r="I97" s="147">
        <v>11.473026000000001</v>
      </c>
      <c r="J97" s="147">
        <v>13.3199895</v>
      </c>
      <c r="K97" s="147">
        <v>11.972504499999999</v>
      </c>
      <c r="L97" s="147">
        <v>6.4146000000000001</v>
      </c>
      <c r="M97" s="147">
        <v>13.8683715</v>
      </c>
      <c r="N97" s="147">
        <v>8.8660929999999993</v>
      </c>
      <c r="O97" s="147">
        <v>9.8711500000000001</v>
      </c>
      <c r="P97" s="147">
        <v>5.4414375000000001</v>
      </c>
      <c r="Q97" s="147">
        <v>9.6633200000000006</v>
      </c>
      <c r="R97" s="147">
        <v>1.7112000000000001</v>
      </c>
      <c r="S97"/>
      <c r="T97"/>
      <c r="U97"/>
      <c r="V97"/>
      <c r="W97"/>
      <c r="X97"/>
      <c r="Y97"/>
      <c r="Z97"/>
    </row>
    <row r="98" spans="1:26" ht="15">
      <c r="A98" s="215"/>
      <c r="B98" s="144" t="s">
        <v>55</v>
      </c>
      <c r="C98" s="147">
        <v>7.1515275000000003</v>
      </c>
      <c r="D98" s="147">
        <v>10.723705000000001</v>
      </c>
      <c r="E98" s="147">
        <v>10.093087499999999</v>
      </c>
      <c r="F98" s="147">
        <v>7.5393055000000002</v>
      </c>
      <c r="G98" s="147">
        <v>6.0236640000000001</v>
      </c>
      <c r="H98" s="147">
        <v>13.481942</v>
      </c>
      <c r="I98" s="147">
        <v>11.473026000000001</v>
      </c>
      <c r="J98" s="147">
        <v>13.3199895</v>
      </c>
      <c r="K98" s="147">
        <v>11.972504499999999</v>
      </c>
      <c r="L98" s="147">
        <v>6.4146000000000001</v>
      </c>
      <c r="M98" s="147">
        <v>13.8683715</v>
      </c>
      <c r="N98" s="147">
        <v>8.8660929999999993</v>
      </c>
      <c r="O98" s="147">
        <v>9.8711500000000001</v>
      </c>
      <c r="P98" s="147">
        <v>5.4414375000000001</v>
      </c>
      <c r="Q98" s="147">
        <v>9.6633200000000006</v>
      </c>
      <c r="R98" s="147">
        <v>1.7112000000000001</v>
      </c>
      <c r="S98"/>
      <c r="T98"/>
      <c r="U98"/>
      <c r="V98"/>
      <c r="W98"/>
      <c r="X98"/>
      <c r="Y98"/>
      <c r="Z98"/>
    </row>
    <row r="99" spans="1:26" ht="15">
      <c r="A99" s="215"/>
      <c r="B99" s="149" t="s">
        <v>2</v>
      </c>
      <c r="C99" s="150">
        <v>332.67321299999998</v>
      </c>
      <c r="D99" s="150">
        <v>248.303968</v>
      </c>
      <c r="E99" s="150">
        <v>282.12195200000002</v>
      </c>
      <c r="F99" s="150">
        <v>267.78934099999998</v>
      </c>
      <c r="G99" s="150">
        <v>268.84113400000001</v>
      </c>
      <c r="H99" s="150">
        <v>394.267696</v>
      </c>
      <c r="I99" s="150">
        <v>555.38770499999998</v>
      </c>
      <c r="J99" s="150">
        <v>592.49763099999996</v>
      </c>
      <c r="K99" s="150">
        <v>506.01889399999999</v>
      </c>
      <c r="L99" s="150">
        <v>406.24318799999998</v>
      </c>
      <c r="M99" s="150">
        <v>380.16221400000001</v>
      </c>
      <c r="N99" s="150">
        <v>403.03980200000001</v>
      </c>
      <c r="O99" s="150">
        <v>433.28789799999998</v>
      </c>
      <c r="P99" s="150">
        <v>369.599602</v>
      </c>
      <c r="Q99" s="150">
        <v>411.09828399999998</v>
      </c>
      <c r="R99" s="150">
        <v>157.06444300000001</v>
      </c>
      <c r="S99"/>
      <c r="T99"/>
      <c r="U99"/>
      <c r="V99"/>
      <c r="W99"/>
      <c r="X99"/>
      <c r="Y99"/>
      <c r="Z99"/>
    </row>
    <row r="100" spans="1:26" ht="15">
      <c r="A100" s="215"/>
      <c r="B100" s="144" t="s">
        <v>21</v>
      </c>
      <c r="C100" s="147">
        <v>138.25041200000001</v>
      </c>
      <c r="D100" s="147">
        <v>113.412009</v>
      </c>
      <c r="E100" s="147">
        <v>127.985573</v>
      </c>
      <c r="F100" s="147">
        <v>111.02179700000001</v>
      </c>
      <c r="G100" s="147">
        <v>111.601713</v>
      </c>
      <c r="H100" s="147">
        <v>65.429468</v>
      </c>
      <c r="I100" s="147">
        <v>45.879221000000001</v>
      </c>
      <c r="J100" s="147">
        <v>40.107311000000003</v>
      </c>
      <c r="K100" s="147">
        <v>37.549396999999999</v>
      </c>
      <c r="L100" s="147">
        <v>38.285525</v>
      </c>
      <c r="M100" s="147">
        <v>28.435708999999999</v>
      </c>
      <c r="N100" s="147">
        <v>32.270831999999999</v>
      </c>
      <c r="O100" s="147">
        <v>31.159338999999999</v>
      </c>
      <c r="P100" s="147">
        <v>27.502502</v>
      </c>
      <c r="Q100" s="147">
        <v>30.689281000000001</v>
      </c>
      <c r="R100" s="147">
        <v>12.26</v>
      </c>
      <c r="S100"/>
      <c r="T100"/>
      <c r="U100"/>
      <c r="V100"/>
      <c r="W100"/>
      <c r="X100"/>
      <c r="Y100"/>
      <c r="Z100"/>
    </row>
    <row r="101" spans="1:26" ht="15">
      <c r="A101" s="216"/>
      <c r="B101" s="149" t="s">
        <v>79</v>
      </c>
      <c r="C101" s="150">
        <v>470.92362500000002</v>
      </c>
      <c r="D101" s="150">
        <v>361.71597700000001</v>
      </c>
      <c r="E101" s="150">
        <v>410.10752500000001</v>
      </c>
      <c r="F101" s="150">
        <v>378.81113800000003</v>
      </c>
      <c r="G101" s="150">
        <v>380.44284699999997</v>
      </c>
      <c r="H101" s="150">
        <v>459.69716399999999</v>
      </c>
      <c r="I101" s="150">
        <v>601.26692600000001</v>
      </c>
      <c r="J101" s="150">
        <v>632.60494200000005</v>
      </c>
      <c r="K101" s="150">
        <v>543.56829100000004</v>
      </c>
      <c r="L101" s="150">
        <v>444.52871299999998</v>
      </c>
      <c r="M101" s="150">
        <v>408.59792299999998</v>
      </c>
      <c r="N101" s="150">
        <v>435.31063399999999</v>
      </c>
      <c r="O101" s="150">
        <v>464.44723699999997</v>
      </c>
      <c r="P101" s="150">
        <v>397.102104</v>
      </c>
      <c r="Q101" s="150">
        <v>441.78756499999997</v>
      </c>
      <c r="R101" s="150">
        <v>169.324443</v>
      </c>
      <c r="S101"/>
      <c r="T101"/>
      <c r="U101"/>
      <c r="V101"/>
      <c r="W101"/>
      <c r="X101"/>
      <c r="Y101"/>
      <c r="Z101"/>
    </row>
    <row r="102" spans="1:26" ht="15">
      <c r="A102" s="214" t="s">
        <v>58</v>
      </c>
      <c r="B102" s="144" t="s">
        <v>12</v>
      </c>
      <c r="C102" s="147">
        <v>0.29762100000000002</v>
      </c>
      <c r="D102" s="147">
        <v>0.25852999999999998</v>
      </c>
      <c r="E102" s="147">
        <v>0.28226499999999999</v>
      </c>
      <c r="F102" s="147">
        <v>0.13780600000000001</v>
      </c>
      <c r="G102" s="147">
        <v>0.26783600000000002</v>
      </c>
      <c r="H102" s="147">
        <v>0.28217700000000001</v>
      </c>
      <c r="I102" s="147">
        <v>0.28972599999999998</v>
      </c>
      <c r="J102" s="147">
        <v>0.28065899999999999</v>
      </c>
      <c r="K102" s="147">
        <v>0.27753299999999997</v>
      </c>
      <c r="L102" s="147">
        <v>0.28213100000000002</v>
      </c>
      <c r="M102" s="147">
        <v>0.23125799999999999</v>
      </c>
      <c r="N102" s="147">
        <v>0.15536</v>
      </c>
      <c r="O102" s="147">
        <v>0.294213</v>
      </c>
      <c r="P102" s="147">
        <v>0.25058200000000003</v>
      </c>
      <c r="Q102" s="147">
        <v>0.29644599999999999</v>
      </c>
      <c r="R102" s="147">
        <v>0</v>
      </c>
      <c r="S102"/>
      <c r="T102"/>
      <c r="U102"/>
      <c r="V102"/>
      <c r="W102"/>
      <c r="X102"/>
      <c r="Y102"/>
      <c r="Z102"/>
    </row>
    <row r="103" spans="1:26" ht="15">
      <c r="A103" s="215"/>
      <c r="B103" s="144" t="s">
        <v>78</v>
      </c>
      <c r="C103" s="147">
        <v>141.05104299999999</v>
      </c>
      <c r="D103" s="147">
        <v>112.359525</v>
      </c>
      <c r="E103" s="147">
        <v>128.50312700000001</v>
      </c>
      <c r="F103" s="147">
        <v>140.012246</v>
      </c>
      <c r="G103" s="147">
        <v>126.338086</v>
      </c>
      <c r="H103" s="147">
        <v>133.47636299999999</v>
      </c>
      <c r="I103" s="147">
        <v>143.30591200000001</v>
      </c>
      <c r="J103" s="147">
        <v>156.76768200000001</v>
      </c>
      <c r="K103" s="147">
        <v>167.979367</v>
      </c>
      <c r="L103" s="147">
        <v>160.016738</v>
      </c>
      <c r="M103" s="147">
        <v>150.664601</v>
      </c>
      <c r="N103" s="147">
        <v>156.43285700000001</v>
      </c>
      <c r="O103" s="147">
        <v>144.976482</v>
      </c>
      <c r="P103" s="147">
        <v>129.27893900000001</v>
      </c>
      <c r="Q103" s="147">
        <v>148.836814</v>
      </c>
      <c r="R103" s="147">
        <v>54.055698999999997</v>
      </c>
      <c r="S103"/>
      <c r="T103"/>
      <c r="U103"/>
      <c r="V103"/>
      <c r="W103"/>
      <c r="X103"/>
      <c r="Y103"/>
      <c r="Z103"/>
    </row>
    <row r="104" spans="1:26" ht="15">
      <c r="A104" s="215"/>
      <c r="B104" s="144" t="s">
        <v>9</v>
      </c>
      <c r="C104" s="147">
        <v>10.157844000000001</v>
      </c>
      <c r="D104" s="147">
        <v>10.355027</v>
      </c>
      <c r="E104" s="147">
        <v>14.760713000000001</v>
      </c>
      <c r="F104" s="147">
        <v>16.229486999999999</v>
      </c>
      <c r="G104" s="147">
        <v>17.203126999999999</v>
      </c>
      <c r="H104" s="147">
        <v>15.24977</v>
      </c>
      <c r="I104" s="147">
        <v>13.198846</v>
      </c>
      <c r="J104" s="147">
        <v>9.7369489999999992</v>
      </c>
      <c r="K104" s="147">
        <v>32.625571999999998</v>
      </c>
      <c r="L104" s="147">
        <v>27.415593999999999</v>
      </c>
      <c r="M104" s="147">
        <v>14.576139</v>
      </c>
      <c r="N104" s="147">
        <v>17.516629999999999</v>
      </c>
      <c r="O104" s="147">
        <v>20.123602000000002</v>
      </c>
      <c r="P104" s="147">
        <v>22.305457000000001</v>
      </c>
      <c r="Q104" s="147">
        <v>22.266936999999999</v>
      </c>
      <c r="R104" s="147">
        <v>7.0338430000000001</v>
      </c>
      <c r="S104"/>
      <c r="T104"/>
      <c r="U104"/>
      <c r="V104"/>
      <c r="W104"/>
      <c r="X104"/>
      <c r="Y104"/>
      <c r="Z104"/>
    </row>
    <row r="105" spans="1:26" ht="15">
      <c r="A105" s="215"/>
      <c r="B105" s="144" t="s">
        <v>8</v>
      </c>
      <c r="C105" s="147">
        <v>116.282053</v>
      </c>
      <c r="D105" s="147">
        <v>104.960847</v>
      </c>
      <c r="E105" s="147">
        <v>100.758259</v>
      </c>
      <c r="F105" s="147">
        <v>70.652975999999995</v>
      </c>
      <c r="G105" s="147">
        <v>62.41677</v>
      </c>
      <c r="H105" s="147">
        <v>33.486941999999999</v>
      </c>
      <c r="I105" s="147">
        <v>66.134209999999996</v>
      </c>
      <c r="J105" s="147">
        <v>99.644189999999995</v>
      </c>
      <c r="K105" s="147">
        <v>113.210213</v>
      </c>
      <c r="L105" s="147">
        <v>112.484255</v>
      </c>
      <c r="M105" s="147">
        <v>115.10042799999999</v>
      </c>
      <c r="N105" s="147">
        <v>112.90636000000001</v>
      </c>
      <c r="O105" s="147">
        <v>117.422501</v>
      </c>
      <c r="P105" s="147">
        <v>102.630663</v>
      </c>
      <c r="Q105" s="147">
        <v>114.385115</v>
      </c>
      <c r="R105" s="147">
        <v>36.588650999999999</v>
      </c>
      <c r="S105"/>
      <c r="T105"/>
      <c r="U105"/>
      <c r="V105"/>
      <c r="W105"/>
      <c r="X105"/>
      <c r="Y105"/>
      <c r="Z105"/>
    </row>
    <row r="106" spans="1:26" ht="15">
      <c r="A106" s="215"/>
      <c r="B106" s="144" t="s">
        <v>25</v>
      </c>
      <c r="C106" s="147">
        <v>280.66014899999999</v>
      </c>
      <c r="D106" s="147">
        <v>269.76136200000002</v>
      </c>
      <c r="E106" s="147">
        <v>284.19602200000003</v>
      </c>
      <c r="F106" s="147">
        <v>311.21022299999998</v>
      </c>
      <c r="G106" s="147">
        <v>236.28277700000001</v>
      </c>
      <c r="H106" s="147">
        <v>276.61590899999999</v>
      </c>
      <c r="I106" s="147">
        <v>284.60979800000001</v>
      </c>
      <c r="J106" s="147">
        <v>284.30052499999999</v>
      </c>
      <c r="K106" s="147">
        <v>278.88830000000002</v>
      </c>
      <c r="L106" s="147">
        <v>288.42916700000001</v>
      </c>
      <c r="M106" s="147">
        <v>314.272829</v>
      </c>
      <c r="N106" s="147">
        <v>321.01253800000001</v>
      </c>
      <c r="O106" s="147">
        <v>350.31383599999998</v>
      </c>
      <c r="P106" s="147">
        <v>285.33313399999997</v>
      </c>
      <c r="Q106" s="147">
        <v>288.5179</v>
      </c>
      <c r="R106" s="147">
        <v>108.276062</v>
      </c>
      <c r="S106"/>
      <c r="T106"/>
      <c r="U106"/>
      <c r="V106"/>
      <c r="W106"/>
      <c r="X106"/>
      <c r="Y106"/>
      <c r="Z106"/>
    </row>
    <row r="107" spans="1:26" ht="15">
      <c r="A107" s="215"/>
      <c r="B107" s="144" t="s">
        <v>6</v>
      </c>
      <c r="C107" s="147">
        <v>0.99317</v>
      </c>
      <c r="D107" s="147">
        <v>1.226483</v>
      </c>
      <c r="E107" s="147">
        <v>1.921443</v>
      </c>
      <c r="F107" s="147">
        <v>0.83590799999999998</v>
      </c>
      <c r="G107" s="147">
        <v>3.227077</v>
      </c>
      <c r="H107" s="147">
        <v>3.0020419999999999</v>
      </c>
      <c r="I107" s="147">
        <v>3.5782180000000001</v>
      </c>
      <c r="J107" s="147">
        <v>2.663478</v>
      </c>
      <c r="K107" s="147">
        <v>1.4201079999999999</v>
      </c>
      <c r="L107" s="147">
        <v>1.852679</v>
      </c>
      <c r="M107" s="147">
        <v>1.1397900000000001</v>
      </c>
      <c r="N107" s="147">
        <v>1.2278610000000001</v>
      </c>
      <c r="O107" s="147">
        <v>1.110916</v>
      </c>
      <c r="P107" s="147">
        <v>1.4820450000000001</v>
      </c>
      <c r="Q107" s="147">
        <v>2.1263230000000002</v>
      </c>
      <c r="R107" s="147">
        <v>0.41137600000000002</v>
      </c>
      <c r="S107"/>
      <c r="T107"/>
      <c r="U107"/>
      <c r="V107"/>
      <c r="W107"/>
      <c r="X107"/>
      <c r="Y107"/>
      <c r="Z107"/>
    </row>
    <row r="108" spans="1:26" ht="15">
      <c r="A108" s="215"/>
      <c r="B108" s="144" t="s">
        <v>5</v>
      </c>
      <c r="C108" s="147">
        <v>81.695520000000002</v>
      </c>
      <c r="D108" s="147">
        <v>58.777921999999997</v>
      </c>
      <c r="E108" s="147">
        <v>84.883152999999993</v>
      </c>
      <c r="F108" s="147">
        <v>53.035682999999999</v>
      </c>
      <c r="G108" s="147">
        <v>164.67089200000001</v>
      </c>
      <c r="H108" s="147">
        <v>148.01756800000001</v>
      </c>
      <c r="I108" s="147">
        <v>158.51629800000001</v>
      </c>
      <c r="J108" s="147">
        <v>145.95032699999999</v>
      </c>
      <c r="K108" s="147">
        <v>107.853368</v>
      </c>
      <c r="L108" s="147">
        <v>121.987015</v>
      </c>
      <c r="M108" s="147">
        <v>91.770038</v>
      </c>
      <c r="N108" s="147">
        <v>92.867580000000004</v>
      </c>
      <c r="O108" s="147">
        <v>60.108277000000001</v>
      </c>
      <c r="P108" s="147">
        <v>88.969560999999999</v>
      </c>
      <c r="Q108" s="147">
        <v>108.99192499999999</v>
      </c>
      <c r="R108" s="147">
        <v>34.064912999999997</v>
      </c>
      <c r="S108"/>
      <c r="T108"/>
      <c r="U108"/>
      <c r="V108"/>
      <c r="W108"/>
      <c r="X108"/>
      <c r="Y108"/>
      <c r="Z108"/>
    </row>
    <row r="109" spans="1:26" ht="15">
      <c r="A109" s="215"/>
      <c r="B109" s="144" t="s">
        <v>4</v>
      </c>
      <c r="C109" s="147">
        <v>16.647461</v>
      </c>
      <c r="D109" s="147">
        <v>18.033656000000001</v>
      </c>
      <c r="E109" s="147">
        <v>24.504390000000001</v>
      </c>
      <c r="F109" s="147">
        <v>22.758417999999999</v>
      </c>
      <c r="G109" s="147">
        <v>27.092843999999999</v>
      </c>
      <c r="H109" s="147">
        <v>24.741710999999999</v>
      </c>
      <c r="I109" s="147">
        <v>27.937771999999999</v>
      </c>
      <c r="J109" s="147">
        <v>26.120768999999999</v>
      </c>
      <c r="K109" s="147">
        <v>21.565273000000001</v>
      </c>
      <c r="L109" s="147">
        <v>20.979474</v>
      </c>
      <c r="M109" s="147">
        <v>14.946410999999999</v>
      </c>
      <c r="N109" s="147">
        <v>16.937016</v>
      </c>
      <c r="O109" s="147">
        <v>17.847128000000001</v>
      </c>
      <c r="P109" s="147">
        <v>18.690237</v>
      </c>
      <c r="Q109" s="147">
        <v>24.855595999999998</v>
      </c>
      <c r="R109" s="147">
        <v>9.9347689999999993</v>
      </c>
      <c r="S109"/>
      <c r="T109"/>
      <c r="U109"/>
      <c r="V109"/>
      <c r="W109"/>
      <c r="X109"/>
      <c r="Y109"/>
      <c r="Z109"/>
    </row>
    <row r="110" spans="1:26" ht="15">
      <c r="A110" s="215"/>
      <c r="B110" s="144" t="s">
        <v>22</v>
      </c>
      <c r="C110" s="147">
        <v>0.35872300000000001</v>
      </c>
      <c r="D110" s="147">
        <v>0.69978200000000002</v>
      </c>
      <c r="E110" s="147">
        <v>0.79178499999999996</v>
      </c>
      <c r="F110" s="147">
        <v>0.72202100000000002</v>
      </c>
      <c r="G110" s="147">
        <v>0.72256799999999999</v>
      </c>
      <c r="H110" s="147">
        <v>0.72395900000000002</v>
      </c>
      <c r="I110" s="147">
        <v>0.73402900000000004</v>
      </c>
      <c r="J110" s="147">
        <v>0.56980699999999995</v>
      </c>
      <c r="K110" s="147">
        <v>0.40013300000000002</v>
      </c>
      <c r="L110" s="147">
        <v>0.75599700000000003</v>
      </c>
      <c r="M110" s="147">
        <v>0.75323799999999996</v>
      </c>
      <c r="N110" s="147">
        <v>0.822349</v>
      </c>
      <c r="O110" s="147">
        <v>0.86053100000000005</v>
      </c>
      <c r="P110" s="147">
        <v>0.72069799999999995</v>
      </c>
      <c r="Q110" s="147">
        <v>0.90984399999999999</v>
      </c>
      <c r="R110" s="147">
        <v>0</v>
      </c>
      <c r="S110"/>
      <c r="T110"/>
      <c r="U110"/>
      <c r="V110"/>
      <c r="W110"/>
      <c r="X110"/>
      <c r="Y110"/>
      <c r="Z110"/>
    </row>
    <row r="111" spans="1:26" ht="15">
      <c r="A111" s="215"/>
      <c r="B111" s="149" t="s">
        <v>2</v>
      </c>
      <c r="C111" s="150">
        <v>648.14358400000003</v>
      </c>
      <c r="D111" s="150">
        <v>576.433134</v>
      </c>
      <c r="E111" s="150">
        <v>640.60115699999994</v>
      </c>
      <c r="F111" s="150">
        <v>615.59476800000004</v>
      </c>
      <c r="G111" s="150">
        <v>638.22197700000004</v>
      </c>
      <c r="H111" s="150">
        <v>635.59644100000003</v>
      </c>
      <c r="I111" s="150">
        <v>698.30480899999998</v>
      </c>
      <c r="J111" s="150">
        <v>726.03438600000004</v>
      </c>
      <c r="K111" s="150">
        <v>724.21986700000002</v>
      </c>
      <c r="L111" s="150">
        <v>734.20304999999996</v>
      </c>
      <c r="M111" s="150">
        <v>703.45473200000004</v>
      </c>
      <c r="N111" s="150">
        <v>719.87855100000002</v>
      </c>
      <c r="O111" s="150">
        <v>713.05748600000004</v>
      </c>
      <c r="P111" s="150">
        <v>649.66131600000006</v>
      </c>
      <c r="Q111" s="150">
        <v>711.18690000000004</v>
      </c>
      <c r="R111" s="150">
        <v>250.36531299999999</v>
      </c>
      <c r="S111"/>
      <c r="T111"/>
      <c r="U111"/>
      <c r="V111"/>
      <c r="W111"/>
      <c r="X111"/>
      <c r="Y111"/>
      <c r="Z111"/>
    </row>
    <row r="112" spans="1:26" ht="15">
      <c r="A112" s="216"/>
      <c r="B112" s="149" t="s">
        <v>79</v>
      </c>
      <c r="C112" s="150">
        <v>648.14358400000003</v>
      </c>
      <c r="D112" s="150">
        <v>576.433134</v>
      </c>
      <c r="E112" s="150">
        <v>640.60115699999994</v>
      </c>
      <c r="F112" s="150">
        <v>615.59476800000004</v>
      </c>
      <c r="G112" s="150">
        <v>638.22197700000004</v>
      </c>
      <c r="H112" s="150">
        <v>635.59644100000003</v>
      </c>
      <c r="I112" s="150">
        <v>698.30480899999998</v>
      </c>
      <c r="J112" s="150">
        <v>726.03438600000004</v>
      </c>
      <c r="K112" s="150">
        <v>724.21986700000002</v>
      </c>
      <c r="L112" s="150">
        <v>734.20304999999996</v>
      </c>
      <c r="M112" s="150">
        <v>703.45473200000004</v>
      </c>
      <c r="N112" s="150">
        <v>719.87855100000002</v>
      </c>
      <c r="O112" s="150">
        <v>713.05748600000004</v>
      </c>
      <c r="P112" s="150">
        <v>649.66131600000006</v>
      </c>
      <c r="Q112" s="150">
        <v>711.18690000000004</v>
      </c>
      <c r="R112" s="150">
        <v>250.36531299999999</v>
      </c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2" t="s">
        <v>73</v>
      </c>
      <c r="C117" s="120" t="str">
        <f>TEXT(EDATE(D117,-1),"mmmm aaaa")</f>
        <v>marzo 2021</v>
      </c>
      <c r="D117" s="120" t="str">
        <f t="shared" ref="D117:M117" si="6">TEXT(EDATE(E117,-1),"mmmm aaaa")</f>
        <v>abril 2021</v>
      </c>
      <c r="E117" s="120" t="str">
        <f t="shared" si="6"/>
        <v>mayo 2021</v>
      </c>
      <c r="F117" s="120" t="str">
        <f t="shared" si="6"/>
        <v>junio 2021</v>
      </c>
      <c r="G117" s="120" t="str">
        <f t="shared" si="6"/>
        <v>julio 2021</v>
      </c>
      <c r="H117" s="120" t="str">
        <f t="shared" si="6"/>
        <v>agosto 2021</v>
      </c>
      <c r="I117" s="120" t="str">
        <f t="shared" si="6"/>
        <v>septiembre 2021</v>
      </c>
      <c r="J117" s="120" t="str">
        <f t="shared" si="6"/>
        <v>octubre 2021</v>
      </c>
      <c r="K117" s="120" t="str">
        <f t="shared" si="6"/>
        <v>noviembre 2021</v>
      </c>
      <c r="L117" s="120" t="str">
        <f t="shared" si="6"/>
        <v>diciembre 2021</v>
      </c>
      <c r="M117" s="120" t="str">
        <f t="shared" si="6"/>
        <v>enero 2022</v>
      </c>
      <c r="N117" s="120" t="str">
        <f>TEXT(EDATE(O117,-1),"mmmm aaaa")</f>
        <v>febrero 2022</v>
      </c>
      <c r="O117" s="121" t="str">
        <f>A2</f>
        <v>Marzo 2022</v>
      </c>
    </row>
    <row r="118" spans="1:19">
      <c r="B118" s="213"/>
      <c r="C118" s="131" t="str">
        <f>TEXT(EDATE($A$2,-12),"mmm")&amp;".-"&amp;TEXT(EDATE($A$2,-12),"aa")</f>
        <v>mar.-21</v>
      </c>
      <c r="D118" s="131" t="str">
        <f>TEXT(EDATE($A$2,-11),"mmm")&amp;".-"&amp;TEXT(EDATE($A$2,-11),"aa")</f>
        <v>abr.-21</v>
      </c>
      <c r="E118" s="131" t="str">
        <f>TEXT(EDATE($A$2,-10),"mmm")&amp;".-"&amp;TEXT(EDATE($A$2,-10),"aa")</f>
        <v>may.-21</v>
      </c>
      <c r="F118" s="131" t="str">
        <f>TEXT(EDATE($A$2,-9),"mmm")&amp;".-"&amp;TEXT(EDATE($A$2,-9),"aa")</f>
        <v>jun.-21</v>
      </c>
      <c r="G118" s="131" t="str">
        <f>TEXT(EDATE($A$2,-8),"mmm")&amp;".-"&amp;TEXT(EDATE($A$2,-8),"aa")</f>
        <v>jul.-21</v>
      </c>
      <c r="H118" s="131" t="str">
        <f>TEXT(EDATE($A$2,-7),"mmm")&amp;".-"&amp;TEXT(EDATE($A$2,-7),"aa")</f>
        <v>ago.-21</v>
      </c>
      <c r="I118" s="131" t="str">
        <f>TEXT(EDATE($A$2,-6),"mmm")&amp;".-"&amp;TEXT(EDATE($A$2,-6),"aa")</f>
        <v>sep.-21</v>
      </c>
      <c r="J118" s="131" t="str">
        <f>TEXT(EDATE($A$2,-5),"mmm")&amp;".-"&amp;TEXT(EDATE($A$2,-5),"aa")</f>
        <v>oct.-21</v>
      </c>
      <c r="K118" s="131" t="str">
        <f>TEXT(EDATE($A$2,-4),"mmm")&amp;".-"&amp;TEXT(EDATE($A$2,-4),"aa")</f>
        <v>nov.-21</v>
      </c>
      <c r="L118" s="131" t="str">
        <f>TEXT(EDATE($A$2,-3),"mmm")&amp;".-"&amp;TEXT(EDATE($A$2,-3),"aa")</f>
        <v>dic.-21</v>
      </c>
      <c r="M118" s="131" t="str">
        <f>TEXT(EDATE($A$2,-2),"mmm")&amp;".-"&amp;TEXT(EDATE($A$2,-2),"aa")</f>
        <v>ene.-22</v>
      </c>
      <c r="N118" s="131" t="str">
        <f>TEXT(EDATE($A$2,-1),"mmm")&amp;".-"&amp;TEXT(EDATE($A$2,-1),"aa")</f>
        <v>feb.-22</v>
      </c>
      <c r="O118" s="160" t="str">
        <f>TEXT($A$2,"mmm")&amp;".-"&amp;TEXT($A$2,"aa")</f>
        <v>mar.-22</v>
      </c>
    </row>
    <row r="119" spans="1:19">
      <c r="A119" s="209" t="s">
        <v>76</v>
      </c>
      <c r="B119" s="132" t="s">
        <v>11</v>
      </c>
      <c r="C119" s="133">
        <f>HLOOKUP(C$117,$86:$101,3,FALSE)</f>
        <v>-0.651559</v>
      </c>
      <c r="D119" s="133">
        <f t="shared" ref="D119:N119" si="7">HLOOKUP(D$117,$86:$101,3,FALSE)</f>
        <v>-0.59136100000000003</v>
      </c>
      <c r="E119" s="133">
        <f t="shared" si="7"/>
        <v>-1.103416</v>
      </c>
      <c r="F119" s="133">
        <f t="shared" si="7"/>
        <v>41.953423999999998</v>
      </c>
      <c r="G119" s="133">
        <f t="shared" si="7"/>
        <v>9.292719</v>
      </c>
      <c r="H119" s="133">
        <f t="shared" si="7"/>
        <v>-0.72875599999999996</v>
      </c>
      <c r="I119" s="133">
        <f t="shared" si="7"/>
        <v>-0.54997399999999996</v>
      </c>
      <c r="J119" s="133">
        <f t="shared" si="7"/>
        <v>-0.58327700000000005</v>
      </c>
      <c r="K119" s="133">
        <f t="shared" si="7"/>
        <v>-0.582067</v>
      </c>
      <c r="L119" s="133">
        <f t="shared" si="7"/>
        <v>-0.61424800000000002</v>
      </c>
      <c r="M119" s="133">
        <f t="shared" si="7"/>
        <v>-0.627467</v>
      </c>
      <c r="N119" s="133">
        <f t="shared" si="7"/>
        <v>-0.58012699999999995</v>
      </c>
      <c r="O119" s="134">
        <f>HLOOKUP(O$117,$86:$101,3,FALSE)</f>
        <v>-0.66887300000000005</v>
      </c>
    </row>
    <row r="120" spans="1:19">
      <c r="A120" s="210"/>
      <c r="B120" s="122" t="s">
        <v>10</v>
      </c>
      <c r="C120" s="116">
        <f>HLOOKUP(C$117,$86:$101,4,FALSE)</f>
        <v>14.238515</v>
      </c>
      <c r="D120" s="116">
        <f t="shared" ref="D120:O120" si="8">HLOOKUP(D$117,$86:$101,4,FALSE)</f>
        <v>18.127455999999999</v>
      </c>
      <c r="E120" s="116">
        <f t="shared" si="8"/>
        <v>20.114982000000001</v>
      </c>
      <c r="F120" s="116">
        <f t="shared" si="8"/>
        <v>40.523569999999999</v>
      </c>
      <c r="G120" s="116">
        <f t="shared" si="8"/>
        <v>56.775785999999997</v>
      </c>
      <c r="H120" s="116">
        <f t="shared" si="8"/>
        <v>61.091033000000003</v>
      </c>
      <c r="I120" s="116">
        <f t="shared" si="8"/>
        <v>52.802481999999998</v>
      </c>
      <c r="J120" s="116">
        <f t="shared" si="8"/>
        <v>40.707250000000002</v>
      </c>
      <c r="K120" s="116">
        <f t="shared" si="8"/>
        <v>21.566172999999999</v>
      </c>
      <c r="L120" s="116">
        <f t="shared" si="8"/>
        <v>26.795760999999999</v>
      </c>
      <c r="M120" s="116">
        <f t="shared" si="8"/>
        <v>31.928764000000001</v>
      </c>
      <c r="N120" s="116">
        <f t="shared" si="8"/>
        <v>27.285067999999999</v>
      </c>
      <c r="O120" s="134">
        <f t="shared" si="8"/>
        <v>26.627289999999999</v>
      </c>
    </row>
    <row r="121" spans="1:19">
      <c r="A121" s="210"/>
      <c r="B121" s="122" t="s">
        <v>9</v>
      </c>
      <c r="C121" s="116">
        <f>HLOOKUP(C$117,$86:$101,5,FALSE)</f>
        <v>13.135553</v>
      </c>
      <c r="D121" s="116">
        <f t="shared" ref="D121:O121" si="9">HLOOKUP(D$117,$86:$101,5,FALSE)</f>
        <v>8.3072920000000003</v>
      </c>
      <c r="E121" s="116">
        <f t="shared" si="9"/>
        <v>7.7047420000000004</v>
      </c>
      <c r="F121" s="116">
        <f t="shared" si="9"/>
        <v>18.862037999999998</v>
      </c>
      <c r="G121" s="116">
        <f t="shared" si="9"/>
        <v>27.349309999999999</v>
      </c>
      <c r="H121" s="116">
        <f t="shared" si="9"/>
        <v>38.115422000000002</v>
      </c>
      <c r="I121" s="116">
        <f t="shared" si="9"/>
        <v>38.690980000000003</v>
      </c>
      <c r="J121" s="116">
        <f t="shared" si="9"/>
        <v>18.871455999999998</v>
      </c>
      <c r="K121" s="116">
        <f t="shared" si="9"/>
        <v>15.480005999999999</v>
      </c>
      <c r="L121" s="116">
        <f t="shared" si="9"/>
        <v>11.535242</v>
      </c>
      <c r="M121" s="116">
        <f t="shared" si="9"/>
        <v>14.287936</v>
      </c>
      <c r="N121" s="116">
        <f t="shared" si="9"/>
        <v>12.015179</v>
      </c>
      <c r="O121" s="134">
        <f t="shared" si="9"/>
        <v>16.589324000000001</v>
      </c>
    </row>
    <row r="122" spans="1:19" ht="14.25">
      <c r="A122" s="210"/>
      <c r="B122" s="122" t="s">
        <v>74</v>
      </c>
      <c r="C122" s="116">
        <f>HLOOKUP(C$117,$86:$101,6,FALSE)</f>
        <v>217.47864799999999</v>
      </c>
      <c r="D122" s="116">
        <f t="shared" ref="D122:O122" si="10">HLOOKUP(D$117,$86:$101,6,FALSE)</f>
        <v>208.53059300000001</v>
      </c>
      <c r="E122" s="116">
        <f t="shared" si="10"/>
        <v>203.81251599999999</v>
      </c>
      <c r="F122" s="116">
        <f t="shared" si="10"/>
        <v>240.58060900000001</v>
      </c>
      <c r="G122" s="116">
        <f t="shared" si="10"/>
        <v>408.79444899999999</v>
      </c>
      <c r="H122" s="116">
        <f t="shared" si="10"/>
        <v>437.91378300000002</v>
      </c>
      <c r="I122" s="116">
        <f t="shared" si="10"/>
        <v>367.24080800000002</v>
      </c>
      <c r="J122" s="116">
        <f t="shared" si="10"/>
        <v>312.10340600000001</v>
      </c>
      <c r="K122" s="116">
        <f t="shared" si="10"/>
        <v>305.43751500000002</v>
      </c>
      <c r="L122" s="116">
        <f t="shared" si="10"/>
        <v>332.59120100000001</v>
      </c>
      <c r="M122" s="116">
        <f t="shared" si="10"/>
        <v>350.08292499999999</v>
      </c>
      <c r="N122" s="116">
        <f t="shared" si="10"/>
        <v>298.61759000000001</v>
      </c>
      <c r="O122" s="134">
        <f t="shared" si="10"/>
        <v>330.99539600000003</v>
      </c>
    </row>
    <row r="123" spans="1:19">
      <c r="A123" s="210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1.1771689999999999</v>
      </c>
      <c r="F123" s="116">
        <f t="shared" si="11"/>
        <v>0.95765299999999998</v>
      </c>
      <c r="G123" s="116">
        <f t="shared" si="11"/>
        <v>2.9751430000000001</v>
      </c>
      <c r="H123" s="116">
        <f t="shared" si="11"/>
        <v>3.834768</v>
      </c>
      <c r="I123" s="116">
        <f t="shared" si="11"/>
        <v>2.0925159999999998</v>
      </c>
      <c r="J123" s="116">
        <f t="shared" si="11"/>
        <v>0.98881300000000005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0</v>
      </c>
      <c r="O123" s="134">
        <f t="shared" si="11"/>
        <v>0</v>
      </c>
    </row>
    <row r="124" spans="1:19">
      <c r="A124" s="210"/>
      <c r="B124" s="122" t="s">
        <v>5</v>
      </c>
      <c r="C124" s="116">
        <f>HLOOKUP(C$117,$86:$102,8,FALSE)</f>
        <v>0.30611500000000003</v>
      </c>
      <c r="D124" s="116">
        <f t="shared" ref="D124:O124" si="12">HLOOKUP(D$117,$86:$102,8,FALSE)</f>
        <v>0.29466900000000001</v>
      </c>
      <c r="E124" s="116">
        <f t="shared" si="12"/>
        <v>0.189554</v>
      </c>
      <c r="F124" s="116">
        <f t="shared" si="12"/>
        <v>9.4216999999999995E-2</v>
      </c>
      <c r="G124" s="116">
        <f t="shared" si="12"/>
        <v>0.106017</v>
      </c>
      <c r="H124" s="116">
        <f t="shared" si="12"/>
        <v>0.20128099999999999</v>
      </c>
      <c r="I124" s="116">
        <f t="shared" si="12"/>
        <v>0.27444800000000003</v>
      </c>
      <c r="J124" s="116">
        <f t="shared" si="12"/>
        <v>0.26974799999999999</v>
      </c>
      <c r="K124" s="116">
        <f t="shared" si="12"/>
        <v>6.1364000000000002E-2</v>
      </c>
      <c r="L124" s="116">
        <f t="shared" si="12"/>
        <v>0.10125000000000001</v>
      </c>
      <c r="M124" s="116">
        <f t="shared" si="12"/>
        <v>0.215638</v>
      </c>
      <c r="N124" s="116">
        <f t="shared" si="12"/>
        <v>0.22824</v>
      </c>
      <c r="O124" s="134">
        <f t="shared" si="12"/>
        <v>0.33845999999999998</v>
      </c>
    </row>
    <row r="125" spans="1:19">
      <c r="A125" s="210"/>
      <c r="B125" s="122" t="s">
        <v>4</v>
      </c>
      <c r="C125" s="116">
        <f>HLOOKUP(C$117,$86:$102,9,FALSE)</f>
        <v>13.295218999999999</v>
      </c>
      <c r="D125" s="116">
        <f t="shared" ref="D125:O125" si="13">HLOOKUP(D$117,$86:$102,9,FALSE)</f>
        <v>14.71546</v>
      </c>
      <c r="E125" s="116">
        <f t="shared" si="13"/>
        <v>22.208131999999999</v>
      </c>
      <c r="F125" s="116">
        <f t="shared" si="13"/>
        <v>21.169694</v>
      </c>
      <c r="G125" s="116">
        <f t="shared" si="13"/>
        <v>22.966384000000001</v>
      </c>
      <c r="H125" s="116">
        <f t="shared" si="13"/>
        <v>21.414781000000001</v>
      </c>
      <c r="I125" s="116">
        <f t="shared" si="13"/>
        <v>17.622215000000001</v>
      </c>
      <c r="J125" s="116">
        <f t="shared" si="13"/>
        <v>16.792960999999998</v>
      </c>
      <c r="K125" s="116">
        <f t="shared" si="13"/>
        <v>8.8102359999999997</v>
      </c>
      <c r="L125" s="116">
        <f t="shared" si="13"/>
        <v>11.149039999999999</v>
      </c>
      <c r="M125" s="116">
        <f t="shared" si="13"/>
        <v>13.971553</v>
      </c>
      <c r="N125" s="116">
        <f t="shared" si="13"/>
        <v>17.801418000000002</v>
      </c>
      <c r="O125" s="134">
        <f t="shared" si="13"/>
        <v>13.605662000000001</v>
      </c>
    </row>
    <row r="126" spans="1:19">
      <c r="A126" s="210"/>
      <c r="B126" s="123" t="s">
        <v>22</v>
      </c>
      <c r="C126" s="116">
        <f>HLOOKUP(C$117,$86:$102,10,FALSE)</f>
        <v>0.13778699999999999</v>
      </c>
      <c r="D126" s="116">
        <f t="shared" ref="D126:O126" si="14">HLOOKUP(D$117,$86:$102,10,FALSE)</f>
        <v>0.10574</v>
      </c>
      <c r="E126" s="116">
        <f t="shared" si="14"/>
        <v>0.118546</v>
      </c>
      <c r="F126" s="116">
        <f t="shared" si="14"/>
        <v>0.10044400000000001</v>
      </c>
      <c r="G126" s="116">
        <f t="shared" si="14"/>
        <v>9.6151E-2</v>
      </c>
      <c r="H126" s="116">
        <f t="shared" si="14"/>
        <v>8.4413000000000002E-2</v>
      </c>
      <c r="I126" s="116">
        <f t="shared" si="14"/>
        <v>8.1381999999999996E-2</v>
      </c>
      <c r="J126" s="116">
        <f t="shared" si="14"/>
        <v>0.243059</v>
      </c>
      <c r="K126" s="116">
        <f t="shared" si="14"/>
        <v>0.24007600000000001</v>
      </c>
      <c r="L126" s="116">
        <f t="shared" si="14"/>
        <v>0.230462</v>
      </c>
      <c r="M126" s="116">
        <f t="shared" si="14"/>
        <v>0.285244</v>
      </c>
      <c r="N126" s="116">
        <f t="shared" si="14"/>
        <v>0.28095199999999998</v>
      </c>
      <c r="O126" s="134">
        <f t="shared" si="14"/>
        <v>0.29118100000000002</v>
      </c>
    </row>
    <row r="127" spans="1:19">
      <c r="A127" s="210"/>
      <c r="B127" s="123" t="s">
        <v>23</v>
      </c>
      <c r="C127" s="116">
        <f>HLOOKUP(C$117,$86:$102,11,FALSE)</f>
        <v>3.9954990000000001</v>
      </c>
      <c r="D127" s="116">
        <f t="shared" ref="D127:O127" si="15">HLOOKUP(D$117,$86:$102,11,FALSE)</f>
        <v>3.2208809999999999</v>
      </c>
      <c r="E127" s="116">
        <f t="shared" si="15"/>
        <v>2.5715810000000001</v>
      </c>
      <c r="F127" s="116">
        <f t="shared" si="15"/>
        <v>3.062163</v>
      </c>
      <c r="G127" s="116">
        <f t="shared" si="15"/>
        <v>4.0856940000000002</v>
      </c>
      <c r="H127" s="116">
        <f t="shared" si="15"/>
        <v>3.9309270000000001</v>
      </c>
      <c r="I127" s="116">
        <f t="shared" si="15"/>
        <v>3.8190279999999999</v>
      </c>
      <c r="J127" s="116">
        <f t="shared" si="15"/>
        <v>4.0205719999999996</v>
      </c>
      <c r="K127" s="116">
        <f t="shared" si="15"/>
        <v>1.4121680000000001</v>
      </c>
      <c r="L127" s="116">
        <f t="shared" si="15"/>
        <v>3.5189080000000001</v>
      </c>
      <c r="M127" s="116">
        <f t="shared" si="15"/>
        <v>3.4010050000000001</v>
      </c>
      <c r="N127" s="116">
        <f t="shared" si="15"/>
        <v>3.0684070000000001</v>
      </c>
      <c r="O127" s="134">
        <f t="shared" si="15"/>
        <v>3.993204</v>
      </c>
    </row>
    <row r="128" spans="1:19">
      <c r="A128" s="210"/>
      <c r="B128" s="122" t="s">
        <v>55</v>
      </c>
      <c r="C128" s="116">
        <f t="shared" ref="C128:O128" si="16">HLOOKUP(C$117,$86:$102,13,FALSE)</f>
        <v>10.093087499999999</v>
      </c>
      <c r="D128" s="116">
        <f t="shared" si="16"/>
        <v>7.5393055000000002</v>
      </c>
      <c r="E128" s="116">
        <f t="shared" si="16"/>
        <v>6.0236640000000001</v>
      </c>
      <c r="F128" s="116">
        <f t="shared" si="16"/>
        <v>13.481942</v>
      </c>
      <c r="G128" s="116">
        <f t="shared" si="16"/>
        <v>11.473026000000001</v>
      </c>
      <c r="H128" s="116">
        <f t="shared" si="16"/>
        <v>13.3199895</v>
      </c>
      <c r="I128" s="116">
        <f t="shared" si="16"/>
        <v>11.972504499999999</v>
      </c>
      <c r="J128" s="116">
        <f t="shared" si="16"/>
        <v>6.4146000000000001</v>
      </c>
      <c r="K128" s="116">
        <f t="shared" si="16"/>
        <v>13.8683715</v>
      </c>
      <c r="L128" s="116">
        <f t="shared" si="16"/>
        <v>8.8660929999999993</v>
      </c>
      <c r="M128" s="116">
        <f t="shared" si="16"/>
        <v>9.8711500000000001</v>
      </c>
      <c r="N128" s="116">
        <f t="shared" si="16"/>
        <v>5.4414375000000001</v>
      </c>
      <c r="O128" s="134">
        <f t="shared" si="16"/>
        <v>9.6633200000000006</v>
      </c>
    </row>
    <row r="129" spans="1:15">
      <c r="A129" s="210"/>
      <c r="B129" s="122" t="s">
        <v>54</v>
      </c>
      <c r="C129" s="116">
        <f>HLOOKUP(C$117,$86:$102,12,FALSE)</f>
        <v>10.093087499999999</v>
      </c>
      <c r="D129" s="116">
        <f t="shared" ref="D129:O129" si="17">HLOOKUP(D$117,$86:$102,12,FALSE)</f>
        <v>7.5393055000000002</v>
      </c>
      <c r="E129" s="116">
        <f t="shared" si="17"/>
        <v>6.0236640000000001</v>
      </c>
      <c r="F129" s="116">
        <f t="shared" si="17"/>
        <v>13.481942</v>
      </c>
      <c r="G129" s="116">
        <f t="shared" si="17"/>
        <v>11.473026000000001</v>
      </c>
      <c r="H129" s="116">
        <f t="shared" si="17"/>
        <v>13.3199895</v>
      </c>
      <c r="I129" s="116">
        <f t="shared" si="17"/>
        <v>11.972504499999999</v>
      </c>
      <c r="J129" s="116">
        <f t="shared" si="17"/>
        <v>6.4146000000000001</v>
      </c>
      <c r="K129" s="116">
        <f t="shared" si="17"/>
        <v>13.8683715</v>
      </c>
      <c r="L129" s="116">
        <f t="shared" si="17"/>
        <v>8.8660929999999993</v>
      </c>
      <c r="M129" s="116">
        <f t="shared" si="17"/>
        <v>9.8711500000000001</v>
      </c>
      <c r="N129" s="116">
        <f t="shared" si="17"/>
        <v>5.4414375000000001</v>
      </c>
      <c r="O129" s="134">
        <f t="shared" si="17"/>
        <v>9.6633200000000006</v>
      </c>
    </row>
    <row r="130" spans="1:15">
      <c r="A130" s="210"/>
      <c r="B130" s="124" t="s">
        <v>2</v>
      </c>
      <c r="C130" s="125">
        <f>HLOOKUP(C$117,$86:$102,14,FALSE)</f>
        <v>282.12195200000002</v>
      </c>
      <c r="D130" s="125">
        <f t="shared" ref="D130:O130" si="18">HLOOKUP(D$117,$86:$102,14,FALSE)</f>
        <v>267.78934099999998</v>
      </c>
      <c r="E130" s="125">
        <f t="shared" si="18"/>
        <v>268.84113400000001</v>
      </c>
      <c r="F130" s="125">
        <f t="shared" si="18"/>
        <v>394.267696</v>
      </c>
      <c r="G130" s="125">
        <f t="shared" si="18"/>
        <v>555.38770499999998</v>
      </c>
      <c r="H130" s="125">
        <f t="shared" si="18"/>
        <v>592.49763099999996</v>
      </c>
      <c r="I130" s="125">
        <f t="shared" si="18"/>
        <v>506.01889399999999</v>
      </c>
      <c r="J130" s="125">
        <f t="shared" si="18"/>
        <v>406.24318799999998</v>
      </c>
      <c r="K130" s="125">
        <f t="shared" si="18"/>
        <v>380.16221400000001</v>
      </c>
      <c r="L130" s="125">
        <f t="shared" si="18"/>
        <v>403.03980200000001</v>
      </c>
      <c r="M130" s="125">
        <f t="shared" si="18"/>
        <v>433.28789799999998</v>
      </c>
      <c r="N130" s="125">
        <f t="shared" si="18"/>
        <v>369.599602</v>
      </c>
      <c r="O130" s="135">
        <f t="shared" si="18"/>
        <v>411.09828399999998</v>
      </c>
    </row>
    <row r="131" spans="1:15">
      <c r="A131" s="210"/>
      <c r="B131" s="122" t="s">
        <v>21</v>
      </c>
      <c r="C131" s="126">
        <f>HLOOKUP(C$117,$86:$102,15,FALSE)</f>
        <v>127.985573</v>
      </c>
      <c r="D131" s="126">
        <f t="shared" ref="D131:O131" si="19">HLOOKUP(D$117,$86:$102,15,FALSE)</f>
        <v>111.02179700000001</v>
      </c>
      <c r="E131" s="126">
        <f t="shared" si="19"/>
        <v>111.601713</v>
      </c>
      <c r="F131" s="126">
        <f t="shared" si="19"/>
        <v>65.429468</v>
      </c>
      <c r="G131" s="126">
        <f t="shared" si="19"/>
        <v>45.879221000000001</v>
      </c>
      <c r="H131" s="126">
        <f t="shared" si="19"/>
        <v>40.107311000000003</v>
      </c>
      <c r="I131" s="126">
        <f t="shared" si="19"/>
        <v>37.549396999999999</v>
      </c>
      <c r="J131" s="126">
        <f t="shared" si="19"/>
        <v>38.285525</v>
      </c>
      <c r="K131" s="126">
        <f t="shared" si="19"/>
        <v>28.435708999999999</v>
      </c>
      <c r="L131" s="126">
        <f t="shared" si="19"/>
        <v>32.270831999999999</v>
      </c>
      <c r="M131" s="126">
        <f t="shared" si="19"/>
        <v>31.159338999999999</v>
      </c>
      <c r="N131" s="126">
        <f t="shared" si="19"/>
        <v>27.502502</v>
      </c>
      <c r="O131" s="126">
        <f t="shared" si="19"/>
        <v>30.689281000000001</v>
      </c>
    </row>
    <row r="132" spans="1:15">
      <c r="A132" s="210"/>
      <c r="B132" s="127" t="s">
        <v>1</v>
      </c>
      <c r="C132" s="128">
        <f>HLOOKUP(C$117,$86:$102,16,FALSE)</f>
        <v>410.10752500000001</v>
      </c>
      <c r="D132" s="128">
        <f t="shared" ref="D132:O132" si="20">HLOOKUP(D$117,$86:$102,16,FALSE)</f>
        <v>378.81113800000003</v>
      </c>
      <c r="E132" s="128">
        <f t="shared" si="20"/>
        <v>380.44284699999997</v>
      </c>
      <c r="F132" s="128">
        <f t="shared" si="20"/>
        <v>459.69716399999999</v>
      </c>
      <c r="G132" s="128">
        <f t="shared" si="20"/>
        <v>601.26692600000001</v>
      </c>
      <c r="H132" s="128">
        <f t="shared" si="20"/>
        <v>632.60494200000005</v>
      </c>
      <c r="I132" s="128">
        <f t="shared" si="20"/>
        <v>543.56829100000004</v>
      </c>
      <c r="J132" s="128">
        <f t="shared" si="20"/>
        <v>444.52871299999998</v>
      </c>
      <c r="K132" s="128">
        <f t="shared" si="20"/>
        <v>408.59792299999998</v>
      </c>
      <c r="L132" s="128">
        <f t="shared" si="20"/>
        <v>435.31063399999999</v>
      </c>
      <c r="M132" s="128">
        <f t="shared" si="20"/>
        <v>464.44723699999997</v>
      </c>
      <c r="N132" s="128">
        <f t="shared" si="20"/>
        <v>397.102104</v>
      </c>
      <c r="O132" s="128">
        <f t="shared" si="20"/>
        <v>441.78756499999997</v>
      </c>
    </row>
    <row r="133" spans="1:15" ht="14.25">
      <c r="A133" s="211"/>
      <c r="B133" s="137" t="s">
        <v>75</v>
      </c>
      <c r="C133" s="138">
        <f>C120+C121+C123</f>
        <v>27.374068000000001</v>
      </c>
      <c r="D133" s="138">
        <f>D120+D121+D123</f>
        <v>26.434747999999999</v>
      </c>
      <c r="E133" s="138">
        <f t="shared" ref="E133:O133" si="21">E120+E121+E123</f>
        <v>28.996893</v>
      </c>
      <c r="F133" s="138">
        <f t="shared" si="21"/>
        <v>60.343260999999998</v>
      </c>
      <c r="G133" s="138">
        <f t="shared" si="21"/>
        <v>87.100239000000002</v>
      </c>
      <c r="H133" s="138">
        <f t="shared" si="21"/>
        <v>103.041223</v>
      </c>
      <c r="I133" s="138">
        <f t="shared" si="21"/>
        <v>93.585977999999997</v>
      </c>
      <c r="J133" s="138">
        <f t="shared" si="21"/>
        <v>60.567518999999997</v>
      </c>
      <c r="K133" s="138">
        <f t="shared" si="21"/>
        <v>37.046178999999995</v>
      </c>
      <c r="L133" s="138">
        <f t="shared" si="21"/>
        <v>38.331002999999995</v>
      </c>
      <c r="M133" s="138">
        <f t="shared" si="21"/>
        <v>46.216700000000003</v>
      </c>
      <c r="N133" s="138">
        <f t="shared" si="21"/>
        <v>39.300246999999999</v>
      </c>
      <c r="O133" s="138">
        <f t="shared" si="21"/>
        <v>43.216614</v>
      </c>
    </row>
    <row r="134" spans="1:15">
      <c r="A134" s="209" t="s">
        <v>77</v>
      </c>
      <c r="B134" s="139" t="s">
        <v>73</v>
      </c>
      <c r="C134" s="120" t="str">
        <f>TEXT(EDATE($A$2,-12),"mmm")&amp;".-"&amp;TEXT(EDATE($A$2,-12),"aa")</f>
        <v>mar.-21</v>
      </c>
      <c r="D134" s="120" t="str">
        <f>TEXT(EDATE($A$2,-11),"mmm")&amp;".-"&amp;TEXT(EDATE($A$2,-11),"aa")</f>
        <v>abr.-21</v>
      </c>
      <c r="E134" s="120" t="str">
        <f>TEXT(EDATE($A$2,-10),"mmm")&amp;".-"&amp;TEXT(EDATE($A$2,-10),"aa")</f>
        <v>may.-21</v>
      </c>
      <c r="F134" s="120" t="str">
        <f>TEXT(EDATE($A$2,-9),"mmm")&amp;".-"&amp;TEXT(EDATE($A$2,-9),"aa")</f>
        <v>jun.-21</v>
      </c>
      <c r="G134" s="120" t="str">
        <f>TEXT(EDATE($A$2,-8),"mmm")&amp;".-"&amp;TEXT(EDATE($A$2,-8),"aa")</f>
        <v>jul.-21</v>
      </c>
      <c r="H134" s="120" t="str">
        <f>TEXT(EDATE($A$2,-7),"mmm")&amp;".-"&amp;TEXT(EDATE($A$2,-7),"aa")</f>
        <v>ago.-21</v>
      </c>
      <c r="I134" s="120" t="str">
        <f>TEXT(EDATE($A$2,-6),"mmm")&amp;".-"&amp;TEXT(EDATE($A$2,-6),"aa")</f>
        <v>sep.-21</v>
      </c>
      <c r="J134" s="120" t="str">
        <f>TEXT(EDATE($A$2,-5),"mmm")&amp;".-"&amp;TEXT(EDATE($A$2,-5),"aa")</f>
        <v>oct.-21</v>
      </c>
      <c r="K134" s="120" t="str">
        <f>TEXT(EDATE($A$2,-4),"mmm")&amp;".-"&amp;TEXT(EDATE($A$2,-4),"aa")</f>
        <v>nov.-21</v>
      </c>
      <c r="L134" s="120" t="str">
        <f>TEXT(EDATE($A$2,-3),"mmm")&amp;".-"&amp;TEXT(EDATE($A$2,-3),"aa")</f>
        <v>dic.-21</v>
      </c>
      <c r="M134" s="120" t="str">
        <f>TEXT(EDATE($A$2,-2),"mmm")&amp;".-"&amp;TEXT(EDATE($A$2,-2),"aa")</f>
        <v>ene.-22</v>
      </c>
      <c r="N134" s="120" t="str">
        <f>TEXT(EDATE($A$2,-1),"mmm")&amp;".-"&amp;TEXT(EDATE($A$2,-1),"aa")</f>
        <v>feb.-22</v>
      </c>
      <c r="O134" s="121" t="str">
        <f>TEXT($A$2,"mmm")&amp;".-"&amp;TEXT($A$2,"aa")</f>
        <v>mar.-22</v>
      </c>
    </row>
    <row r="135" spans="1:15" ht="15" customHeight="1">
      <c r="A135" s="210"/>
      <c r="B135" s="122" t="s">
        <v>12</v>
      </c>
      <c r="C135" s="116">
        <f>HLOOKUP(C$117,$86:$115,17,FALSE)</f>
        <v>0.28226499999999999</v>
      </c>
      <c r="D135" s="116">
        <f t="shared" ref="D135:O135" si="22">HLOOKUP(D$117,$86:$115,17,FALSE)</f>
        <v>0.13780600000000001</v>
      </c>
      <c r="E135" s="116">
        <f t="shared" si="22"/>
        <v>0.26783600000000002</v>
      </c>
      <c r="F135" s="116">
        <f t="shared" si="22"/>
        <v>0.28217700000000001</v>
      </c>
      <c r="G135" s="116">
        <f t="shared" si="22"/>
        <v>0.28972599999999998</v>
      </c>
      <c r="H135" s="116">
        <f t="shared" si="22"/>
        <v>0.28065899999999999</v>
      </c>
      <c r="I135" s="116">
        <f t="shared" si="22"/>
        <v>0.27753299999999997</v>
      </c>
      <c r="J135" s="116">
        <f t="shared" si="22"/>
        <v>0.28213100000000002</v>
      </c>
      <c r="K135" s="116">
        <f t="shared" si="22"/>
        <v>0.23125799999999999</v>
      </c>
      <c r="L135" s="116">
        <f t="shared" si="22"/>
        <v>0.15536</v>
      </c>
      <c r="M135" s="116">
        <f t="shared" si="22"/>
        <v>0.294213</v>
      </c>
      <c r="N135" s="116">
        <f t="shared" si="22"/>
        <v>0.25058200000000003</v>
      </c>
      <c r="O135" s="161">
        <f t="shared" si="22"/>
        <v>0.29644599999999999</v>
      </c>
    </row>
    <row r="136" spans="1:15">
      <c r="A136" s="210"/>
      <c r="B136" s="122" t="s">
        <v>10</v>
      </c>
      <c r="C136" s="116">
        <f>HLOOKUP(C$117,$86:$115,18,FALSE)</f>
        <v>128.50312700000001</v>
      </c>
      <c r="D136" s="116">
        <f t="shared" ref="D136:O136" si="23">HLOOKUP(D$117,$86:$115,18,FALSE)</f>
        <v>140.012246</v>
      </c>
      <c r="E136" s="116">
        <f t="shared" si="23"/>
        <v>126.338086</v>
      </c>
      <c r="F136" s="116">
        <f t="shared" si="23"/>
        <v>133.47636299999999</v>
      </c>
      <c r="G136" s="116">
        <f t="shared" si="23"/>
        <v>143.30591200000001</v>
      </c>
      <c r="H136" s="116">
        <f t="shared" si="23"/>
        <v>156.76768200000001</v>
      </c>
      <c r="I136" s="116">
        <f t="shared" si="23"/>
        <v>167.979367</v>
      </c>
      <c r="J136" s="116">
        <f t="shared" si="23"/>
        <v>160.016738</v>
      </c>
      <c r="K136" s="116">
        <f t="shared" si="23"/>
        <v>150.664601</v>
      </c>
      <c r="L136" s="116">
        <f t="shared" si="23"/>
        <v>156.43285700000001</v>
      </c>
      <c r="M136" s="116">
        <f t="shared" si="23"/>
        <v>144.976482</v>
      </c>
      <c r="N136" s="116">
        <f t="shared" si="23"/>
        <v>129.27893900000001</v>
      </c>
      <c r="O136" s="134">
        <f t="shared" si="23"/>
        <v>148.836814</v>
      </c>
    </row>
    <row r="137" spans="1:15">
      <c r="A137" s="210"/>
      <c r="B137" s="122" t="s">
        <v>9</v>
      </c>
      <c r="C137" s="116">
        <f>HLOOKUP(C$117,$86:$115,19,FALSE)</f>
        <v>14.760713000000001</v>
      </c>
      <c r="D137" s="116">
        <f t="shared" ref="D137:O137" si="24">HLOOKUP(D$117,$86:$115,19,FALSE)</f>
        <v>16.229486999999999</v>
      </c>
      <c r="E137" s="116">
        <f t="shared" si="24"/>
        <v>17.203126999999999</v>
      </c>
      <c r="F137" s="116">
        <f t="shared" si="24"/>
        <v>15.24977</v>
      </c>
      <c r="G137" s="116">
        <f t="shared" si="24"/>
        <v>13.198846</v>
      </c>
      <c r="H137" s="116">
        <f t="shared" si="24"/>
        <v>9.7369489999999992</v>
      </c>
      <c r="I137" s="116">
        <f t="shared" si="24"/>
        <v>32.625571999999998</v>
      </c>
      <c r="J137" s="116">
        <f t="shared" si="24"/>
        <v>27.415593999999999</v>
      </c>
      <c r="K137" s="116">
        <f t="shared" si="24"/>
        <v>14.576139</v>
      </c>
      <c r="L137" s="116">
        <f t="shared" si="24"/>
        <v>17.516629999999999</v>
      </c>
      <c r="M137" s="116">
        <f t="shared" si="24"/>
        <v>20.123602000000002</v>
      </c>
      <c r="N137" s="116">
        <f t="shared" si="24"/>
        <v>22.305457000000001</v>
      </c>
      <c r="O137" s="134">
        <f t="shared" si="24"/>
        <v>22.266936999999999</v>
      </c>
    </row>
    <row r="138" spans="1:15">
      <c r="A138" s="210"/>
      <c r="B138" s="122" t="s">
        <v>8</v>
      </c>
      <c r="C138" s="116">
        <f>HLOOKUP(C$117,$86:$115,20,FALSE)</f>
        <v>100.758259</v>
      </c>
      <c r="D138" s="116">
        <f t="shared" ref="D138:O138" si="25">HLOOKUP(D$117,$86:$115,20,FALSE)</f>
        <v>70.652975999999995</v>
      </c>
      <c r="E138" s="116">
        <f t="shared" si="25"/>
        <v>62.41677</v>
      </c>
      <c r="F138" s="116">
        <f t="shared" si="25"/>
        <v>33.486941999999999</v>
      </c>
      <c r="G138" s="116">
        <f t="shared" si="25"/>
        <v>66.134209999999996</v>
      </c>
      <c r="H138" s="116">
        <f t="shared" si="25"/>
        <v>99.644189999999995</v>
      </c>
      <c r="I138" s="116">
        <f t="shared" si="25"/>
        <v>113.210213</v>
      </c>
      <c r="J138" s="116">
        <f t="shared" si="25"/>
        <v>112.484255</v>
      </c>
      <c r="K138" s="116">
        <f t="shared" si="25"/>
        <v>115.10042799999999</v>
      </c>
      <c r="L138" s="116">
        <f t="shared" si="25"/>
        <v>112.90636000000001</v>
      </c>
      <c r="M138" s="116">
        <f t="shared" si="25"/>
        <v>117.422501</v>
      </c>
      <c r="N138" s="116">
        <f t="shared" si="25"/>
        <v>102.630663</v>
      </c>
      <c r="O138" s="134">
        <f t="shared" si="25"/>
        <v>114.385115</v>
      </c>
    </row>
    <row r="139" spans="1:15" ht="14.25">
      <c r="A139" s="210"/>
      <c r="B139" s="122" t="s">
        <v>74</v>
      </c>
      <c r="C139" s="116">
        <f>HLOOKUP(C$117,$86:$115,21,FALSE)</f>
        <v>284.19602200000003</v>
      </c>
      <c r="D139" s="116">
        <f t="shared" ref="D139:O139" si="26">HLOOKUP(D$117,$86:$115,21,FALSE)</f>
        <v>311.21022299999998</v>
      </c>
      <c r="E139" s="116">
        <f t="shared" si="26"/>
        <v>236.28277700000001</v>
      </c>
      <c r="F139" s="116">
        <f t="shared" si="26"/>
        <v>276.61590899999999</v>
      </c>
      <c r="G139" s="116">
        <f t="shared" si="26"/>
        <v>284.60979800000001</v>
      </c>
      <c r="H139" s="116">
        <f t="shared" si="26"/>
        <v>284.30052499999999</v>
      </c>
      <c r="I139" s="116">
        <f t="shared" si="26"/>
        <v>278.88830000000002</v>
      </c>
      <c r="J139" s="116">
        <f t="shared" si="26"/>
        <v>288.42916700000001</v>
      </c>
      <c r="K139" s="116">
        <f t="shared" si="26"/>
        <v>314.272829</v>
      </c>
      <c r="L139" s="116">
        <f t="shared" si="26"/>
        <v>321.01253800000001</v>
      </c>
      <c r="M139" s="116">
        <f t="shared" si="26"/>
        <v>350.31383599999998</v>
      </c>
      <c r="N139" s="116">
        <f t="shared" si="26"/>
        <v>285.33313399999997</v>
      </c>
      <c r="O139" s="134">
        <f t="shared" si="26"/>
        <v>288.5179</v>
      </c>
    </row>
    <row r="140" spans="1:15">
      <c r="A140" s="210"/>
      <c r="B140" s="122" t="s">
        <v>6</v>
      </c>
      <c r="C140" s="116">
        <f>HLOOKUP(C$117,$86:$115,22,FALSE)</f>
        <v>1.921443</v>
      </c>
      <c r="D140" s="116">
        <f t="shared" ref="D140:O140" si="27">HLOOKUP(D$117,$86:$115,22,FALSE)</f>
        <v>0.83590799999999998</v>
      </c>
      <c r="E140" s="116">
        <f t="shared" si="27"/>
        <v>3.227077</v>
      </c>
      <c r="F140" s="116">
        <f t="shared" si="27"/>
        <v>3.0020419999999999</v>
      </c>
      <c r="G140" s="116">
        <f t="shared" si="27"/>
        <v>3.5782180000000001</v>
      </c>
      <c r="H140" s="116">
        <f t="shared" si="27"/>
        <v>2.663478</v>
      </c>
      <c r="I140" s="116">
        <f t="shared" si="27"/>
        <v>1.4201079999999999</v>
      </c>
      <c r="J140" s="116">
        <f t="shared" si="27"/>
        <v>1.852679</v>
      </c>
      <c r="K140" s="116">
        <f t="shared" si="27"/>
        <v>1.1397900000000001</v>
      </c>
      <c r="L140" s="116">
        <f t="shared" si="27"/>
        <v>1.2278610000000001</v>
      </c>
      <c r="M140" s="116">
        <f t="shared" si="27"/>
        <v>1.110916</v>
      </c>
      <c r="N140" s="116">
        <f t="shared" si="27"/>
        <v>1.4820450000000001</v>
      </c>
      <c r="O140" s="134">
        <f t="shared" si="27"/>
        <v>2.1263230000000002</v>
      </c>
    </row>
    <row r="141" spans="1:15">
      <c r="A141" s="210"/>
      <c r="B141" s="122" t="s">
        <v>5</v>
      </c>
      <c r="C141" s="116">
        <f>HLOOKUP(C$117,$86:$115,23,FALSE)</f>
        <v>84.883152999999993</v>
      </c>
      <c r="D141" s="116">
        <f t="shared" ref="D141:O141" si="28">HLOOKUP(D$117,$86:$115,23,FALSE)</f>
        <v>53.035682999999999</v>
      </c>
      <c r="E141" s="116">
        <f t="shared" si="28"/>
        <v>164.67089200000001</v>
      </c>
      <c r="F141" s="116">
        <f t="shared" si="28"/>
        <v>148.01756800000001</v>
      </c>
      <c r="G141" s="116">
        <f t="shared" si="28"/>
        <v>158.51629800000001</v>
      </c>
      <c r="H141" s="116">
        <f t="shared" si="28"/>
        <v>145.95032699999999</v>
      </c>
      <c r="I141" s="116">
        <f t="shared" si="28"/>
        <v>107.853368</v>
      </c>
      <c r="J141" s="116">
        <f t="shared" si="28"/>
        <v>121.987015</v>
      </c>
      <c r="K141" s="116">
        <f t="shared" si="28"/>
        <v>91.770038</v>
      </c>
      <c r="L141" s="116">
        <f t="shared" si="28"/>
        <v>92.867580000000004</v>
      </c>
      <c r="M141" s="116">
        <f t="shared" si="28"/>
        <v>60.108277000000001</v>
      </c>
      <c r="N141" s="116">
        <f t="shared" si="28"/>
        <v>88.969560999999999</v>
      </c>
      <c r="O141" s="134">
        <f t="shared" si="28"/>
        <v>108.99192499999999</v>
      </c>
    </row>
    <row r="142" spans="1:15">
      <c r="A142" s="210"/>
      <c r="B142" s="122" t="s">
        <v>4</v>
      </c>
      <c r="C142" s="116">
        <f>HLOOKUP(C$117,$86:$115,24,FALSE)</f>
        <v>24.504390000000001</v>
      </c>
      <c r="D142" s="116">
        <f t="shared" ref="D142:O142" si="29">HLOOKUP(D$117,$86:$115,24,FALSE)</f>
        <v>22.758417999999999</v>
      </c>
      <c r="E142" s="116">
        <f t="shared" si="29"/>
        <v>27.092843999999999</v>
      </c>
      <c r="F142" s="116">
        <f t="shared" si="29"/>
        <v>24.741710999999999</v>
      </c>
      <c r="G142" s="116">
        <f t="shared" si="29"/>
        <v>27.937771999999999</v>
      </c>
      <c r="H142" s="116">
        <f t="shared" si="29"/>
        <v>26.120768999999999</v>
      </c>
      <c r="I142" s="116">
        <f t="shared" si="29"/>
        <v>21.565273000000001</v>
      </c>
      <c r="J142" s="116">
        <f t="shared" si="29"/>
        <v>20.979474</v>
      </c>
      <c r="K142" s="116">
        <f t="shared" si="29"/>
        <v>14.946410999999999</v>
      </c>
      <c r="L142" s="116">
        <f t="shared" si="29"/>
        <v>16.937016</v>
      </c>
      <c r="M142" s="116">
        <f t="shared" si="29"/>
        <v>17.847128000000001</v>
      </c>
      <c r="N142" s="116">
        <f t="shared" si="29"/>
        <v>18.690237</v>
      </c>
      <c r="O142" s="134">
        <f t="shared" si="29"/>
        <v>24.855595999999998</v>
      </c>
    </row>
    <row r="143" spans="1:15">
      <c r="A143" s="210"/>
      <c r="B143" s="122" t="s">
        <v>22</v>
      </c>
      <c r="C143" s="116">
        <f>HLOOKUP(C$117,$86:$115,25,FALSE)</f>
        <v>0.79178499999999996</v>
      </c>
      <c r="D143" s="116">
        <f t="shared" ref="D143:O143" si="30">HLOOKUP(D$117,$86:$115,25,FALSE)</f>
        <v>0.72202100000000002</v>
      </c>
      <c r="E143" s="116">
        <f t="shared" si="30"/>
        <v>0.72256799999999999</v>
      </c>
      <c r="F143" s="116">
        <f t="shared" si="30"/>
        <v>0.72395900000000002</v>
      </c>
      <c r="G143" s="116">
        <f t="shared" si="30"/>
        <v>0.73402900000000004</v>
      </c>
      <c r="H143" s="116">
        <f t="shared" si="30"/>
        <v>0.56980699999999995</v>
      </c>
      <c r="I143" s="116">
        <f t="shared" si="30"/>
        <v>0.40013300000000002</v>
      </c>
      <c r="J143" s="116">
        <f t="shared" si="30"/>
        <v>0.75599700000000003</v>
      </c>
      <c r="K143" s="116">
        <f t="shared" si="30"/>
        <v>0.75323799999999996</v>
      </c>
      <c r="L143" s="116">
        <f t="shared" si="30"/>
        <v>0.822349</v>
      </c>
      <c r="M143" s="116">
        <f t="shared" si="30"/>
        <v>0.86053100000000005</v>
      </c>
      <c r="N143" s="116">
        <f t="shared" si="30"/>
        <v>0.72069799999999995</v>
      </c>
      <c r="O143" s="134">
        <f t="shared" si="30"/>
        <v>0.90984399999999999</v>
      </c>
    </row>
    <row r="144" spans="1:15">
      <c r="A144" s="210"/>
      <c r="B144" s="127" t="s">
        <v>1</v>
      </c>
      <c r="C144" s="128">
        <f>HLOOKUP(C$117,$86:$115,26,FALSE)</f>
        <v>640.60115699999994</v>
      </c>
      <c r="D144" s="128">
        <f t="shared" ref="D144:O144" si="31">HLOOKUP(D$117,$86:$115,26,FALSE)</f>
        <v>615.59476800000004</v>
      </c>
      <c r="E144" s="128">
        <f t="shared" si="31"/>
        <v>638.22197700000004</v>
      </c>
      <c r="F144" s="128">
        <f t="shared" si="31"/>
        <v>635.59644100000003</v>
      </c>
      <c r="G144" s="128">
        <f t="shared" si="31"/>
        <v>698.30480899999998</v>
      </c>
      <c r="H144" s="128">
        <f t="shared" si="31"/>
        <v>726.03438600000004</v>
      </c>
      <c r="I144" s="128">
        <f t="shared" si="31"/>
        <v>724.21986700000002</v>
      </c>
      <c r="J144" s="128">
        <f t="shared" si="31"/>
        <v>734.20304999999996</v>
      </c>
      <c r="K144" s="128">
        <f t="shared" si="31"/>
        <v>703.45473200000004</v>
      </c>
      <c r="L144" s="128">
        <f t="shared" si="31"/>
        <v>719.87855100000002</v>
      </c>
      <c r="M144" s="128">
        <f t="shared" si="31"/>
        <v>713.05748600000004</v>
      </c>
      <c r="N144" s="128">
        <f t="shared" si="31"/>
        <v>649.66131600000006</v>
      </c>
      <c r="O144" s="136">
        <f t="shared" si="31"/>
        <v>711.18690000000004</v>
      </c>
    </row>
    <row r="145" spans="1:26">
      <c r="A145" s="210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1"/>
      <c r="B146" s="137" t="s">
        <v>75</v>
      </c>
      <c r="C146" s="141">
        <f>SUM(C136:C138)</f>
        <v>244.02209900000003</v>
      </c>
      <c r="D146" s="141">
        <f t="shared" ref="D146:O146" si="32">SUM(D136:D138)</f>
        <v>226.89470900000001</v>
      </c>
      <c r="E146" s="141">
        <f t="shared" si="32"/>
        <v>205.95798300000001</v>
      </c>
      <c r="F146" s="141">
        <f t="shared" si="32"/>
        <v>182.213075</v>
      </c>
      <c r="G146" s="141">
        <f t="shared" si="32"/>
        <v>222.63896800000001</v>
      </c>
      <c r="H146" s="141">
        <f t="shared" si="32"/>
        <v>266.148821</v>
      </c>
      <c r="I146" s="141">
        <f t="shared" si="32"/>
        <v>313.81515200000001</v>
      </c>
      <c r="J146" s="141">
        <f t="shared" si="32"/>
        <v>299.91658699999999</v>
      </c>
      <c r="K146" s="141">
        <f t="shared" si="32"/>
        <v>280.34116800000004</v>
      </c>
      <c r="L146" s="141">
        <f t="shared" si="32"/>
        <v>286.85584700000004</v>
      </c>
      <c r="M146" s="141">
        <f t="shared" si="32"/>
        <v>282.52258499999999</v>
      </c>
      <c r="N146" s="141">
        <f t="shared" si="32"/>
        <v>254.215059</v>
      </c>
      <c r="O146" s="142">
        <f t="shared" si="32"/>
        <v>285.48886599999997</v>
      </c>
    </row>
    <row r="149" spans="1:26" ht="15">
      <c r="A149" s="174"/>
      <c r="B149" s="174" t="s">
        <v>68</v>
      </c>
      <c r="C149" s="208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0" t="s">
        <v>90</v>
      </c>
      <c r="D150" s="190" t="s">
        <v>91</v>
      </c>
      <c r="E150" s="190" t="s">
        <v>92</v>
      </c>
      <c r="F150" s="190" t="s">
        <v>93</v>
      </c>
      <c r="G150" s="190" t="s">
        <v>94</v>
      </c>
      <c r="H150" s="190" t="s">
        <v>95</v>
      </c>
      <c r="I150" s="190" t="s">
        <v>96</v>
      </c>
      <c r="J150" s="190" t="s">
        <v>97</v>
      </c>
      <c r="K150" s="190" t="s">
        <v>98</v>
      </c>
      <c r="L150" s="190" t="s">
        <v>99</v>
      </c>
      <c r="M150" s="190" t="s">
        <v>100</v>
      </c>
      <c r="N150" s="190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120</v>
      </c>
      <c r="B152" s="176" t="s">
        <v>121</v>
      </c>
      <c r="C152" s="183">
        <v>7.7249999999999999E-2</v>
      </c>
      <c r="D152" s="183">
        <v>5.8199999999999997E-3</v>
      </c>
      <c r="E152" s="183">
        <v>2.0879999999999999E-2</v>
      </c>
      <c r="F152" s="183">
        <v>5.0549999999999998E-2</v>
      </c>
      <c r="G152" s="183">
        <v>4.8750000000000002E-2</v>
      </c>
      <c r="H152" s="183">
        <v>3.5500000000000002E-3</v>
      </c>
      <c r="I152" s="183">
        <v>1.5200000000000001E-3</v>
      </c>
      <c r="J152" s="183">
        <v>4.3679999999999997E-2</v>
      </c>
      <c r="K152" s="183">
        <v>0.13564000000000001</v>
      </c>
      <c r="L152" s="183">
        <v>-8.0000000000000004E-4</v>
      </c>
      <c r="M152" s="183">
        <v>8.5900000000000004E-3</v>
      </c>
      <c r="N152" s="183">
        <v>0.12784999999999999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8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0" t="s">
        <v>90</v>
      </c>
      <c r="D156" s="190" t="s">
        <v>91</v>
      </c>
      <c r="E156" s="190" t="s">
        <v>92</v>
      </c>
      <c r="F156" s="190" t="s">
        <v>93</v>
      </c>
      <c r="G156" s="190" t="s">
        <v>94</v>
      </c>
      <c r="H156" s="190" t="s">
        <v>95</v>
      </c>
      <c r="I156" s="190" t="s">
        <v>96</v>
      </c>
      <c r="J156" s="190" t="s">
        <v>97</v>
      </c>
      <c r="K156" s="190" t="s">
        <v>98</v>
      </c>
      <c r="L156" s="190" t="s">
        <v>99</v>
      </c>
      <c r="M156" s="190" t="s">
        <v>100</v>
      </c>
      <c r="N156" s="190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120</v>
      </c>
      <c r="B158" s="176" t="s">
        <v>121</v>
      </c>
      <c r="C158" s="183">
        <v>0.11019</v>
      </c>
      <c r="D158" s="183">
        <v>-1.9599999999999999E-3</v>
      </c>
      <c r="E158" s="183">
        <v>5.0000000000000001E-4</v>
      </c>
      <c r="F158" s="183">
        <v>0.11165</v>
      </c>
      <c r="G158" s="183">
        <v>0.11191</v>
      </c>
      <c r="H158" s="183">
        <v>1.98E-3</v>
      </c>
      <c r="I158" s="183">
        <v>-6.4999999999999997E-4</v>
      </c>
      <c r="J158" s="183">
        <v>0.11058</v>
      </c>
      <c r="K158" s="183">
        <v>7.8600000000000003E-2</v>
      </c>
      <c r="L158" s="183">
        <v>-6.4999999999999997E-4</v>
      </c>
      <c r="M158" s="183">
        <v>-1.49E-3</v>
      </c>
      <c r="N158" s="183">
        <v>8.0740000000000006E-2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R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Marzo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Marzo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441.78756500000003</v>
      </c>
      <c r="G9" s="164">
        <f>Dat_01!T24*100</f>
        <v>7.7248131500000001</v>
      </c>
      <c r="H9" s="83">
        <f>Dat_01!U24/1000</f>
        <v>1303.336906</v>
      </c>
      <c r="I9" s="164">
        <f>Dat_01!W24*100</f>
        <v>4.8754712600000003</v>
      </c>
      <c r="J9" s="83">
        <f>Dat_01!X24/1000</f>
        <v>5588.1654840000001</v>
      </c>
      <c r="K9" s="164">
        <f>Dat_01!Y24*100</f>
        <v>13.56353676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0.58199999999999996</v>
      </c>
      <c r="H12" s="103"/>
      <c r="I12" s="103">
        <f>Dat_01!H152*100</f>
        <v>0.35500000000000004</v>
      </c>
      <c r="J12" s="103"/>
      <c r="K12" s="103">
        <f>Dat_01!L152*100</f>
        <v>-0.08</v>
      </c>
    </row>
    <row r="13" spans="3:12">
      <c r="E13" s="85" t="s">
        <v>42</v>
      </c>
      <c r="F13" s="84"/>
      <c r="G13" s="103">
        <f>Dat_01!E152*100</f>
        <v>2.0880000000000001</v>
      </c>
      <c r="H13" s="103"/>
      <c r="I13" s="103">
        <f>Dat_01!I152*100</f>
        <v>0.152</v>
      </c>
      <c r="J13" s="103"/>
      <c r="K13" s="103">
        <f>Dat_01!M152*100</f>
        <v>0.85899999999999999</v>
      </c>
    </row>
    <row r="14" spans="3:12">
      <c r="E14" s="86" t="s">
        <v>43</v>
      </c>
      <c r="F14" s="87"/>
      <c r="G14" s="104">
        <f>Dat_01!F152*100</f>
        <v>5.0549999999999997</v>
      </c>
      <c r="H14" s="104"/>
      <c r="I14" s="104">
        <f>Dat_01!J152*100</f>
        <v>4.3679999999999994</v>
      </c>
      <c r="J14" s="104"/>
      <c r="K14" s="104">
        <f>Dat_01!N152*100</f>
        <v>12.784999999999998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Marzo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Marzo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711.18690000000004</v>
      </c>
      <c r="G9" s="164">
        <f>Dat_01!AB24*100</f>
        <v>11.01867242</v>
      </c>
      <c r="H9" s="83">
        <f>Dat_01!AC24/1000</f>
        <v>2073.905702</v>
      </c>
      <c r="I9" s="164">
        <f>Dat_01!AE24*100</f>
        <v>11.190773269999999</v>
      </c>
      <c r="J9" s="83">
        <f>Dat_01!AF24/1000</f>
        <v>8269.4142830000001</v>
      </c>
      <c r="K9" s="164">
        <f>Dat_01!AG24*100</f>
        <v>7.8595235599999995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-0.19600000000000001</v>
      </c>
      <c r="H12" s="103"/>
      <c r="I12" s="103">
        <f>Dat_01!H158*100</f>
        <v>0.19800000000000001</v>
      </c>
      <c r="J12" s="103"/>
      <c r="K12" s="103">
        <f>Dat_01!L158*100</f>
        <v>-6.5000000000000002E-2</v>
      </c>
    </row>
    <row r="13" spans="3:12">
      <c r="E13" s="85" t="s">
        <v>42</v>
      </c>
      <c r="F13" s="84"/>
      <c r="G13" s="103">
        <f>Dat_01!E158*100</f>
        <v>0.05</v>
      </c>
      <c r="H13" s="103"/>
      <c r="I13" s="103">
        <f>Dat_01!I158*100</f>
        <v>-6.5000000000000002E-2</v>
      </c>
      <c r="J13" s="103"/>
      <c r="K13" s="103">
        <f>Dat_01!M158*100</f>
        <v>-0.14899999999999999</v>
      </c>
    </row>
    <row r="14" spans="3:12">
      <c r="E14" s="86" t="s">
        <v>43</v>
      </c>
      <c r="F14" s="87"/>
      <c r="G14" s="104">
        <f>Dat_01!F158*100</f>
        <v>11.164999999999999</v>
      </c>
      <c r="H14" s="104"/>
      <c r="I14" s="104">
        <f>Dat_01!J158*100</f>
        <v>11.058</v>
      </c>
      <c r="J14" s="104"/>
      <c r="K14" s="104">
        <f>Dat_01!N158*100</f>
        <v>8.0739999999999998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127</v>
      </c>
    </row>
    <row r="2" spans="1:2">
      <c r="A2" t="s">
        <v>122</v>
      </c>
    </row>
    <row r="3" spans="1:2">
      <c r="A3" t="s">
        <v>123</v>
      </c>
    </row>
    <row r="4" spans="1:2">
      <c r="A4" t="s">
        <v>125</v>
      </c>
    </row>
    <row r="5" spans="1:2">
      <c r="A5" t="s">
        <v>126</v>
      </c>
    </row>
    <row r="6" spans="1:2">
      <c r="A6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M26" sqref="M26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Marzo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0.29644600000000004</v>
      </c>
      <c r="I9" s="17">
        <f>IF(Dat_01!AB8*100=-100,"-",Dat_01!AB8*100)</f>
        <v>5.0240022699999995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2.1263229999999997</v>
      </c>
      <c r="I10" s="17">
        <f>Dat_01!AB15*100</f>
        <v>10.662819560000001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0.33845999999999998</v>
      </c>
      <c r="G11" s="17">
        <f>Dat_01!T16*100</f>
        <v>10.56629045</v>
      </c>
      <c r="H11" s="153">
        <f>Dat_01!Z16/1000</f>
        <v>108.99192500000001</v>
      </c>
      <c r="I11" s="17">
        <f>Dat_01!AB16*100</f>
        <v>28.402304989999998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13.605662000000001</v>
      </c>
      <c r="G12" s="17">
        <f>Dat_01!T17*100</f>
        <v>2.3349972600000002</v>
      </c>
      <c r="H12" s="153">
        <f>Dat_01!Z17/1000</f>
        <v>24.855596000000002</v>
      </c>
      <c r="I12" s="17">
        <f>Dat_01!AB17*100</f>
        <v>1.43323706</v>
      </c>
      <c r="J12" s="153" t="s">
        <v>3</v>
      </c>
      <c r="K12" s="17" t="s">
        <v>3</v>
      </c>
      <c r="L12" s="153">
        <f>Dat_01!J17/1000</f>
        <v>5.2699999999999995E-3</v>
      </c>
      <c r="M12" s="17">
        <f>IF(Dat_01!L17*100=-100,"-",Dat_01!L17*100)</f>
        <v>-12.093411179999999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0.29118099999999997</v>
      </c>
      <c r="G13" s="17">
        <f>Dat_01!T18*100</f>
        <v>111.32690312</v>
      </c>
      <c r="H13" s="153">
        <f>Dat_01!Z18/1000</f>
        <v>0.9098440000000001</v>
      </c>
      <c r="I13" s="17">
        <f>IF(Dat_01!AB18*100=-100,"-",Dat_01!AB18*100)</f>
        <v>14.910487059999999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9.6633200000000006</v>
      </c>
      <c r="G14" s="17">
        <f>Dat_01!T21*100</f>
        <v>-4.2580379900000001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0.42767700000000003</v>
      </c>
      <c r="M14" s="17">
        <f>Dat_01!L21*100</f>
        <v>-21.104376759999997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23.898623000000001</v>
      </c>
      <c r="G15" s="173">
        <f>((SUM(Dat_01!R8,Dat_01!R15:R18,Dat_01!R20)/SUM(Dat_01!S8,Dat_01!S15:S18,Dat_01!S20))-1)*100</f>
        <v>0.2786753900713812</v>
      </c>
      <c r="H15" s="172">
        <f>SUM(H9:H14)</f>
        <v>137.18013400000001</v>
      </c>
      <c r="I15" s="173">
        <f>((SUM(Dat_01!Z8,Dat_01!Z15:Z18,Dat_01!Z20)/SUM(Dat_01!AA8,Dat_01!AA15:AA18,Dat_01!AA20))-1)*100</f>
        <v>22.064805225585825</v>
      </c>
      <c r="J15" s="172" t="s">
        <v>3</v>
      </c>
      <c r="K15" s="173" t="s">
        <v>3</v>
      </c>
      <c r="L15" s="173">
        <f>SUM(L9:L14)</f>
        <v>0.43294700000000003</v>
      </c>
      <c r="M15" s="173">
        <f>((SUM(Dat_01!J8,Dat_01!J15:J18,Dat_01!J21)/SUM(Dat_01!K8,Dat_01!K15:K18,Dat_01!K20))-1)*100</f>
        <v>-21.005812166046777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-0.66887300000000005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26.627290000000002</v>
      </c>
      <c r="G17" s="24">
        <f>((SUM(Dat_01!R10,Dat_01!R14)/SUM(Dat_01!S10,Dat_01!S14))-1)*100</f>
        <v>87.008898048708033</v>
      </c>
      <c r="H17" s="154">
        <f>Dat_01!Z10/1000</f>
        <v>148.836814</v>
      </c>
      <c r="I17" s="24">
        <f>Dat_01!AB10*100</f>
        <v>15.82349587</v>
      </c>
      <c r="J17" s="154">
        <f>Dat_01!B10/1000</f>
        <v>17.073195999999999</v>
      </c>
      <c r="K17" s="24">
        <f>Dat_01!D10*100</f>
        <v>11.343679680000001</v>
      </c>
      <c r="L17" s="154">
        <f>Dat_01!J10/1000</f>
        <v>14.914040000000002</v>
      </c>
      <c r="M17" s="24">
        <f>Dat_01!L10*100</f>
        <v>-1.9364958700000001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16.589324000000001</v>
      </c>
      <c r="G18" s="24">
        <f>Dat_01!T11*100</f>
        <v>26.293304899999999</v>
      </c>
      <c r="H18" s="154">
        <f>Dat_01!Z11/1000</f>
        <v>22.266937000000002</v>
      </c>
      <c r="I18" s="24">
        <f>Dat_01!AB11*100</f>
        <v>50.852719649999997</v>
      </c>
      <c r="J18" s="154">
        <f>Dat_01!B11/1000</f>
        <v>1.534E-3</v>
      </c>
      <c r="K18" s="24">
        <f>IF(Dat_01!D11=-100%,"-",Dat_01!D11*100)</f>
        <v>-76.169022839999997</v>
      </c>
      <c r="L18" s="154">
        <f>Dat_01!J11/1000</f>
        <v>2.6709999999999998E-3</v>
      </c>
      <c r="M18" s="24">
        <f>IF(Dat_01!L11*100=-100,"-",Dat_01!L11*100)</f>
        <v>59.557945040000007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114.385115</v>
      </c>
      <c r="I19" s="24">
        <f>Dat_01!AB12*100</f>
        <v>13.524306729999999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43.216614000000007</v>
      </c>
      <c r="G20" s="17">
        <f>((SUM(Dat_01!R10:R12,Dat_01!R14)/SUM(Dat_01!S10:S12,Dat_01!S14))-1)*100</f>
        <v>57.87428452358634</v>
      </c>
      <c r="H20" s="153">
        <f>SUM(H17:H19)</f>
        <v>285.48886600000003</v>
      </c>
      <c r="I20" s="17">
        <f>(H20/(H17/(I17/100+1)+H18/(I18/100+1)+H19/(I19/100+1))-1)*100</f>
        <v>16.993037584206515</v>
      </c>
      <c r="J20" s="153">
        <f>SUM(J17:J19)</f>
        <v>17.074729999999999</v>
      </c>
      <c r="K20" s="17">
        <f>((SUM(Dat_01!B10:B12)/SUM(Dat_01!C10:C12))-1)*100</f>
        <v>11.306957958485331</v>
      </c>
      <c r="L20" s="153">
        <f>SUM(L17:L19)</f>
        <v>14.916711000000001</v>
      </c>
      <c r="M20" s="17">
        <f>((SUM(Dat_01!J10:J12)/SUM(Dat_01!K10:K12))-1)*100</f>
        <v>-1.9297279389715816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330.99539600000003</v>
      </c>
      <c r="G21" s="17">
        <f>Dat_01!T13*100</f>
        <v>52.196732440000005</v>
      </c>
      <c r="H21" s="153">
        <f>Dat_01!Z13/1000</f>
        <v>288.5179</v>
      </c>
      <c r="I21" s="17">
        <f>Dat_01!AB13*100</f>
        <v>1.52073839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3.993204</v>
      </c>
      <c r="G22" s="17">
        <f>Dat_01!T19*100</f>
        <v>-5.7439629999999998E-2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9.6633200000000006</v>
      </c>
      <c r="G23" s="17">
        <f>Dat_01!T20*100</f>
        <v>-4.2580379900000001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0.42767700000000003</v>
      </c>
      <c r="M23" s="17">
        <f>Dat_01!L20*100</f>
        <v>-21.104376759999997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387.19966100000005</v>
      </c>
      <c r="G24" s="173">
        <f>((SUM(Dat_01!R9:R14,Dat_01!R19,Dat_01!R21)/SUM(Dat_01!S9:S14,Dat_01!S19,Dat_01!S21))-1)*100</f>
        <v>49.909034618713008</v>
      </c>
      <c r="H24" s="155">
        <f>SUM(H16,H20:H23)</f>
        <v>574.00676599999997</v>
      </c>
      <c r="I24" s="173">
        <f>((SUM(Dat_01!Z9:Z14,Dat_01!Z19,Dat_01!Z21)/SUM(Dat_01!AA9:AA14,Dat_01!AA19,Dat_01!AA21))-1)*100</f>
        <v>8.6685108252846135</v>
      </c>
      <c r="J24" s="155">
        <f>SUM(J16,J20:J23)</f>
        <v>17.074729999999999</v>
      </c>
      <c r="K24" s="173">
        <f>((SUM(Dat_01!B9:B14,Dat_01!B19,Dat_01!B21)/SUM(Dat_01!C9:C14,Dat_01!C19,Dat_01!C21))-1)*100</f>
        <v>11.306957958485331</v>
      </c>
      <c r="L24" s="155">
        <f>SUM(L16,L20:L23)</f>
        <v>15.344388</v>
      </c>
      <c r="M24" s="173">
        <f>((SUM(Dat_01!J9:J14,Dat_01!J19,Dat_01!J21)/SUM(Dat_01!K9:K14,Dat_01!K19,Dat_01!K21))-1)*100</f>
        <v>-2.5895795006274147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30.689280999999998</v>
      </c>
      <c r="G25" s="14">
        <f>Dat_01!T23*100</f>
        <v>-76.021296559999996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441.78756500000003</v>
      </c>
      <c r="G26" s="11">
        <f>Dat_01!T24*100</f>
        <v>7.7248131500000001</v>
      </c>
      <c r="H26" s="157">
        <f>Dat_01!Z24/1000</f>
        <v>711.18690000000004</v>
      </c>
      <c r="I26" s="11">
        <f>Dat_01!AB24*100</f>
        <v>11.01867242</v>
      </c>
      <c r="J26" s="157">
        <f>Dat_01!B24/1000</f>
        <v>17.074729999999999</v>
      </c>
      <c r="K26" s="11">
        <f>Dat_01!D24*100</f>
        <v>11.30695796</v>
      </c>
      <c r="L26" s="157">
        <f>Dat_01!J24/1000</f>
        <v>15.777334999999999</v>
      </c>
      <c r="M26" s="11">
        <f>Dat_01!L24*100</f>
        <v>-3.2087961599999999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105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G34" sqref="G34:G35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Marzo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Marzo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15" sqref="I15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Marzo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Marzo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2022-04-18T09:45:20Z</dcterms:modified>
</cp:coreProperties>
</file>