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MAR\INF_ELABORADA\"/>
    </mc:Choice>
  </mc:AlternateContent>
  <xr:revisionPtr revIDLastSave="0" documentId="13_ncr:1_{E79990E2-A820-4B75-B9BF-DCF76A5B15D0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Dat_01!$A$85:$R$112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8" l="1"/>
  <c r="C68" i="18" l="1"/>
  <c r="K18" i="22" l="1"/>
  <c r="K20" i="22"/>
  <c r="M12" i="22" l="1"/>
  <c r="I13" i="22"/>
  <c r="I9" i="22"/>
  <c r="B56" i="18" l="1"/>
  <c r="C72" i="18" l="1"/>
  <c r="G68" i="18" l="1"/>
  <c r="G52" i="18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19" i="18" s="1"/>
  <c r="B47" i="18" l="1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M18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L15" i="22" l="1"/>
  <c r="L20" i="22"/>
  <c r="L24" i="22" s="1"/>
  <c r="H15" i="22"/>
  <c r="F15" i="22"/>
  <c r="F24" i="22"/>
  <c r="H20" i="22"/>
  <c r="I20" i="22" s="1"/>
  <c r="J24" i="22"/>
  <c r="M20" i="22" l="1"/>
  <c r="H24" i="22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<sst xmlns="http://schemas.openxmlformats.org/spreadsheetml/2006/main" count="423" uniqueCount="129">
  <si>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</si>
  <si>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</si>
  <si>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</si>
  <si>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</si>
  <si>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</si>
  <si>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</si>
  <si>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</si>
  <si>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</si>
  <si>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</si>
  <si>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</si>
  <si>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</si>
  <si>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</si>
  <si>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</si>
  <si>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</si>
  <si>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</si>
  <si>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</si>
  <si>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</si>
  <si>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</si>
  <si>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</si>
  <si>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</si>
  <si>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</si>
  <si>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</si>
  <si>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</si>
  <si>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</si>
  <si>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</si>
  <si>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</si>
  <si>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</si>
  <si>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</si>
  <si>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</si>
  <si>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</si>
  <si>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</si>
  <si>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</si>
  <si>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</si>
  <si>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</si>
  <si>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</si>
  <si>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</si>
  <si>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</si>
  <si>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</si>
  <si>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</si>
  <si>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</si>
  <si>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</si>
  <si>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</si>
  <si>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</si>
  <si>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</si>
  <si>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</si>
  <si>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</si>
  <si>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</si>
  <si>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</si>
  <si>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</si>
  <si>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</si>
  <si>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</si>
  <si>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</si>
  <si>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</si>
  <si>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</si>
  <si>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</si>
  <si>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</si>
  <si>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</si>
  <si>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</si>
  <si>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</si>
  <si>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</si>
  <si>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</si>
  <si>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</si>
  <si>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</si>
  <si>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</si>
  <si>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</si>
  <si>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</si>
  <si>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</si>
  <si>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</si>
  <si>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</si>
  <si>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</si>
  <si>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</si>
  <si>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</si>
  <si>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</si>
  <si>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</si>
  <si>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</si>
  <si>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</si>
  <si>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</si>
  <si>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</si>
  <si>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</si>
  <si>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</si>
  <si>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</si>
  <si>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</si>
  <si>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</si>
  <si>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</si>
  <si>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</si>
  <si>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</si>
  <si>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</si>
  <si>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</si>
  <si>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</si>
  <si>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</si>
  <si>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</si>
  <si>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</si>
  <si>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</si>
  <si>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</si>
  <si>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</si>
  <si>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</si>
  <si>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</si>
  <si>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</si>
  <si>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</si>
  <si>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</si>
  <si>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</si>
  <si>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</si>
  <si>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</si>
  <si>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</si>
  <si>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Enero 2020</t>
  </si>
  <si>
    <t>Febrero 2020</t>
  </si>
  <si>
    <t>MWh</t>
  </si>
  <si>
    <t>Marzo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</si>
  <si>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</si>
  <si>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</si>
  <si>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</si>
  <si>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</si>
  <si>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</si>
  <si>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</si>
  <si>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</si>
  <si>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</si>
  <si>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</si>
  <si>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</si>
  <si>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</si>
  <si>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</si>
  <si>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</si>
  <si>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31/03/2021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</si>
  <si>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ut="04/14/2021 16:05:13" si="2.00000001badb10b8febf0526b974c25c859e41c3fe7e30f5634b5e0f22a2f6d0290041bf5da8fbd552fe8fe5db9acaaf6aeeba573fb4b22653c12b9ac354ffb93195f1c487d4804779b19d1ad4049fa893e1ced4b0927681e13203dd79163f13dd5076a431dce0bb5fcc6b724d51a887a17b01fd728f7496066bcf8bc9ba7438fd7c7418d92e4a03fde3048ae56f831c2a13d79e5a3acded906ef3e50c719a831770.p.3082.0.1.Europe/Madrid.upriv*_1*_pidn2*_4*_session*-lat*_1.00000001d3a4bc6e534c41b1d9c0cb2b2a4a4ce7bc6025e0a574817ee2683df19f75e25d261740aac33e5726af1ee4df41763b43ffd05c70.0000000140d39b082294f7182a477bec5bf4704fbc6025e0b4e94faeb524752610953e5ea584208b4d61d44678f2e927f8ce57ac71a2a921.0.1.1.BDEbi.D066E1C611E6257C10D00080EF253B44.0-3082.1.1_-0.1.0_-3082.1.1_5.5.0.*0.00000001775769e322d2b81cce1a33251cfa6c61c911585a18f6b2353ea6c3f475b4a839b5b77276.0.23.11*.2*.0400*.31152J.e.000000012c3e0769df12c8a3b4ae49e568362fd9c911585a38df6328446955efc23dab5c63ba1ace.0.10*.131*.122*.122.0.0" msgID="2F58D8F311EB9D3BBA3A0080EF350668"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nrr="46"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</si>
  <si>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ut="04/14/2021 16:08:09" si="2.00000001badb10b8febf0526b974c25c859e41c3fe7e30f5634b5e0f22a2f6d0290041bf5da8fbd552fe8fe5db9acaaf6aeeba573fb4b22653c12b9ac354ffb93195f1c487d4804779b19d1ad4049fa893e1ced4b0927681e13203dd79163f13dd5076a431dce0bb5fcc6b724d51a887a17b01fd728f7496066bcf8bc9ba7438fd7c7418d92e4a03fde3048ae56f831c2a13d79e5a3acded906ef3e50c719a831770.p.3082.0.1.Europe/Madrid.upriv*_1*_pidn2*_4*_session*-lat*_1.00000001d3a4bc6e534c41b1d9c0cb2b2a4a4ce7bc6025e0a574817ee2683df19f75e25d261740aac33e5726af1ee4df41763b43ffd05c70.0000000140d39b082294f7182a477bec5bf4704fbc6025e0b4e94faeb524752610953e5ea584208b4d61d44678f2e927f8ce57ac71a2a921.0.1.1.BDEbi.D066E1C611E6257C10D00080EF253B44.0-3082.1.1_-0.1.0_-3082.1.1_5.5.0.*0.00000001775769e322d2b81cce1a33251cfa6c61c911585a18f6b2353ea6c3f475b4a839b5b77276.0.23.11*.2*.0400*.31152J.e.000000012c3e0769df12c8a3b4ae49e568362fd9c911585a38df6328446955efc23dab5c63ba1ace.0.10*.131*.122*.122.0.0" msgID="384B617911EB9D3BBA3A0080EFF58668"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nrr="799" nrc="1504"&gt;&lt;pg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</si>
  <si>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Abril 2021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</si>
  <si>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ut="04/14/2021 16:18:35" si="2.00000001badb10b8febf0526b974c25c859e41c3fe7e30f5634b5e0f22a2f6d0290041bf5da8fbd552fe8fe5db9acaaf6aeeba573fb4b22653c12b9ac354ffb93195f1c487d4804779b19d1ad4049fa893e1ced4b0927681e13203dd79163f13dd5076a431dce0bb5fcc6b724d51a887a17b01fd728f7496066bcf8bc9ba7438fd7c7418d92e4a03fde3048ae56f831c2a13d79e5a3acded906ef3e50c719a831770.p.3082.0.1.Europe/Madrid.upriv*_1*_pidn2*_4*_session*-lat*_1.00000001d3a4bc6e534c41b1d9c0cb2b2a4a4ce7bc6025e0a574817ee2683df19f75e25d261740aac33e5726af1ee4df41763b43ffd05c70.0000000140d39b082294f7182a477bec5bf4704fbc6025e0b4e94faeb524752610953e5ea584208b4d61d44678f2e927f8ce57ac71a2a921.0.1.1.BDEbi.D066E1C611E6257C10D00080EF253B44.0-3082.1.1_-0.1.0_-3082.1.1_5.5.0.*0.00000001775769e322d2b81cce1a33251cfa6c61c911585a18f6b2353ea6c3f475b4a839b5b77276.0.23.11*.2*.0400*.31152J.e.000000012c3e0769df12c8a3b4ae49e568362fd9c911585a38df6328446955efc23dab5c63ba1ace.0.10*.131*.122*.122.0.0" msgID="B57097DB11EB9D3CBA3A0080EFA5E76B"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cols="18" /&gt;&lt;esdo ews="" ece="" ptn="" /&gt;&lt;/excel&gt;&lt;pgs&gt;&lt;pg rows="25" cols="16" nrr="1127" nrc="882"&gt;&lt;pg /&gt;&lt;bls&gt;&lt;bl sr="1" sc="1" rfetch="25" cfetch="16" posid="1" darows="0" dacols="1"&gt;&lt;excel&gt;&lt;epo ews="Dat_01" ece="A85" enr="MSTR.Serie_Balance_B.C._Mensual_Baleares_y_Canarias" ptn="" qtn="" rows="28" cols="18" /&gt;&lt;esdo ews="" ece="" ptn="" /&gt;&lt;/excel&gt;&lt;gridRng&gt;&lt;sect id="TITLE_AREA" rngprop="1:1:3:2" /&gt;&lt;sect id="ROWHEADERS_AREA" rngprop="4:1:25:2" /&gt;&lt;sect id="COLUMNHEADERS_AREA" rngprop="1:3:3:16" /&gt;&lt;sect id="DATA_AREA" rngprop="4:3:25:16"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</si>
  <si>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ut="04/14/2021 16:19:44" si="2.000000014ff00887ee948ef364e7230a073e2e2161bbb1ded38222d66e1644cc592f4bdfb0fb6fd5be0be17773d3c2b273210579c078d9e48c2086e3e549f95dcf6ce426652546e6cb602ec2c6154eaf183b206b634d12ba93994aa2fab85d38c13ec1aff719c06cd06789ac24cded8182e14009cf4cb1ce65abe9824895fdff4af24c24d32711a370555be77834a4b2d32be6e7e1d727eaf4f3a12fff666c498986.p.3082.0.1.Europe/Madrid.upriv*_1*_pidn2*_33*_session*-lat*_1.000000016fb8ad8bce44f37217722c13e52658e8bc6025e032d2f11ebdfdaa659a174ddfd1497b0395c9f056c6cd5ad6079edb1b1c186e7a.00000001513dc8af0a7a20e7e0cc365ffba14b0ebc6025e006c689f869ced8f2364d488338044e419cc6efa11a66531753acf74a6ce5628f.0.1.1.BDEbi.D066E1C611E6257C10D00080EF253B44.0-3082.1.1_-0.1.0_-3082.1.1_5.5.0.*0.00000001ca08812b39fc5af5af1f4f0f3c764c03c911585af74da21344a11ad831c326f60abb6bc8.0.23.11*.2*.0400*.31152J.e.00000001ab3a60e68d85253df48cc9387282032dc911585a694fd6d1ecca04c110965841d90e9f63.0.10*.131*.122*.122.0.0" msgID="32A4D81111EB9D3DBA3A0080EF95C669"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nrr="21" nrc="264"&gt;&lt;pg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</si>
  <si>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c8cbf0f2b98a4cf6848df375c4a5a22b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</si>
  <si>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ut="04/14/2021 16:20:14" si="2.000000014ff00887ee948ef364e7230a073e2e2161bbb1ded38222d66e1644cc592f4bdfb0fb6fd5be0be17773d3c2b273210579c078d9e48c2086e3e549f95dcf6ce426652546e6cb602ec2c6154eaf183b206b634d12ba93994aa2fab85d38c13ec1aff719c06cd06789ac24cded8182e14009cf4cb1ce65abe9824895fdff4af24c24d32711a370555be77834a4b2d32be6e7e1d727eaf4f3a12fff666c498986.p.3082.0.1.Europe/Madrid.upriv*_1*_pidn2*_33*_session*-lat*_1.000000016fb8ad8bce44f37217722c13e52658e8bc6025e032d2f11ebdfdaa659a174ddfd1497b0395c9f056c6cd5ad6079edb1b1c186e7a.00000001513dc8af0a7a20e7e0cc365ffba14b0ebc6025e006c689f869ced8f2364d488338044e419cc6efa11a66531753acf74a6ce5628f.0.1.1.BDEbi.D066E1C611E6257C10D00080EF253B44.0-3082.1.1_-0.1.0_-3082.1.1_5.5.0.*0.00000001ca08812b39fc5af5af1f4f0f3c764c03c911585af74da21344a11ad831c326f60abb6bc8.0.23.11*.2*.0400*.31152J.e.00000001ab3a60e68d85253df48cc9387282032dc911585a694fd6d1ecca04c110965841d90e9f63.0.10*.131*.122*.122.0.0" msgID="448C7C0E11EB9D3DBA3A0080EF65676A"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nrr="27" nrc="336"&gt;&lt;pg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</si>
</sst>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27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165" fontId="32" fillId="6" borderId="10" xfId="13" applyNumberFormat="1" applyAlignment="1">
      <alignment horizontal="right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0" fontId="49" fillId="0" borderId="0" xfId="0" applyFont="1"/>
    <xf numFmtId="10" fontId="19" fillId="5" borderId="10" xfId="33" applyAlignment="1">
      <alignment horizontal="right" vertical="center"/>
    </xf>
    <xf numFmtId="4" fontId="34" fillId="5" borderId="10" xfId="16" applyNumberFormat="1" applyAlignment="1">
      <alignment horizontal="right" vertical="center"/>
    </xf>
    <xf numFmtId="3" fontId="32" fillId="6" borderId="10" xfId="13" applyNumberFormat="1" applyAlignment="1">
      <alignment horizontal="right" vertical="center"/>
    </xf>
    <xf numFmtId="172" fontId="0" fillId="0" borderId="0" xfId="0" applyNumberFormat="1"/>
    <xf numFmtId="171" fontId="45" fillId="0" borderId="0" xfId="0" applyNumberFormat="1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8" fontId="50" fillId="0" borderId="0" xfId="0" applyNumberFormat="1" applyFont="1"/>
    <xf numFmtId="0" fontId="50" fillId="0" borderId="0" xfId="0" applyFont="1"/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5284552845528454"/>
                  <c:y val="-0.113531341670526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8861788617886166"/>
                  <c:y val="-3.0065423807318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5840407144228925"/>
                  <c:y val="-0.157352941176470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3185289033992703"/>
                  <c:y val="0.304411764705882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821138211382114"/>
                  <c:y val="0.175932530492511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20375635362652839"/>
                  <c:y val="3.379612474911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layout>
                <c:manualLayout>
                  <c:x val="-0.23739837398373984"/>
                  <c:y val="-9.313725490196078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9837398373983739"/>
                  <c:y val="-0.214452292728114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-0.16260162601626021"/>
                  <c:y val="-0.118092867068087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3.4687250500988345</c:v>
                </c:pt>
                <c:pt idx="2">
                  <c:v>3.1985429090260706</c:v>
                </c:pt>
                <c:pt idx="3">
                  <c:v>52.972644766414476</c:v>
                </c:pt>
                <c:pt idx="4">
                  <c:v>-5.8458312394601031E-4</c:v>
                </c:pt>
                <c:pt idx="5">
                  <c:v>0.97320886964298337</c:v>
                </c:pt>
                <c:pt idx="6">
                  <c:v>2.4584369254210112</c:v>
                </c:pt>
                <c:pt idx="7">
                  <c:v>2.4584369254210112</c:v>
                </c:pt>
                <c:pt idx="8">
                  <c:v>7.4562359577805395E-2</c:v>
                </c:pt>
                <c:pt idx="9">
                  <c:v>3.1882125944970396</c:v>
                </c:pt>
                <c:pt idx="10">
                  <c:v>3.3561647874645384E-2</c:v>
                </c:pt>
                <c:pt idx="11">
                  <c:v>31.174252535150064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6.86274509803921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9837398373983739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9268292682926828"/>
                  <c:y val="0.26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861788617886179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9918699186991871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23902451827667887"/>
                  <c:y val="-0.14297020317313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05809039495063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8048780487804877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11.948914141560444</c:v>
                </c:pt>
                <c:pt idx="1">
                  <c:v>6.9057986373695108</c:v>
                </c:pt>
                <c:pt idx="2">
                  <c:v>29.877239298404245</c:v>
                </c:pt>
                <c:pt idx="3">
                  <c:v>40.766009316293903</c:v>
                </c:pt>
                <c:pt idx="4">
                  <c:v>0</c:v>
                </c:pt>
                <c:pt idx="5">
                  <c:v>0.57084302509618989</c:v>
                </c:pt>
                <c:pt idx="6">
                  <c:v>1.8527752441723075</c:v>
                </c:pt>
                <c:pt idx="7">
                  <c:v>1.8527752441723075</c:v>
                </c:pt>
                <c:pt idx="8">
                  <c:v>0.18019973130151792</c:v>
                </c:pt>
                <c:pt idx="9">
                  <c:v>5.9399263437127985</c:v>
                </c:pt>
                <c:pt idx="10">
                  <c:v>0.10551901791676511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mar.-20</c:v>
                </c:pt>
                <c:pt idx="1">
                  <c:v>abr.-20</c:v>
                </c:pt>
                <c:pt idx="2">
                  <c:v>may.-20</c:v>
                </c:pt>
                <c:pt idx="3">
                  <c:v>jun.-20</c:v>
                </c:pt>
                <c:pt idx="4">
                  <c:v>jul.-20</c:v>
                </c:pt>
                <c:pt idx="5">
                  <c:v>ago.-20</c:v>
                </c:pt>
                <c:pt idx="6">
                  <c:v>sep.-20</c:v>
                </c:pt>
                <c:pt idx="7">
                  <c:v>oct.-20</c:v>
                </c:pt>
                <c:pt idx="8">
                  <c:v>nov.-20</c:v>
                </c:pt>
                <c:pt idx="9">
                  <c:v>dic.-20</c:v>
                </c:pt>
                <c:pt idx="10">
                  <c:v>ene.-21</c:v>
                </c:pt>
                <c:pt idx="11">
                  <c:v>feb.-21</c:v>
                </c:pt>
                <c:pt idx="12">
                  <c:v>mar.-21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-1.701627</c:v>
                </c:pt>
                <c:pt idx="1">
                  <c:v>-1.684542</c:v>
                </c:pt>
                <c:pt idx="2">
                  <c:v>-1.8020959999999999</c:v>
                </c:pt>
                <c:pt idx="3">
                  <c:v>-1.2808299999999999</c:v>
                </c:pt>
                <c:pt idx="4">
                  <c:v>-1.119569</c:v>
                </c:pt>
                <c:pt idx="5">
                  <c:v>-1.1268309999999999</c:v>
                </c:pt>
                <c:pt idx="6">
                  <c:v>68.615076999999999</c:v>
                </c:pt>
                <c:pt idx="7">
                  <c:v>69.531803999999994</c:v>
                </c:pt>
                <c:pt idx="8">
                  <c:v>18.689830000000001</c:v>
                </c:pt>
                <c:pt idx="9">
                  <c:v>78.075038000000006</c:v>
                </c:pt>
                <c:pt idx="10">
                  <c:v>-0.63269200000000003</c:v>
                </c:pt>
                <c:pt idx="11">
                  <c:v>-0.606159</c:v>
                </c:pt>
                <c:pt idx="12">
                  <c:v>-0.651559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mar.-20</c:v>
                </c:pt>
                <c:pt idx="1">
                  <c:v>abr.-20</c:v>
                </c:pt>
                <c:pt idx="2">
                  <c:v>may.-20</c:v>
                </c:pt>
                <c:pt idx="3">
                  <c:v>jun.-20</c:v>
                </c:pt>
                <c:pt idx="4">
                  <c:v>jul.-20</c:v>
                </c:pt>
                <c:pt idx="5">
                  <c:v>ago.-20</c:v>
                </c:pt>
                <c:pt idx="6">
                  <c:v>sep.-20</c:v>
                </c:pt>
                <c:pt idx="7">
                  <c:v>oct.-20</c:v>
                </c:pt>
                <c:pt idx="8">
                  <c:v>nov.-20</c:v>
                </c:pt>
                <c:pt idx="9">
                  <c:v>dic.-20</c:v>
                </c:pt>
                <c:pt idx="10">
                  <c:v>ene.-21</c:v>
                </c:pt>
                <c:pt idx="11">
                  <c:v>feb.-21</c:v>
                </c:pt>
                <c:pt idx="12">
                  <c:v>mar.-21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34.757860000000001</c:v>
                </c:pt>
                <c:pt idx="1">
                  <c:v>28.608295999999999</c:v>
                </c:pt>
                <c:pt idx="2">
                  <c:v>29.693214999999999</c:v>
                </c:pt>
                <c:pt idx="3">
                  <c:v>33.872518999999997</c:v>
                </c:pt>
                <c:pt idx="4">
                  <c:v>66.275554999999997</c:v>
                </c:pt>
                <c:pt idx="5">
                  <c:v>87.959547999999984</c:v>
                </c:pt>
                <c:pt idx="6">
                  <c:v>41.727269</c:v>
                </c:pt>
                <c:pt idx="7">
                  <c:v>26.56035</c:v>
                </c:pt>
                <c:pt idx="8">
                  <c:v>29.083095999999998</c:v>
                </c:pt>
                <c:pt idx="9">
                  <c:v>33.649616000000002</c:v>
                </c:pt>
                <c:pt idx="10">
                  <c:v>45.739437000000002</c:v>
                </c:pt>
                <c:pt idx="11">
                  <c:v>26.606086999999999</c:v>
                </c:pt>
                <c:pt idx="12">
                  <c:v>27.369999999999997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mar.-20</c:v>
                </c:pt>
                <c:pt idx="1">
                  <c:v>abr.-20</c:v>
                </c:pt>
                <c:pt idx="2">
                  <c:v>may.-20</c:v>
                </c:pt>
                <c:pt idx="3">
                  <c:v>jun.-20</c:v>
                </c:pt>
                <c:pt idx="4">
                  <c:v>jul.-20</c:v>
                </c:pt>
                <c:pt idx="5">
                  <c:v>ago.-20</c:v>
                </c:pt>
                <c:pt idx="6">
                  <c:v>sep.-20</c:v>
                </c:pt>
                <c:pt idx="7">
                  <c:v>oct.-20</c:v>
                </c:pt>
                <c:pt idx="8">
                  <c:v>nov.-20</c:v>
                </c:pt>
                <c:pt idx="9">
                  <c:v>dic.-20</c:v>
                </c:pt>
                <c:pt idx="10">
                  <c:v>ene.-21</c:v>
                </c:pt>
                <c:pt idx="11">
                  <c:v>feb.-21</c:v>
                </c:pt>
                <c:pt idx="12">
                  <c:v>mar.-21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223.68827999999999</c:v>
                </c:pt>
                <c:pt idx="1">
                  <c:v>190.73178300000001</c:v>
                </c:pt>
                <c:pt idx="2">
                  <c:v>192.66073600000001</c:v>
                </c:pt>
                <c:pt idx="3">
                  <c:v>191.22599500000001</c:v>
                </c:pt>
                <c:pt idx="4">
                  <c:v>258.52646600000003</c:v>
                </c:pt>
                <c:pt idx="5">
                  <c:v>260.88770599999998</c:v>
                </c:pt>
                <c:pt idx="6">
                  <c:v>135.30891800000001</c:v>
                </c:pt>
                <c:pt idx="7">
                  <c:v>141.13588200000001</c:v>
                </c:pt>
                <c:pt idx="8">
                  <c:v>185.01504499999999</c:v>
                </c:pt>
                <c:pt idx="9">
                  <c:v>159.35356899999999</c:v>
                </c:pt>
                <c:pt idx="10">
                  <c:v>260.27204499999999</c:v>
                </c:pt>
                <c:pt idx="11">
                  <c:v>187.465463</c:v>
                </c:pt>
                <c:pt idx="12">
                  <c:v>217.47864799999999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mar.-20</c:v>
                </c:pt>
                <c:pt idx="1">
                  <c:v>abr.-20</c:v>
                </c:pt>
                <c:pt idx="2">
                  <c:v>may.-20</c:v>
                </c:pt>
                <c:pt idx="3">
                  <c:v>jun.-20</c:v>
                </c:pt>
                <c:pt idx="4">
                  <c:v>jul.-20</c:v>
                </c:pt>
                <c:pt idx="5">
                  <c:v>ago.-20</c:v>
                </c:pt>
                <c:pt idx="6">
                  <c:v>sep.-20</c:v>
                </c:pt>
                <c:pt idx="7">
                  <c:v>oct.-20</c:v>
                </c:pt>
                <c:pt idx="8">
                  <c:v>nov.-20</c:v>
                </c:pt>
                <c:pt idx="9">
                  <c:v>dic.-20</c:v>
                </c:pt>
                <c:pt idx="10">
                  <c:v>ene.-21</c:v>
                </c:pt>
                <c:pt idx="11">
                  <c:v>feb.-21</c:v>
                </c:pt>
                <c:pt idx="12">
                  <c:v>mar.-21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0.53315400000000002</c:v>
                </c:pt>
                <c:pt idx="1">
                  <c:v>0.241702</c:v>
                </c:pt>
                <c:pt idx="2">
                  <c:v>0.35256199999999999</c:v>
                </c:pt>
                <c:pt idx="3">
                  <c:v>0.22043199999999999</c:v>
                </c:pt>
                <c:pt idx="4">
                  <c:v>0.22134999999999999</c:v>
                </c:pt>
                <c:pt idx="5">
                  <c:v>0.20865500000000001</c:v>
                </c:pt>
                <c:pt idx="6">
                  <c:v>0.189775</c:v>
                </c:pt>
                <c:pt idx="7">
                  <c:v>0.32789299999999999</c:v>
                </c:pt>
                <c:pt idx="8">
                  <c:v>0.34884399999999999</c:v>
                </c:pt>
                <c:pt idx="9">
                  <c:v>0.28645399999999999</c:v>
                </c:pt>
                <c:pt idx="10">
                  <c:v>0.27796300000000002</c:v>
                </c:pt>
                <c:pt idx="11">
                  <c:v>0.15948300000000001</c:v>
                </c:pt>
                <c:pt idx="12">
                  <c:v>0.30611500000000003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mar.-20</c:v>
                </c:pt>
                <c:pt idx="1">
                  <c:v>abr.-20</c:v>
                </c:pt>
                <c:pt idx="2">
                  <c:v>may.-20</c:v>
                </c:pt>
                <c:pt idx="3">
                  <c:v>jun.-20</c:v>
                </c:pt>
                <c:pt idx="4">
                  <c:v>jul.-20</c:v>
                </c:pt>
                <c:pt idx="5">
                  <c:v>ago.-20</c:v>
                </c:pt>
                <c:pt idx="6">
                  <c:v>sep.-20</c:v>
                </c:pt>
                <c:pt idx="7">
                  <c:v>oct.-20</c:v>
                </c:pt>
                <c:pt idx="8">
                  <c:v>nov.-20</c:v>
                </c:pt>
                <c:pt idx="9">
                  <c:v>dic.-20</c:v>
                </c:pt>
                <c:pt idx="10">
                  <c:v>ene.-21</c:v>
                </c:pt>
                <c:pt idx="11">
                  <c:v>feb.-21</c:v>
                </c:pt>
                <c:pt idx="12">
                  <c:v>mar.-21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9.2085500000000007</c:v>
                </c:pt>
                <c:pt idx="1">
                  <c:v>10.827855</c:v>
                </c:pt>
                <c:pt idx="2">
                  <c:v>12.909148999999999</c:v>
                </c:pt>
                <c:pt idx="3">
                  <c:v>12.23429</c:v>
                </c:pt>
                <c:pt idx="4">
                  <c:v>12.749435999999999</c:v>
                </c:pt>
                <c:pt idx="5">
                  <c:v>12.079094</c:v>
                </c:pt>
                <c:pt idx="6">
                  <c:v>10.538423999999999</c:v>
                </c:pt>
                <c:pt idx="7">
                  <c:v>9.627974</c:v>
                </c:pt>
                <c:pt idx="8">
                  <c:v>6.7521509999999996</c:v>
                </c:pt>
                <c:pt idx="9">
                  <c:v>6.7092029999999996</c:v>
                </c:pt>
                <c:pt idx="10">
                  <c:v>8.3861550000000005</c:v>
                </c:pt>
                <c:pt idx="11">
                  <c:v>9.4941250000000004</c:v>
                </c:pt>
                <c:pt idx="12">
                  <c:v>13.089174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mar.-20</c:v>
                </c:pt>
                <c:pt idx="1">
                  <c:v>abr.-20</c:v>
                </c:pt>
                <c:pt idx="2">
                  <c:v>may.-20</c:v>
                </c:pt>
                <c:pt idx="3">
                  <c:v>jun.-20</c:v>
                </c:pt>
                <c:pt idx="4">
                  <c:v>jul.-20</c:v>
                </c:pt>
                <c:pt idx="5">
                  <c:v>ago.-20</c:v>
                </c:pt>
                <c:pt idx="6">
                  <c:v>sep.-20</c:v>
                </c:pt>
                <c:pt idx="7">
                  <c:v>oct.-20</c:v>
                </c:pt>
                <c:pt idx="8">
                  <c:v>nov.-20</c:v>
                </c:pt>
                <c:pt idx="9">
                  <c:v>dic.-20</c:v>
                </c:pt>
                <c:pt idx="10">
                  <c:v>ene.-21</c:v>
                </c:pt>
                <c:pt idx="11">
                  <c:v>feb.-21</c:v>
                </c:pt>
                <c:pt idx="12">
                  <c:v>mar.-21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2.6786999999999998E-2</c:v>
                </c:pt>
                <c:pt idx="1">
                  <c:v>1.5415999999999999E-2</c:v>
                </c:pt>
                <c:pt idx="2">
                  <c:v>2.3830000000000001E-3</c:v>
                </c:pt>
                <c:pt idx="3">
                  <c:v>5.9750999999999999E-2</c:v>
                </c:pt>
                <c:pt idx="4">
                  <c:v>5.2531000000000001E-2</c:v>
                </c:pt>
                <c:pt idx="5">
                  <c:v>5.0303E-2</c:v>
                </c:pt>
                <c:pt idx="6">
                  <c:v>2.81E-3</c:v>
                </c:pt>
                <c:pt idx="7">
                  <c:v>2.7317000000000001E-2</c:v>
                </c:pt>
                <c:pt idx="8">
                  <c:v>6.9145999999999999E-2</c:v>
                </c:pt>
                <c:pt idx="9">
                  <c:v>3.986E-2</c:v>
                </c:pt>
                <c:pt idx="10">
                  <c:v>5.7757000000000003E-2</c:v>
                </c:pt>
                <c:pt idx="11">
                  <c:v>7.6887999999999998E-2</c:v>
                </c:pt>
                <c:pt idx="12">
                  <c:v>0.13778699999999999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mar.-20</c:v>
                </c:pt>
                <c:pt idx="1">
                  <c:v>abr.-20</c:v>
                </c:pt>
                <c:pt idx="2">
                  <c:v>may.-20</c:v>
                </c:pt>
                <c:pt idx="3">
                  <c:v>jun.-20</c:v>
                </c:pt>
                <c:pt idx="4">
                  <c:v>jul.-20</c:v>
                </c:pt>
                <c:pt idx="5">
                  <c:v>ago.-20</c:v>
                </c:pt>
                <c:pt idx="6">
                  <c:v>sep.-20</c:v>
                </c:pt>
                <c:pt idx="7">
                  <c:v>oct.-20</c:v>
                </c:pt>
                <c:pt idx="8">
                  <c:v>nov.-20</c:v>
                </c:pt>
                <c:pt idx="9">
                  <c:v>dic.-20</c:v>
                </c:pt>
                <c:pt idx="10">
                  <c:v>ene.-21</c:v>
                </c:pt>
                <c:pt idx="11">
                  <c:v>feb.-21</c:v>
                </c:pt>
                <c:pt idx="12">
                  <c:v>mar.-21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3.4759910000000001</c:v>
                </c:pt>
                <c:pt idx="1">
                  <c:v>2.759617</c:v>
                </c:pt>
                <c:pt idx="2">
                  <c:v>2.681413</c:v>
                </c:pt>
                <c:pt idx="3">
                  <c:v>2.5969359999999999</c:v>
                </c:pt>
                <c:pt idx="4">
                  <c:v>2.3319320000000001</c:v>
                </c:pt>
                <c:pt idx="5">
                  <c:v>1.922374</c:v>
                </c:pt>
                <c:pt idx="6">
                  <c:v>2.047806</c:v>
                </c:pt>
                <c:pt idx="7">
                  <c:v>2.3333560000000002</c:v>
                </c:pt>
                <c:pt idx="8">
                  <c:v>2.521382</c:v>
                </c:pt>
                <c:pt idx="9">
                  <c:v>3.3692880000000001</c:v>
                </c:pt>
                <c:pt idx="10">
                  <c:v>4.0659429999999999</c:v>
                </c:pt>
                <c:pt idx="11">
                  <c:v>3.641699</c:v>
                </c:pt>
                <c:pt idx="12">
                  <c:v>3.9954990000000001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mar.-20</c:v>
                </c:pt>
                <c:pt idx="1">
                  <c:v>abr.-20</c:v>
                </c:pt>
                <c:pt idx="2">
                  <c:v>may.-20</c:v>
                </c:pt>
                <c:pt idx="3">
                  <c:v>jun.-20</c:v>
                </c:pt>
                <c:pt idx="4">
                  <c:v>jul.-20</c:v>
                </c:pt>
                <c:pt idx="5">
                  <c:v>ago.-20</c:v>
                </c:pt>
                <c:pt idx="6">
                  <c:v>sep.-20</c:v>
                </c:pt>
                <c:pt idx="7">
                  <c:v>oct.-20</c:v>
                </c:pt>
                <c:pt idx="8">
                  <c:v>nov.-20</c:v>
                </c:pt>
                <c:pt idx="9">
                  <c:v>dic.-20</c:v>
                </c:pt>
                <c:pt idx="10">
                  <c:v>ene.-21</c:v>
                </c:pt>
                <c:pt idx="11">
                  <c:v>feb.-21</c:v>
                </c:pt>
                <c:pt idx="12">
                  <c:v>mar.-21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10.531687</c:v>
                </c:pt>
                <c:pt idx="1">
                  <c:v>4.8152900000000001</c:v>
                </c:pt>
                <c:pt idx="2">
                  <c:v>5.3655939999999998</c:v>
                </c:pt>
                <c:pt idx="3">
                  <c:v>14.316091999999999</c:v>
                </c:pt>
                <c:pt idx="4">
                  <c:v>10.772016499999999</c:v>
                </c:pt>
                <c:pt idx="5">
                  <c:v>10.810641499999999</c:v>
                </c:pt>
                <c:pt idx="6">
                  <c:v>14.376298</c:v>
                </c:pt>
                <c:pt idx="7">
                  <c:v>6.2387214999999996</c:v>
                </c:pt>
                <c:pt idx="8">
                  <c:v>12.812825</c:v>
                </c:pt>
                <c:pt idx="9">
                  <c:v>8.6052265000000006</c:v>
                </c:pt>
                <c:pt idx="10">
                  <c:v>7.1515275000000003</c:v>
                </c:pt>
                <c:pt idx="11">
                  <c:v>10.723705000000001</c:v>
                </c:pt>
                <c:pt idx="12">
                  <c:v>10.093087499999999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10.531687</c:v>
                </c:pt>
                <c:pt idx="1">
                  <c:v>4.8152900000000001</c:v>
                </c:pt>
                <c:pt idx="2">
                  <c:v>5.3655939999999998</c:v>
                </c:pt>
                <c:pt idx="3">
                  <c:v>14.316091999999999</c:v>
                </c:pt>
                <c:pt idx="4">
                  <c:v>10.772016499999999</c:v>
                </c:pt>
                <c:pt idx="5">
                  <c:v>10.810641499999999</c:v>
                </c:pt>
                <c:pt idx="6">
                  <c:v>14.376298</c:v>
                </c:pt>
                <c:pt idx="7">
                  <c:v>6.2387214999999996</c:v>
                </c:pt>
                <c:pt idx="8">
                  <c:v>12.812825</c:v>
                </c:pt>
                <c:pt idx="9">
                  <c:v>8.6052265000000006</c:v>
                </c:pt>
                <c:pt idx="10">
                  <c:v>7.1515275000000003</c:v>
                </c:pt>
                <c:pt idx="11">
                  <c:v>10.723705000000001</c:v>
                </c:pt>
                <c:pt idx="12">
                  <c:v>10.093087499999999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mar.-20</c:v>
                </c:pt>
                <c:pt idx="1">
                  <c:v>abr.-20</c:v>
                </c:pt>
                <c:pt idx="2">
                  <c:v>may.-20</c:v>
                </c:pt>
                <c:pt idx="3">
                  <c:v>jun.-20</c:v>
                </c:pt>
                <c:pt idx="4">
                  <c:v>jul.-20</c:v>
                </c:pt>
                <c:pt idx="5">
                  <c:v>ago.-20</c:v>
                </c:pt>
                <c:pt idx="6">
                  <c:v>sep.-20</c:v>
                </c:pt>
                <c:pt idx="7">
                  <c:v>oct.-20</c:v>
                </c:pt>
                <c:pt idx="8">
                  <c:v>nov.-20</c:v>
                </c:pt>
                <c:pt idx="9">
                  <c:v>dic.-20</c:v>
                </c:pt>
                <c:pt idx="10">
                  <c:v>ene.-21</c:v>
                </c:pt>
                <c:pt idx="11">
                  <c:v>feb.-21</c:v>
                </c:pt>
                <c:pt idx="12">
                  <c:v>mar.-21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112.780382</c:v>
                </c:pt>
                <c:pt idx="1">
                  <c:v>80.581305999999998</c:v>
                </c:pt>
                <c:pt idx="2">
                  <c:v>79.946523999999997</c:v>
                </c:pt>
                <c:pt idx="3">
                  <c:v>93.289579000000003</c:v>
                </c:pt>
                <c:pt idx="4">
                  <c:v>168.331695</c:v>
                </c:pt>
                <c:pt idx="5">
                  <c:v>182.71595500000001</c:v>
                </c:pt>
                <c:pt idx="6">
                  <c:v>116.274961</c:v>
                </c:pt>
                <c:pt idx="7">
                  <c:v>105.943506</c:v>
                </c:pt>
                <c:pt idx="8">
                  <c:v>96.327618999999999</c:v>
                </c:pt>
                <c:pt idx="9">
                  <c:v>138.26159999999999</c:v>
                </c:pt>
                <c:pt idx="10">
                  <c:v>138.25041200000001</c:v>
                </c:pt>
                <c:pt idx="11">
                  <c:v>113.412009</c:v>
                </c:pt>
                <c:pt idx="12">
                  <c:v>127.985573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6260162601626016"/>
                  <c:y val="-2.94117647058824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layout>
                <c:manualLayout>
                  <c:x val="-0.16910569105691056"/>
                  <c:y val="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6"/>
                  <c:y val="-0.127450980392156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16.122851827627276</c:v>
                </c:pt>
                <c:pt idx="1">
                  <c:v>17.185146326422355</c:v>
                </c:pt>
                <c:pt idx="2">
                  <c:v>15.927487322101747</c:v>
                </c:pt>
                <c:pt idx="3">
                  <c:v>28.558858628681527</c:v>
                </c:pt>
                <c:pt idx="4">
                  <c:v>1.2606290728167717</c:v>
                </c:pt>
                <c:pt idx="5">
                  <c:v>5.0161156824122859E-2</c:v>
                </c:pt>
                <c:pt idx="6">
                  <c:v>0.37356861529544128</c:v>
                </c:pt>
                <c:pt idx="7">
                  <c:v>14.883838253310374</c:v>
                </c:pt>
                <c:pt idx="8">
                  <c:v>5.5154879840112114</c:v>
                </c:pt>
                <c:pt idx="9">
                  <c:v>0.12197081290918296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211394917098778"/>
                  <c:y val="0.107843137254901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934959349593497"/>
                  <c:y val="-5.39215686274509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4959349593495938"/>
                  <c:y val="-9.8039215686274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0.13170718904039433"/>
                  <c:y val="-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-0.13333333333333333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20.100315150255916</c:v>
                </c:pt>
                <c:pt idx="1">
                  <c:v>2.3088541895364108</c:v>
                </c:pt>
                <c:pt idx="2">
                  <c:v>15.760493983085015</c:v>
                </c:pt>
                <c:pt idx="3">
                  <c:v>44.453623347617551</c:v>
                </c:pt>
                <c:pt idx="4">
                  <c:v>0</c:v>
                </c:pt>
                <c:pt idx="5">
                  <c:v>4.4151575049897307E-2</c:v>
                </c:pt>
                <c:pt idx="6">
                  <c:v>0.30054996127256245</c:v>
                </c:pt>
                <c:pt idx="7">
                  <c:v>13.127049501832772</c:v>
                </c:pt>
                <c:pt idx="8">
                  <c:v>3.7811121687669118</c:v>
                </c:pt>
                <c:pt idx="9">
                  <c:v>0.12385012258297325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mar.-20</c:v>
                </c:pt>
                <c:pt idx="1">
                  <c:v>abr.-20</c:v>
                </c:pt>
                <c:pt idx="2">
                  <c:v>may.-20</c:v>
                </c:pt>
                <c:pt idx="3">
                  <c:v>jun.-20</c:v>
                </c:pt>
                <c:pt idx="4">
                  <c:v>jul.-20</c:v>
                </c:pt>
                <c:pt idx="5">
                  <c:v>ago.-20</c:v>
                </c:pt>
                <c:pt idx="6">
                  <c:v>sep.-20</c:v>
                </c:pt>
                <c:pt idx="7">
                  <c:v>oct.-20</c:v>
                </c:pt>
                <c:pt idx="8">
                  <c:v>nov.-20</c:v>
                </c:pt>
                <c:pt idx="9">
                  <c:v>dic.-20</c:v>
                </c:pt>
                <c:pt idx="10">
                  <c:v>ene.-21</c:v>
                </c:pt>
                <c:pt idx="11">
                  <c:v>feb.-21</c:v>
                </c:pt>
                <c:pt idx="12">
                  <c:v>mar.-21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0.29931200000000002</c:v>
                </c:pt>
                <c:pt idx="1">
                  <c:v>0.288387</c:v>
                </c:pt>
                <c:pt idx="2">
                  <c:v>0.28846300000000002</c:v>
                </c:pt>
                <c:pt idx="3">
                  <c:v>0.27233299999999999</c:v>
                </c:pt>
                <c:pt idx="4">
                  <c:v>0.29030099999999998</c:v>
                </c:pt>
                <c:pt idx="5">
                  <c:v>0.29413899999999998</c:v>
                </c:pt>
                <c:pt idx="6">
                  <c:v>0.29165099999999999</c:v>
                </c:pt>
                <c:pt idx="7">
                  <c:v>0.299369</c:v>
                </c:pt>
                <c:pt idx="8">
                  <c:v>0.28527599999999997</c:v>
                </c:pt>
                <c:pt idx="9">
                  <c:v>0.29958099999999999</c:v>
                </c:pt>
                <c:pt idx="10">
                  <c:v>0.29762100000000002</c:v>
                </c:pt>
                <c:pt idx="11">
                  <c:v>0.25852999999999998</c:v>
                </c:pt>
                <c:pt idx="12">
                  <c:v>0.28226499999999999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mar.-20</c:v>
                </c:pt>
                <c:pt idx="1">
                  <c:v>abr.-20</c:v>
                </c:pt>
                <c:pt idx="2">
                  <c:v>may.-20</c:v>
                </c:pt>
                <c:pt idx="3">
                  <c:v>jun.-20</c:v>
                </c:pt>
                <c:pt idx="4">
                  <c:v>jul.-20</c:v>
                </c:pt>
                <c:pt idx="5">
                  <c:v>ago.-20</c:v>
                </c:pt>
                <c:pt idx="6">
                  <c:v>sep.-20</c:v>
                </c:pt>
                <c:pt idx="7">
                  <c:v>oct.-20</c:v>
                </c:pt>
                <c:pt idx="8">
                  <c:v>nov.-20</c:v>
                </c:pt>
                <c:pt idx="9">
                  <c:v>dic.-20</c:v>
                </c:pt>
                <c:pt idx="10">
                  <c:v>ene.-21</c:v>
                </c:pt>
                <c:pt idx="11">
                  <c:v>feb.-21</c:v>
                </c:pt>
                <c:pt idx="12">
                  <c:v>mar.-21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260.14058899999998</c:v>
                </c:pt>
                <c:pt idx="1">
                  <c:v>222.93640199999999</c:v>
                </c:pt>
                <c:pt idx="2">
                  <c:v>252.95846800000001</c:v>
                </c:pt>
                <c:pt idx="3">
                  <c:v>214.832064</c:v>
                </c:pt>
                <c:pt idx="4">
                  <c:v>269.88695799999999</c:v>
                </c:pt>
                <c:pt idx="5">
                  <c:v>297.66067400000003</c:v>
                </c:pt>
                <c:pt idx="6">
                  <c:v>271.16308099999998</c:v>
                </c:pt>
                <c:pt idx="7">
                  <c:v>301.03426400000001</c:v>
                </c:pt>
                <c:pt idx="8">
                  <c:v>287.12516499999998</c:v>
                </c:pt>
                <c:pt idx="9">
                  <c:v>272.274542</c:v>
                </c:pt>
                <c:pt idx="10">
                  <c:v>267.49094000000002</c:v>
                </c:pt>
                <c:pt idx="11">
                  <c:v>227.675399</c:v>
                </c:pt>
                <c:pt idx="12">
                  <c:v>244.02209900000003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mar.-20</c:v>
                </c:pt>
                <c:pt idx="1">
                  <c:v>abr.-20</c:v>
                </c:pt>
                <c:pt idx="2">
                  <c:v>may.-20</c:v>
                </c:pt>
                <c:pt idx="3">
                  <c:v>jun.-20</c:v>
                </c:pt>
                <c:pt idx="4">
                  <c:v>jul.-20</c:v>
                </c:pt>
                <c:pt idx="5">
                  <c:v>ago.-20</c:v>
                </c:pt>
                <c:pt idx="6">
                  <c:v>sep.-20</c:v>
                </c:pt>
                <c:pt idx="7">
                  <c:v>oct.-20</c:v>
                </c:pt>
                <c:pt idx="8">
                  <c:v>nov.-20</c:v>
                </c:pt>
                <c:pt idx="9">
                  <c:v>dic.-20</c:v>
                </c:pt>
                <c:pt idx="10">
                  <c:v>ene.-21</c:v>
                </c:pt>
                <c:pt idx="11">
                  <c:v>feb.-21</c:v>
                </c:pt>
                <c:pt idx="12">
                  <c:v>mar.-21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300.75480199999998</c:v>
                </c:pt>
                <c:pt idx="1">
                  <c:v>246.048203</c:v>
                </c:pt>
                <c:pt idx="2">
                  <c:v>229.928777</c:v>
                </c:pt>
                <c:pt idx="3">
                  <c:v>258.95318400000002</c:v>
                </c:pt>
                <c:pt idx="4">
                  <c:v>229.38776100000001</c:v>
                </c:pt>
                <c:pt idx="5">
                  <c:v>217.204814</c:v>
                </c:pt>
                <c:pt idx="6">
                  <c:v>297.07835399999999</c:v>
                </c:pt>
                <c:pt idx="7">
                  <c:v>252.83072899999999</c:v>
                </c:pt>
                <c:pt idx="8">
                  <c:v>292.22053799999998</c:v>
                </c:pt>
                <c:pt idx="9">
                  <c:v>314.37255499999998</c:v>
                </c:pt>
                <c:pt idx="10">
                  <c:v>280.66014899999999</c:v>
                </c:pt>
                <c:pt idx="11">
                  <c:v>269.76136200000002</c:v>
                </c:pt>
                <c:pt idx="12">
                  <c:v>284.19602200000003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mar.-20</c:v>
                </c:pt>
                <c:pt idx="1">
                  <c:v>abr.-20</c:v>
                </c:pt>
                <c:pt idx="2">
                  <c:v>may.-20</c:v>
                </c:pt>
                <c:pt idx="3">
                  <c:v>jun.-20</c:v>
                </c:pt>
                <c:pt idx="4">
                  <c:v>jul.-20</c:v>
                </c:pt>
                <c:pt idx="5">
                  <c:v>ago.-20</c:v>
                </c:pt>
                <c:pt idx="6">
                  <c:v>sep.-20</c:v>
                </c:pt>
                <c:pt idx="7">
                  <c:v>oct.-20</c:v>
                </c:pt>
                <c:pt idx="8">
                  <c:v>nov.-20</c:v>
                </c:pt>
                <c:pt idx="9">
                  <c:v>dic.-20</c:v>
                </c:pt>
                <c:pt idx="10">
                  <c:v>ene.-21</c:v>
                </c:pt>
                <c:pt idx="11">
                  <c:v>feb.-21</c:v>
                </c:pt>
                <c:pt idx="12">
                  <c:v>mar.-21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1.8236140000000001</c:v>
                </c:pt>
                <c:pt idx="1">
                  <c:v>0.99112500000000003</c:v>
                </c:pt>
                <c:pt idx="2">
                  <c:v>1.4427080000000001</c:v>
                </c:pt>
                <c:pt idx="3">
                  <c:v>0.74262799999999995</c:v>
                </c:pt>
                <c:pt idx="4">
                  <c:v>3.6524220000000001</c:v>
                </c:pt>
                <c:pt idx="5">
                  <c:v>3.5757409999999998</c:v>
                </c:pt>
                <c:pt idx="6">
                  <c:v>1.9118980000000001</c:v>
                </c:pt>
                <c:pt idx="7">
                  <c:v>1.456723</c:v>
                </c:pt>
                <c:pt idx="8">
                  <c:v>0.821801</c:v>
                </c:pt>
                <c:pt idx="9">
                  <c:v>0.95850199999999997</c:v>
                </c:pt>
                <c:pt idx="10">
                  <c:v>0.99317</c:v>
                </c:pt>
                <c:pt idx="11">
                  <c:v>1.226483</c:v>
                </c:pt>
                <c:pt idx="12">
                  <c:v>1.921443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mar.-20</c:v>
                </c:pt>
                <c:pt idx="1">
                  <c:v>abr.-20</c:v>
                </c:pt>
                <c:pt idx="2">
                  <c:v>may.-20</c:v>
                </c:pt>
                <c:pt idx="3">
                  <c:v>jun.-20</c:v>
                </c:pt>
                <c:pt idx="4">
                  <c:v>jul.-20</c:v>
                </c:pt>
                <c:pt idx="5">
                  <c:v>ago.-20</c:v>
                </c:pt>
                <c:pt idx="6">
                  <c:v>sep.-20</c:v>
                </c:pt>
                <c:pt idx="7">
                  <c:v>oct.-20</c:v>
                </c:pt>
                <c:pt idx="8">
                  <c:v>nov.-20</c:v>
                </c:pt>
                <c:pt idx="9">
                  <c:v>dic.-20</c:v>
                </c:pt>
                <c:pt idx="10">
                  <c:v>ene.-21</c:v>
                </c:pt>
                <c:pt idx="11">
                  <c:v>feb.-21</c:v>
                </c:pt>
                <c:pt idx="12">
                  <c:v>mar.-21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97.166353000000001</c:v>
                </c:pt>
                <c:pt idx="1">
                  <c:v>54.728521000000001</c:v>
                </c:pt>
                <c:pt idx="2">
                  <c:v>69.749658999999994</c:v>
                </c:pt>
                <c:pt idx="3">
                  <c:v>103.362193</c:v>
                </c:pt>
                <c:pt idx="4">
                  <c:v>148.255436</c:v>
                </c:pt>
                <c:pt idx="5">
                  <c:v>166.40398400000001</c:v>
                </c:pt>
                <c:pt idx="6">
                  <c:v>92.772315000000006</c:v>
                </c:pt>
                <c:pt idx="7">
                  <c:v>98.400535000000005</c:v>
                </c:pt>
                <c:pt idx="8">
                  <c:v>54.804782000000003</c:v>
                </c:pt>
                <c:pt idx="9">
                  <c:v>61.442059999999998</c:v>
                </c:pt>
                <c:pt idx="10">
                  <c:v>81.105193</c:v>
                </c:pt>
                <c:pt idx="11">
                  <c:v>58.505417000000001</c:v>
                </c:pt>
                <c:pt idx="12">
                  <c:v>83.922410999999997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mar.-20</c:v>
                </c:pt>
                <c:pt idx="1">
                  <c:v>abr.-20</c:v>
                </c:pt>
                <c:pt idx="2">
                  <c:v>may.-20</c:v>
                </c:pt>
                <c:pt idx="3">
                  <c:v>jun.-20</c:v>
                </c:pt>
                <c:pt idx="4">
                  <c:v>jul.-20</c:v>
                </c:pt>
                <c:pt idx="5">
                  <c:v>ago.-20</c:v>
                </c:pt>
                <c:pt idx="6">
                  <c:v>sep.-20</c:v>
                </c:pt>
                <c:pt idx="7">
                  <c:v>oct.-20</c:v>
                </c:pt>
                <c:pt idx="8">
                  <c:v>nov.-20</c:v>
                </c:pt>
                <c:pt idx="9">
                  <c:v>dic.-20</c:v>
                </c:pt>
                <c:pt idx="10">
                  <c:v>ene.-21</c:v>
                </c:pt>
                <c:pt idx="11">
                  <c:v>feb.-21</c:v>
                </c:pt>
                <c:pt idx="12">
                  <c:v>mar.-21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21.187944000000002</c:v>
                </c:pt>
                <c:pt idx="1">
                  <c:v>22.649498000000001</c:v>
                </c:pt>
                <c:pt idx="2">
                  <c:v>26.043626</c:v>
                </c:pt>
                <c:pt idx="3">
                  <c:v>23.750204</c:v>
                </c:pt>
                <c:pt idx="4">
                  <c:v>27.014696000000001</c:v>
                </c:pt>
                <c:pt idx="5">
                  <c:v>26.667397999999999</c:v>
                </c:pt>
                <c:pt idx="6">
                  <c:v>20.951909000000001</c:v>
                </c:pt>
                <c:pt idx="7">
                  <c:v>19.852456</c:v>
                </c:pt>
                <c:pt idx="8">
                  <c:v>15.933180999999999</c:v>
                </c:pt>
                <c:pt idx="9">
                  <c:v>15.284926</c:v>
                </c:pt>
                <c:pt idx="10">
                  <c:v>16.287994999999999</c:v>
                </c:pt>
                <c:pt idx="11">
                  <c:v>17.690635</c:v>
                </c:pt>
                <c:pt idx="12">
                  <c:v>24.172991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mar.-20</c:v>
                </c:pt>
                <c:pt idx="1">
                  <c:v>abr.-20</c:v>
                </c:pt>
                <c:pt idx="2">
                  <c:v>may.-20</c:v>
                </c:pt>
                <c:pt idx="3">
                  <c:v>jun.-20</c:v>
                </c:pt>
                <c:pt idx="4">
                  <c:v>jul.-20</c:v>
                </c:pt>
                <c:pt idx="5">
                  <c:v>ago.-20</c:v>
                </c:pt>
                <c:pt idx="6">
                  <c:v>sep.-20</c:v>
                </c:pt>
                <c:pt idx="7">
                  <c:v>oct.-20</c:v>
                </c:pt>
                <c:pt idx="8">
                  <c:v>nov.-20</c:v>
                </c:pt>
                <c:pt idx="9">
                  <c:v>dic.-20</c:v>
                </c:pt>
                <c:pt idx="10">
                  <c:v>ene.-21</c:v>
                </c:pt>
                <c:pt idx="11">
                  <c:v>feb.-21</c:v>
                </c:pt>
                <c:pt idx="12">
                  <c:v>mar.-21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0.82168300000000005</c:v>
                </c:pt>
                <c:pt idx="1">
                  <c:v>0.83979599999999999</c:v>
                </c:pt>
                <c:pt idx="2">
                  <c:v>0.70590200000000003</c:v>
                </c:pt>
                <c:pt idx="3">
                  <c:v>0.78505800000000003</c:v>
                </c:pt>
                <c:pt idx="4">
                  <c:v>0.69386000000000003</c:v>
                </c:pt>
                <c:pt idx="5">
                  <c:v>0.69097799999999998</c:v>
                </c:pt>
                <c:pt idx="6">
                  <c:v>0.64958000000000005</c:v>
                </c:pt>
                <c:pt idx="7">
                  <c:v>0.78250799999999998</c:v>
                </c:pt>
                <c:pt idx="8">
                  <c:v>0.74310299999999996</c:v>
                </c:pt>
                <c:pt idx="9">
                  <c:v>0.75252699999999995</c:v>
                </c:pt>
                <c:pt idx="10">
                  <c:v>0.35872300000000001</c:v>
                </c:pt>
                <c:pt idx="11">
                  <c:v>0.69978200000000002</c:v>
                </c:pt>
                <c:pt idx="12">
                  <c:v>0.79178499999999996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92" customWidth="1"/>
    <col min="2" max="2" width="2.7109375" style="92" customWidth="1"/>
    <col min="3" max="3" width="16.42578125" style="92" customWidth="1"/>
    <col min="4" max="4" width="4.7109375" style="92" customWidth="1"/>
    <col min="5" max="5" width="95.710937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Marzo 2021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58"/>
  <sheetViews>
    <sheetView zoomScaleNormal="100" workbookViewId="0">
      <selection activeCell="F31" sqref="F31"/>
    </sheetView>
  </sheetViews>
  <sheetFormatPr baseColWidth="10" defaultColWidth="11.42578125" defaultRowHeight="12"/>
  <cols>
    <col min="1" max="1" width="25.7109375" style="111" customWidth="1"/>
    <col min="2" max="2" width="26" style="111" customWidth="1"/>
    <col min="3" max="3" width="26.5703125" style="111" bestFit="1" customWidth="1"/>
    <col min="4" max="4" width="22.42578125" style="111" bestFit="1" customWidth="1"/>
    <col min="5" max="5" width="23.5703125" style="111" bestFit="1" customWidth="1"/>
    <col min="6" max="6" width="36.140625" style="111" bestFit="1" customWidth="1"/>
    <col min="7" max="7" width="26.140625" style="111" bestFit="1" customWidth="1"/>
    <col min="8" max="8" width="22.140625" style="111" bestFit="1" customWidth="1"/>
    <col min="9" max="9" width="23.28515625" style="111" bestFit="1" customWidth="1"/>
    <col min="10" max="10" width="31.140625" style="111" bestFit="1" customWidth="1"/>
    <col min="11" max="11" width="30.85546875" style="111" bestFit="1" customWidth="1"/>
    <col min="12" max="12" width="26.85546875" style="111" bestFit="1" customWidth="1"/>
    <col min="13" max="13" width="28" style="111" bestFit="1" customWidth="1"/>
    <col min="14" max="14" width="35.85546875" style="111" bestFit="1" customWidth="1"/>
    <col min="15" max="33" width="14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120</v>
      </c>
      <c r="B2" s="144" t="s">
        <v>121</v>
      </c>
    </row>
    <row r="4" spans="1:33" ht="15">
      <c r="A4" s="145" t="s">
        <v>67</v>
      </c>
      <c r="B4" s="208" t="s">
        <v>120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</row>
    <row r="5" spans="1:33" ht="15">
      <c r="A5" s="145" t="s">
        <v>68</v>
      </c>
      <c r="B5" s="210" t="s">
        <v>15</v>
      </c>
      <c r="C5" s="211"/>
      <c r="D5" s="211"/>
      <c r="E5" s="211"/>
      <c r="F5" s="211"/>
      <c r="G5" s="211"/>
      <c r="H5" s="211"/>
      <c r="I5" s="212"/>
      <c r="J5" s="210" t="s">
        <v>14</v>
      </c>
      <c r="K5" s="211"/>
      <c r="L5" s="211"/>
      <c r="M5" s="211"/>
      <c r="N5" s="211"/>
      <c r="O5" s="211"/>
      <c r="P5" s="211"/>
      <c r="Q5" s="212"/>
      <c r="R5" s="210" t="s">
        <v>57</v>
      </c>
      <c r="S5" s="211"/>
      <c r="T5" s="211"/>
      <c r="U5" s="211"/>
      <c r="V5" s="211"/>
      <c r="W5" s="211"/>
      <c r="X5" s="211"/>
      <c r="Y5" s="212"/>
      <c r="Z5" s="210" t="s">
        <v>58</v>
      </c>
      <c r="AA5" s="211"/>
      <c r="AB5" s="211"/>
      <c r="AC5" s="211"/>
      <c r="AD5" s="211"/>
      <c r="AE5" s="211"/>
      <c r="AF5" s="211"/>
      <c r="AG5" s="211"/>
    </row>
    <row r="6" spans="1:33">
      <c r="A6" s="145" t="s">
        <v>69</v>
      </c>
      <c r="B6" s="191" t="s">
        <v>59</v>
      </c>
      <c r="C6" s="191" t="s">
        <v>60</v>
      </c>
      <c r="D6" s="191" t="s">
        <v>61</v>
      </c>
      <c r="E6" s="191" t="s">
        <v>62</v>
      </c>
      <c r="F6" s="191" t="s">
        <v>63</v>
      </c>
      <c r="G6" s="191" t="s">
        <v>64</v>
      </c>
      <c r="H6" s="191" t="s">
        <v>65</v>
      </c>
      <c r="I6" s="191" t="s">
        <v>66</v>
      </c>
      <c r="J6" s="191" t="s">
        <v>59</v>
      </c>
      <c r="K6" s="191" t="s">
        <v>60</v>
      </c>
      <c r="L6" s="191" t="s">
        <v>61</v>
      </c>
      <c r="M6" s="191" t="s">
        <v>62</v>
      </c>
      <c r="N6" s="191" t="s">
        <v>63</v>
      </c>
      <c r="O6" s="191" t="s">
        <v>64</v>
      </c>
      <c r="P6" s="191" t="s">
        <v>65</v>
      </c>
      <c r="Q6" s="191" t="s">
        <v>66</v>
      </c>
      <c r="R6" s="191" t="s">
        <v>59</v>
      </c>
      <c r="S6" s="191" t="s">
        <v>60</v>
      </c>
      <c r="T6" s="191" t="s">
        <v>61</v>
      </c>
      <c r="U6" s="191" t="s">
        <v>62</v>
      </c>
      <c r="V6" s="191" t="s">
        <v>63</v>
      </c>
      <c r="W6" s="191" t="s">
        <v>64</v>
      </c>
      <c r="X6" s="191" t="s">
        <v>65</v>
      </c>
      <c r="Y6" s="191" t="s">
        <v>66</v>
      </c>
      <c r="Z6" s="191" t="s">
        <v>59</v>
      </c>
      <c r="AA6" s="191" t="s">
        <v>60</v>
      </c>
      <c r="AB6" s="191" t="s">
        <v>61</v>
      </c>
      <c r="AC6" s="191" t="s">
        <v>62</v>
      </c>
      <c r="AD6" s="191" t="s">
        <v>63</v>
      </c>
      <c r="AE6" s="191" t="s">
        <v>64</v>
      </c>
      <c r="AF6" s="191" t="s">
        <v>65</v>
      </c>
      <c r="AG6" s="191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282.26499999999999</v>
      </c>
      <c r="AA8" s="158">
        <v>299.31200000000001</v>
      </c>
      <c r="AB8" s="151">
        <v>-5.69539477E-2</v>
      </c>
      <c r="AC8" s="158">
        <v>838.41600000000005</v>
      </c>
      <c r="AD8" s="158">
        <v>871.31600000000003</v>
      </c>
      <c r="AE8" s="151">
        <v>-3.7758976100000001E-2</v>
      </c>
      <c r="AF8" s="158">
        <v>3447.9160000000002</v>
      </c>
      <c r="AG8" s="151">
        <v>-2.1744305299999999E-2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-651.55899999999997</v>
      </c>
      <c r="S9" s="158">
        <v>-1701.627</v>
      </c>
      <c r="T9" s="151">
        <v>-0.61709646119999995</v>
      </c>
      <c r="U9" s="158">
        <v>-1890.41</v>
      </c>
      <c r="V9" s="158">
        <v>-6236.39</v>
      </c>
      <c r="W9" s="151">
        <v>-0.69687431349999995</v>
      </c>
      <c r="X9" s="158">
        <v>226007.47099999999</v>
      </c>
      <c r="Y9" s="151">
        <v>-0.84623545649999998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15333.781000000001</v>
      </c>
      <c r="C10" s="158">
        <v>16607.366999999998</v>
      </c>
      <c r="D10" s="151">
        <v>-7.6688014400000004E-2</v>
      </c>
      <c r="E10" s="158">
        <v>49083.294999999998</v>
      </c>
      <c r="F10" s="158">
        <v>50210.413999999997</v>
      </c>
      <c r="G10" s="151">
        <v>-2.2447912899999999E-2</v>
      </c>
      <c r="H10" s="158">
        <v>197901.736</v>
      </c>
      <c r="I10" s="151">
        <v>-3.8043219599999997E-2</v>
      </c>
      <c r="J10" s="158">
        <v>15213.790999999999</v>
      </c>
      <c r="K10" s="158">
        <v>14637.923000000001</v>
      </c>
      <c r="L10" s="151">
        <v>3.9340827199999998E-2</v>
      </c>
      <c r="M10" s="158">
        <v>46094.472000000002</v>
      </c>
      <c r="N10" s="158">
        <v>47258.228999999999</v>
      </c>
      <c r="O10" s="151">
        <v>-2.4625489E-2</v>
      </c>
      <c r="P10" s="158">
        <v>195622.785</v>
      </c>
      <c r="Q10" s="151">
        <v>-1.8580398599999999E-2</v>
      </c>
      <c r="R10" s="158">
        <v>14240.815000000001</v>
      </c>
      <c r="S10" s="158">
        <v>15845.757</v>
      </c>
      <c r="T10" s="151">
        <v>-0.1012852841</v>
      </c>
      <c r="U10" s="158">
        <v>60378.091999999997</v>
      </c>
      <c r="V10" s="158">
        <v>61220.328000000001</v>
      </c>
      <c r="W10" s="151">
        <v>-1.3757456499999999E-2</v>
      </c>
      <c r="X10" s="158">
        <v>281467.42499999999</v>
      </c>
      <c r="Y10" s="151">
        <v>-0.36895356019999997</v>
      </c>
      <c r="Z10" s="158">
        <v>128503.12699999999</v>
      </c>
      <c r="AA10" s="158">
        <v>133865.02100000001</v>
      </c>
      <c r="AB10" s="151">
        <v>-4.0054481400000001E-2</v>
      </c>
      <c r="AC10" s="158">
        <v>381913.69500000001</v>
      </c>
      <c r="AD10" s="158">
        <v>470386.39399999997</v>
      </c>
      <c r="AE10" s="151">
        <v>-0.18808515749999999</v>
      </c>
      <c r="AF10" s="158">
        <v>1628936.4439999999</v>
      </c>
      <c r="AG10" s="151">
        <v>-0.15694947870000001</v>
      </c>
    </row>
    <row r="11" spans="1:33">
      <c r="A11" s="144" t="s">
        <v>9</v>
      </c>
      <c r="B11" s="158">
        <v>6.4370000000000003</v>
      </c>
      <c r="C11" s="158">
        <v>0.82899999999999996</v>
      </c>
      <c r="D11" s="151">
        <v>6.7647768395999996</v>
      </c>
      <c r="E11" s="158">
        <v>10.817</v>
      </c>
      <c r="F11" s="158">
        <v>2.9060000000000001</v>
      </c>
      <c r="G11" s="151">
        <v>2.7222986923999999</v>
      </c>
      <c r="H11" s="158">
        <v>177.15799999999999</v>
      </c>
      <c r="I11" s="151">
        <v>1.0779534578000001</v>
      </c>
      <c r="J11" s="158">
        <v>1.6739999999999999</v>
      </c>
      <c r="K11" s="158">
        <v>1.9179999999999999</v>
      </c>
      <c r="L11" s="151">
        <v>-0.1272158498</v>
      </c>
      <c r="M11" s="158">
        <v>68.576999999999998</v>
      </c>
      <c r="N11" s="158">
        <v>3.88</v>
      </c>
      <c r="O11" s="151">
        <v>16.6744845361</v>
      </c>
      <c r="P11" s="158">
        <v>160.6</v>
      </c>
      <c r="Q11" s="151">
        <v>6.0435507214999999</v>
      </c>
      <c r="R11" s="158">
        <v>13131.584999999999</v>
      </c>
      <c r="S11" s="158">
        <v>18912.102999999999</v>
      </c>
      <c r="T11" s="151">
        <v>-0.3056517829</v>
      </c>
      <c r="U11" s="158">
        <v>39339.832000000002</v>
      </c>
      <c r="V11" s="158">
        <v>58123.826000000001</v>
      </c>
      <c r="W11" s="151">
        <v>-0.32317201559999997</v>
      </c>
      <c r="X11" s="158">
        <v>191776.152</v>
      </c>
      <c r="Y11" s="151">
        <v>-0.54332566670000004</v>
      </c>
      <c r="Z11" s="158">
        <v>14760.713</v>
      </c>
      <c r="AA11" s="158">
        <v>12226.844999999999</v>
      </c>
      <c r="AB11" s="151">
        <v>0.20723808960000001</v>
      </c>
      <c r="AC11" s="158">
        <v>35273.584000000003</v>
      </c>
      <c r="AD11" s="158">
        <v>51202.125999999997</v>
      </c>
      <c r="AE11" s="151">
        <v>-0.31109141839999999</v>
      </c>
      <c r="AF11" s="158">
        <v>179832.15100000001</v>
      </c>
      <c r="AG11" s="151">
        <v>-0.18322051789999999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100758.25900000001</v>
      </c>
      <c r="AA12" s="158">
        <v>114048.723</v>
      </c>
      <c r="AB12" s="151">
        <v>-0.1165332119</v>
      </c>
      <c r="AC12" s="158">
        <v>322001.15899999999</v>
      </c>
      <c r="AD12" s="158">
        <v>389316.38799999998</v>
      </c>
      <c r="AE12" s="151">
        <v>-0.17290623020000001</v>
      </c>
      <c r="AF12" s="158">
        <v>1320291.4609999999</v>
      </c>
      <c r="AG12" s="151">
        <v>-0.31860648559999999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217478.64799999999</v>
      </c>
      <c r="S13" s="158">
        <v>223688.28</v>
      </c>
      <c r="T13" s="151">
        <v>-2.77602027E-2</v>
      </c>
      <c r="U13" s="158">
        <v>665216.15599999996</v>
      </c>
      <c r="V13" s="158">
        <v>697290.54599999997</v>
      </c>
      <c r="W13" s="151">
        <v>-4.5998601600000001E-2</v>
      </c>
      <c r="X13" s="158">
        <v>2380062.2560000001</v>
      </c>
      <c r="Y13" s="151">
        <v>0.51717601899999999</v>
      </c>
      <c r="Z13" s="158">
        <v>284196.022</v>
      </c>
      <c r="AA13" s="158">
        <v>300754.80200000003</v>
      </c>
      <c r="AB13" s="151">
        <v>-5.5057408500000002E-2</v>
      </c>
      <c r="AC13" s="158">
        <v>834617.53300000005</v>
      </c>
      <c r="AD13" s="158">
        <v>916244.98</v>
      </c>
      <c r="AE13" s="151">
        <v>-8.9089106900000006E-2</v>
      </c>
      <c r="AF13" s="158">
        <v>3172642.4479999999</v>
      </c>
      <c r="AG13" s="151">
        <v>-2.6428755299999999E-2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-2.4</v>
      </c>
      <c r="S14" s="158">
        <v>0</v>
      </c>
      <c r="T14" s="151">
        <v>0</v>
      </c>
      <c r="U14" s="158">
        <v>-2.4</v>
      </c>
      <c r="V14" s="158">
        <v>0</v>
      </c>
      <c r="W14" s="151">
        <v>0</v>
      </c>
      <c r="X14" s="158">
        <v>3901.4110000000001</v>
      </c>
      <c r="Y14" s="151">
        <v>-0.76910764389999997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1921.443</v>
      </c>
      <c r="AA15" s="158">
        <v>1823.614</v>
      </c>
      <c r="AB15" s="151">
        <v>5.3645672800000002E-2</v>
      </c>
      <c r="AC15" s="158">
        <v>4141.0959999999995</v>
      </c>
      <c r="AD15" s="158">
        <v>3986.6790000000001</v>
      </c>
      <c r="AE15" s="151">
        <v>3.87332414E-2</v>
      </c>
      <c r="AF15" s="158">
        <v>19694.644</v>
      </c>
      <c r="AG15" s="151">
        <v>-0.15102113380000001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306.11500000000001</v>
      </c>
      <c r="S16" s="158">
        <v>533.154</v>
      </c>
      <c r="T16" s="151">
        <v>-0.42584131409999998</v>
      </c>
      <c r="U16" s="158">
        <v>743.56100000000004</v>
      </c>
      <c r="V16" s="158">
        <v>1243.2560000000001</v>
      </c>
      <c r="W16" s="151">
        <v>-0.4019244629</v>
      </c>
      <c r="X16" s="158">
        <v>3141.2280000000001</v>
      </c>
      <c r="Y16" s="151">
        <v>-0.40964703180000001</v>
      </c>
      <c r="Z16" s="158">
        <v>83922.410999999993</v>
      </c>
      <c r="AA16" s="158">
        <v>97166.353000000003</v>
      </c>
      <c r="AB16" s="151">
        <v>-0.1363017299</v>
      </c>
      <c r="AC16" s="158">
        <v>223533.02100000001</v>
      </c>
      <c r="AD16" s="158">
        <v>250511.125</v>
      </c>
      <c r="AE16" s="151">
        <v>-0.1076922392</v>
      </c>
      <c r="AF16" s="158">
        <v>1073452.5060000001</v>
      </c>
      <c r="AG16" s="151">
        <v>-9.6158719700000006E-2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5.9950000000000001</v>
      </c>
      <c r="K17" s="158">
        <v>6.3380000000000001</v>
      </c>
      <c r="L17" s="151">
        <v>-5.4118018300000001E-2</v>
      </c>
      <c r="M17" s="158">
        <v>15.478999999999999</v>
      </c>
      <c r="N17" s="158">
        <v>16.457000000000001</v>
      </c>
      <c r="O17" s="151">
        <v>-5.94275992E-2</v>
      </c>
      <c r="P17" s="158">
        <v>75.728999999999999</v>
      </c>
      <c r="Q17" s="151">
        <v>-4.9705107300000002E-2</v>
      </c>
      <c r="R17" s="158">
        <v>13089.174000000001</v>
      </c>
      <c r="S17" s="158">
        <v>9208.5499999999993</v>
      </c>
      <c r="T17" s="151">
        <v>0.42141531510000002</v>
      </c>
      <c r="U17" s="158">
        <v>30969.454000000002</v>
      </c>
      <c r="V17" s="158">
        <v>23879.063999999998</v>
      </c>
      <c r="W17" s="151">
        <v>0.29692914259999997</v>
      </c>
      <c r="X17" s="158">
        <v>125397.03</v>
      </c>
      <c r="Y17" s="151">
        <v>7.2707446100000003E-2</v>
      </c>
      <c r="Z17" s="158">
        <v>24172.991000000002</v>
      </c>
      <c r="AA17" s="158">
        <v>21187.944</v>
      </c>
      <c r="AB17" s="151">
        <v>0.14088422170000001</v>
      </c>
      <c r="AC17" s="158">
        <v>58151.620999999999</v>
      </c>
      <c r="AD17" s="158">
        <v>59946.216</v>
      </c>
      <c r="AE17" s="151">
        <v>-2.9936752000000001E-2</v>
      </c>
      <c r="AF17" s="158">
        <v>256299.51500000001</v>
      </c>
      <c r="AG17" s="151">
        <v>-6.6902415199999996E-2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137.78700000000001</v>
      </c>
      <c r="S18" s="158">
        <v>26.786999999999999</v>
      </c>
      <c r="T18" s="151">
        <v>4.1438010974999999</v>
      </c>
      <c r="U18" s="158">
        <v>272.43200000000002</v>
      </c>
      <c r="V18" s="158">
        <v>309.88299999999998</v>
      </c>
      <c r="W18" s="151">
        <v>-0.1208552905</v>
      </c>
      <c r="X18" s="158">
        <v>591.94899999999996</v>
      </c>
      <c r="Y18" s="151">
        <v>-0.48432814889999998</v>
      </c>
      <c r="Z18" s="158">
        <v>791.78499999999997</v>
      </c>
      <c r="AA18" s="158">
        <v>821.68299999999999</v>
      </c>
      <c r="AB18" s="151">
        <v>-3.6386294999999999E-2</v>
      </c>
      <c r="AC18" s="158">
        <v>1850.29</v>
      </c>
      <c r="AD18" s="158">
        <v>2543.6689999999999</v>
      </c>
      <c r="AE18" s="151">
        <v>-0.27259010509999998</v>
      </c>
      <c r="AF18" s="158">
        <v>8493.6020000000008</v>
      </c>
      <c r="AG18" s="151">
        <v>-0.1180102359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3995.4989999999998</v>
      </c>
      <c r="S19" s="158">
        <v>3475.991</v>
      </c>
      <c r="T19" s="151">
        <v>0.14945608320000001</v>
      </c>
      <c r="U19" s="158">
        <v>11703.141</v>
      </c>
      <c r="V19" s="158">
        <v>11259.079</v>
      </c>
      <c r="W19" s="151">
        <v>3.94403485E-2</v>
      </c>
      <c r="X19" s="158">
        <v>34267.245000000003</v>
      </c>
      <c r="Y19" s="151">
        <v>-3.7274924600000002E-2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542.07950000000005</v>
      </c>
      <c r="K20" s="158">
        <v>544.75549999999998</v>
      </c>
      <c r="L20" s="151">
        <v>-4.9122955000000003E-3</v>
      </c>
      <c r="M20" s="158">
        <v>1754.684</v>
      </c>
      <c r="N20" s="158">
        <v>1043.569</v>
      </c>
      <c r="O20" s="151">
        <v>0.68142595269999995</v>
      </c>
      <c r="P20" s="158">
        <v>6236.6705000000002</v>
      </c>
      <c r="Q20" s="151">
        <v>0.28247058790000001</v>
      </c>
      <c r="R20" s="158">
        <v>10093.0875</v>
      </c>
      <c r="S20" s="158">
        <v>10531.687</v>
      </c>
      <c r="T20" s="151">
        <v>-4.1645702200000002E-2</v>
      </c>
      <c r="U20" s="158">
        <v>27968.32</v>
      </c>
      <c r="V20" s="158">
        <v>25889.143</v>
      </c>
      <c r="W20" s="151">
        <v>8.0310769700000006E-2</v>
      </c>
      <c r="X20" s="158">
        <v>116081.02499999999</v>
      </c>
      <c r="Y20" s="151">
        <v>-0.1930309368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542.07950000000005</v>
      </c>
      <c r="K21" s="158">
        <v>544.75549999999998</v>
      </c>
      <c r="L21" s="151">
        <v>-4.9122955000000003E-3</v>
      </c>
      <c r="M21" s="158">
        <v>1754.684</v>
      </c>
      <c r="N21" s="158">
        <v>1043.569</v>
      </c>
      <c r="O21" s="151">
        <v>0.68142595269999995</v>
      </c>
      <c r="P21" s="158">
        <v>6236.6705000000002</v>
      </c>
      <c r="Q21" s="151">
        <v>0.28247058790000001</v>
      </c>
      <c r="R21" s="158">
        <v>10093.0875</v>
      </c>
      <c r="S21" s="158">
        <v>10531.687</v>
      </c>
      <c r="T21" s="151">
        <v>-4.1645702200000002E-2</v>
      </c>
      <c r="U21" s="158">
        <v>27968.32</v>
      </c>
      <c r="V21" s="158">
        <v>25889.143</v>
      </c>
      <c r="W21" s="151">
        <v>8.0310769700000006E-2</v>
      </c>
      <c r="X21" s="158">
        <v>116081.02499999999</v>
      </c>
      <c r="Y21" s="151">
        <v>-0.1930309368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15340.218000000001</v>
      </c>
      <c r="C22" s="159">
        <v>16608.196</v>
      </c>
      <c r="D22" s="152">
        <v>-7.6346521900000006E-2</v>
      </c>
      <c r="E22" s="159">
        <v>49094.112000000001</v>
      </c>
      <c r="F22" s="159">
        <v>50213.32</v>
      </c>
      <c r="G22" s="152">
        <v>-2.2289065899999998E-2</v>
      </c>
      <c r="H22" s="159">
        <v>198078.894</v>
      </c>
      <c r="I22" s="152">
        <v>-3.7580930200000001E-2</v>
      </c>
      <c r="J22" s="159">
        <v>16305.619000000001</v>
      </c>
      <c r="K22" s="159">
        <v>15735.69</v>
      </c>
      <c r="L22" s="152">
        <v>3.62188757E-2</v>
      </c>
      <c r="M22" s="159">
        <v>49687.896000000001</v>
      </c>
      <c r="N22" s="159">
        <v>49365.703999999998</v>
      </c>
      <c r="O22" s="152">
        <v>6.5266363999999999E-3</v>
      </c>
      <c r="P22" s="159">
        <v>208332.45499999999</v>
      </c>
      <c r="Q22" s="152">
        <v>-3.9320576999999999E-3</v>
      </c>
      <c r="R22" s="159">
        <v>281911.83899999998</v>
      </c>
      <c r="S22" s="159">
        <v>291052.36900000001</v>
      </c>
      <c r="T22" s="152">
        <v>-3.14051043E-2</v>
      </c>
      <c r="U22" s="159">
        <v>862666.49800000002</v>
      </c>
      <c r="V22" s="159">
        <v>898867.87800000003</v>
      </c>
      <c r="W22" s="152">
        <v>-4.0274417299999997E-2</v>
      </c>
      <c r="X22" s="159">
        <v>3478774.2170000002</v>
      </c>
      <c r="Y22" s="152">
        <v>-0.20359570669999999</v>
      </c>
      <c r="Z22" s="159">
        <v>639309.01599999995</v>
      </c>
      <c r="AA22" s="159">
        <v>682194.29700000002</v>
      </c>
      <c r="AB22" s="152">
        <v>-6.2863734300000002E-2</v>
      </c>
      <c r="AC22" s="159">
        <v>1862320.415</v>
      </c>
      <c r="AD22" s="159">
        <v>2145008.8930000002</v>
      </c>
      <c r="AE22" s="152">
        <v>-0.1317889538</v>
      </c>
      <c r="AF22" s="159">
        <v>7663090.6869999999</v>
      </c>
      <c r="AG22" s="152">
        <v>-0.13386467220000001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127985.573</v>
      </c>
      <c r="S23" s="158">
        <v>112780.382</v>
      </c>
      <c r="T23" s="151">
        <v>0.13482124049999999</v>
      </c>
      <c r="U23" s="158">
        <v>379647.99400000001</v>
      </c>
      <c r="V23" s="158">
        <v>364864.78</v>
      </c>
      <c r="W23" s="151">
        <v>4.0516966299999999E-2</v>
      </c>
      <c r="X23" s="158">
        <v>1441320.7390000001</v>
      </c>
      <c r="Y23" s="151">
        <v>-0.14253103559999999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15340.218000000001</v>
      </c>
      <c r="C24" s="159">
        <v>16608.196</v>
      </c>
      <c r="D24" s="152">
        <v>-7.6346521900000006E-2</v>
      </c>
      <c r="E24" s="159">
        <v>49094.112000000001</v>
      </c>
      <c r="F24" s="159">
        <v>50213.32</v>
      </c>
      <c r="G24" s="152">
        <v>-2.2289065899999998E-2</v>
      </c>
      <c r="H24" s="159">
        <v>198078.894</v>
      </c>
      <c r="I24" s="152">
        <v>-3.7580930200000001E-2</v>
      </c>
      <c r="J24" s="159">
        <v>16305.619000000001</v>
      </c>
      <c r="K24" s="159">
        <v>15735.69</v>
      </c>
      <c r="L24" s="152">
        <v>3.62188757E-2</v>
      </c>
      <c r="M24" s="159">
        <v>49687.896000000001</v>
      </c>
      <c r="N24" s="159">
        <v>49365.703999999998</v>
      </c>
      <c r="O24" s="152">
        <v>6.5266363999999999E-3</v>
      </c>
      <c r="P24" s="159">
        <v>208332.45499999999</v>
      </c>
      <c r="Q24" s="152">
        <v>-3.9320576999999999E-3</v>
      </c>
      <c r="R24" s="159">
        <v>409897.41200000001</v>
      </c>
      <c r="S24" s="159">
        <v>403832.75099999999</v>
      </c>
      <c r="T24" s="152">
        <v>1.50177542E-2</v>
      </c>
      <c r="U24" s="159">
        <v>1242314.4920000001</v>
      </c>
      <c r="V24" s="159">
        <v>1263732.6580000001</v>
      </c>
      <c r="W24" s="152">
        <v>-1.6948336200000001E-2</v>
      </c>
      <c r="X24" s="159">
        <v>4920094.9560000002</v>
      </c>
      <c r="Y24" s="152">
        <v>-0.18662700909999999</v>
      </c>
      <c r="Z24" s="159">
        <v>639309.01599999995</v>
      </c>
      <c r="AA24" s="159">
        <v>682194.29700000002</v>
      </c>
      <c r="AB24" s="152">
        <v>-6.2863734300000002E-2</v>
      </c>
      <c r="AC24" s="159">
        <v>1862320.415</v>
      </c>
      <c r="AD24" s="159">
        <v>2145008.8930000002</v>
      </c>
      <c r="AE24" s="152">
        <v>-0.1317889538</v>
      </c>
      <c r="AF24" s="159">
        <v>7663090.6869999999</v>
      </c>
      <c r="AG24" s="152">
        <v>-0.13386467220000001</v>
      </c>
    </row>
    <row r="26" spans="1:33">
      <c r="A26" s="111" t="s">
        <v>103</v>
      </c>
      <c r="B26" s="180">
        <f>SUM(B24,J24,R24,Z24)</f>
        <v>1080852.2649999999</v>
      </c>
      <c r="C26" s="180">
        <f>SUM(C24,K24,S24,AA24)</f>
        <v>1118370.9339999999</v>
      </c>
      <c r="D26" s="181">
        <f>((B26/C26)-1)*100</f>
        <v>-3.3547607380862043</v>
      </c>
      <c r="R26" s="181"/>
    </row>
    <row r="29" spans="1:33" ht="15">
      <c r="A29" s="145" t="s">
        <v>67</v>
      </c>
      <c r="B29" s="208" t="str">
        <f>A2</f>
        <v>Marzo 2021</v>
      </c>
      <c r="C29" s="209"/>
    </row>
    <row r="30" spans="1:33" ht="15">
      <c r="A30" s="145" t="s">
        <v>69</v>
      </c>
      <c r="B30" s="223" t="s">
        <v>72</v>
      </c>
      <c r="C30" s="224"/>
    </row>
    <row r="31" spans="1:33">
      <c r="A31" s="143" t="s">
        <v>68</v>
      </c>
      <c r="B31" s="178" t="s">
        <v>57</v>
      </c>
      <c r="C31" s="178" t="s">
        <v>58</v>
      </c>
    </row>
    <row r="32" spans="1:33">
      <c r="A32" s="145" t="s">
        <v>70</v>
      </c>
      <c r="B32" s="146"/>
      <c r="C32" s="146"/>
    </row>
    <row r="33" spans="1:4">
      <c r="A33" s="144" t="s">
        <v>12</v>
      </c>
      <c r="B33" s="147"/>
      <c r="C33" s="147">
        <v>1.52</v>
      </c>
    </row>
    <row r="34" spans="1:4">
      <c r="A34" s="144" t="s">
        <v>11</v>
      </c>
      <c r="B34" s="147">
        <v>241.2</v>
      </c>
      <c r="C34" s="147"/>
    </row>
    <row r="35" spans="1:4">
      <c r="A35" s="144" t="s">
        <v>78</v>
      </c>
      <c r="B35" s="185">
        <v>139.4</v>
      </c>
      <c r="C35" s="147">
        <v>488.56</v>
      </c>
    </row>
    <row r="36" spans="1:4">
      <c r="A36" s="144" t="s">
        <v>9</v>
      </c>
      <c r="B36" s="147">
        <v>603.1</v>
      </c>
      <c r="C36" s="147">
        <v>520.75</v>
      </c>
    </row>
    <row r="37" spans="1:4">
      <c r="A37" s="144" t="s">
        <v>8</v>
      </c>
      <c r="B37" s="147"/>
      <c r="C37" s="147">
        <v>482.64</v>
      </c>
    </row>
    <row r="38" spans="1:4">
      <c r="A38" s="144" t="s">
        <v>25</v>
      </c>
      <c r="B38" s="147">
        <v>822.9</v>
      </c>
      <c r="C38" s="147">
        <v>865.4</v>
      </c>
    </row>
    <row r="39" spans="1:4">
      <c r="A39" s="144" t="s">
        <v>24</v>
      </c>
      <c r="B39" s="147"/>
      <c r="C39" s="147"/>
    </row>
    <row r="40" spans="1:4">
      <c r="A40" s="144" t="s">
        <v>6</v>
      </c>
      <c r="B40" s="147"/>
      <c r="C40" s="147">
        <v>11.32</v>
      </c>
    </row>
    <row r="41" spans="1:4">
      <c r="A41" s="144" t="s">
        <v>5</v>
      </c>
      <c r="B41" s="147">
        <v>3.6375000000000002</v>
      </c>
      <c r="C41" s="147">
        <v>451.01499999999999</v>
      </c>
      <c r="D41" s="188"/>
    </row>
    <row r="42" spans="1:4">
      <c r="A42" s="144" t="s">
        <v>4</v>
      </c>
      <c r="B42" s="147">
        <v>119.90296499999999</v>
      </c>
      <c r="C42" s="147">
        <v>167.13214500000001</v>
      </c>
      <c r="D42" s="188"/>
    </row>
    <row r="43" spans="1:4">
      <c r="A43" s="144" t="s">
        <v>22</v>
      </c>
      <c r="B43" s="147">
        <v>2.13</v>
      </c>
      <c r="C43" s="147">
        <v>3.6960000000000002</v>
      </c>
    </row>
    <row r="44" spans="1:4">
      <c r="A44" s="144" t="s">
        <v>23</v>
      </c>
      <c r="B44" s="147">
        <v>11.523</v>
      </c>
      <c r="C44" s="147">
        <v>38.200000000000003</v>
      </c>
    </row>
    <row r="45" spans="1:4">
      <c r="A45" s="144" t="s">
        <v>54</v>
      </c>
      <c r="B45" s="147">
        <v>37.4</v>
      </c>
      <c r="C45" s="147"/>
    </row>
    <row r="46" spans="1:4">
      <c r="A46" s="144" t="s">
        <v>55</v>
      </c>
      <c r="B46" s="147">
        <v>37.4</v>
      </c>
      <c r="C46" s="147"/>
    </row>
    <row r="47" spans="1:4">
      <c r="A47" s="149" t="s">
        <v>2</v>
      </c>
      <c r="B47" s="186">
        <f>SUM(B33:B46)</f>
        <v>2018.5934650000002</v>
      </c>
      <c r="C47" s="179">
        <f>SUM(C33:C46)</f>
        <v>3030.2331449999997</v>
      </c>
    </row>
    <row r="48" spans="1:4" ht="15">
      <c r="A48"/>
      <c r="C48"/>
      <c r="D48" s="187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241.2</v>
      </c>
      <c r="C52" s="116">
        <f t="shared" ref="C52:C57" si="0">B52/$B$63*100</f>
        <v>11.948914141560444</v>
      </c>
      <c r="D52" s="183"/>
      <c r="F52" s="114" t="s">
        <v>10</v>
      </c>
      <c r="G52" s="115">
        <f>C35</f>
        <v>488.56</v>
      </c>
      <c r="H52" s="116">
        <f>G52/$G$62*100</f>
        <v>16.122851827627276</v>
      </c>
    </row>
    <row r="53" spans="1:8">
      <c r="A53" s="114" t="s">
        <v>10</v>
      </c>
      <c r="B53" s="115">
        <f t="shared" ref="B53:B54" si="1">B35</f>
        <v>139.4</v>
      </c>
      <c r="C53" s="116">
        <f t="shared" si="0"/>
        <v>6.9057986373695108</v>
      </c>
      <c r="D53" s="183"/>
      <c r="F53" s="114" t="s">
        <v>9</v>
      </c>
      <c r="G53" s="115">
        <f>C36</f>
        <v>520.75</v>
      </c>
      <c r="H53" s="116">
        <f t="shared" ref="H53:H61" si="2">G53/$G$62*100</f>
        <v>17.185146326422355</v>
      </c>
    </row>
    <row r="54" spans="1:8">
      <c r="A54" s="114" t="s">
        <v>9</v>
      </c>
      <c r="B54" s="115">
        <f t="shared" si="1"/>
        <v>603.1</v>
      </c>
      <c r="C54" s="116">
        <f t="shared" si="0"/>
        <v>29.877239298404245</v>
      </c>
      <c r="D54" s="183"/>
      <c r="F54" s="114" t="s">
        <v>8</v>
      </c>
      <c r="G54" s="115">
        <f>C37</f>
        <v>482.64</v>
      </c>
      <c r="H54" s="116">
        <f t="shared" si="2"/>
        <v>15.927487322101747</v>
      </c>
    </row>
    <row r="55" spans="1:8">
      <c r="A55" s="114" t="s">
        <v>25</v>
      </c>
      <c r="B55" s="115">
        <f>B38</f>
        <v>822.9</v>
      </c>
      <c r="C55" s="116">
        <f t="shared" si="0"/>
        <v>40.766009316293903</v>
      </c>
      <c r="D55" s="183"/>
      <c r="F55" s="114" t="s">
        <v>25</v>
      </c>
      <c r="G55" s="115">
        <f>C38</f>
        <v>865.4</v>
      </c>
      <c r="H55" s="116">
        <f t="shared" si="2"/>
        <v>28.558858628681527</v>
      </c>
    </row>
    <row r="56" spans="1:8">
      <c r="A56" s="114" t="s">
        <v>24</v>
      </c>
      <c r="B56" s="115">
        <f>B39</f>
        <v>0</v>
      </c>
      <c r="C56" s="116">
        <f t="shared" si="0"/>
        <v>0</v>
      </c>
      <c r="D56" s="183"/>
      <c r="F56" s="114" t="s">
        <v>23</v>
      </c>
      <c r="G56" s="115">
        <f>C44</f>
        <v>38.200000000000003</v>
      </c>
      <c r="H56" s="116">
        <f t="shared" si="2"/>
        <v>1.2606290728167717</v>
      </c>
    </row>
    <row r="57" spans="1:8">
      <c r="A57" s="114" t="s">
        <v>23</v>
      </c>
      <c r="B57" s="115">
        <f>B44</f>
        <v>11.523</v>
      </c>
      <c r="C57" s="116">
        <f t="shared" si="0"/>
        <v>0.57084302509618989</v>
      </c>
      <c r="D57" s="183"/>
      <c r="F57" s="114" t="s">
        <v>12</v>
      </c>
      <c r="G57" s="116">
        <f>C33</f>
        <v>1.52</v>
      </c>
      <c r="H57" s="116">
        <f t="shared" si="2"/>
        <v>5.0161156824122859E-2</v>
      </c>
    </row>
    <row r="58" spans="1:8">
      <c r="A58" s="114" t="s">
        <v>55</v>
      </c>
      <c r="B58" s="115">
        <f>B46</f>
        <v>37.4</v>
      </c>
      <c r="C58" s="116">
        <f t="shared" ref="C58:C62" si="3">B58/$B$63*100</f>
        <v>1.8527752441723075</v>
      </c>
      <c r="D58" s="183"/>
      <c r="F58" s="114" t="s">
        <v>6</v>
      </c>
      <c r="G58" s="115">
        <f>C40</f>
        <v>11.32</v>
      </c>
      <c r="H58" s="116">
        <f t="shared" si="2"/>
        <v>0.37356861529544128</v>
      </c>
    </row>
    <row r="59" spans="1:8">
      <c r="A59" s="114" t="s">
        <v>54</v>
      </c>
      <c r="B59" s="115">
        <f>B45</f>
        <v>37.4</v>
      </c>
      <c r="C59" s="116">
        <f t="shared" si="3"/>
        <v>1.8527752441723075</v>
      </c>
      <c r="D59" s="183"/>
      <c r="F59" s="114" t="s">
        <v>5</v>
      </c>
      <c r="G59" s="115">
        <f>C41</f>
        <v>451.01499999999999</v>
      </c>
      <c r="H59" s="116">
        <f t="shared" si="2"/>
        <v>14.883838253310374</v>
      </c>
    </row>
    <row r="60" spans="1:8">
      <c r="A60" s="114" t="s">
        <v>5</v>
      </c>
      <c r="B60" s="115">
        <f>B41</f>
        <v>3.6375000000000002</v>
      </c>
      <c r="C60" s="116">
        <f t="shared" si="3"/>
        <v>0.18019973130151792</v>
      </c>
      <c r="D60" s="183"/>
      <c r="F60" s="114" t="s">
        <v>4</v>
      </c>
      <c r="G60" s="115">
        <f>C42</f>
        <v>167.13214500000001</v>
      </c>
      <c r="H60" s="116">
        <f t="shared" si="2"/>
        <v>5.5154879840112114</v>
      </c>
    </row>
    <row r="61" spans="1:8">
      <c r="A61" s="114" t="s">
        <v>4</v>
      </c>
      <c r="B61" s="115">
        <f>B42</f>
        <v>119.90296499999999</v>
      </c>
      <c r="C61" s="116">
        <f t="shared" si="3"/>
        <v>5.9399263437127985</v>
      </c>
      <c r="D61" s="183"/>
      <c r="F61" s="114" t="s">
        <v>22</v>
      </c>
      <c r="G61" s="115">
        <f>C43</f>
        <v>3.6960000000000002</v>
      </c>
      <c r="H61" s="116">
        <f t="shared" si="2"/>
        <v>0.12197081290918296</v>
      </c>
    </row>
    <row r="62" spans="1:8">
      <c r="A62" s="114" t="s">
        <v>22</v>
      </c>
      <c r="B62" s="115">
        <f>B43</f>
        <v>2.13</v>
      </c>
      <c r="C62" s="116">
        <f t="shared" si="3"/>
        <v>0.10551901791676511</v>
      </c>
      <c r="D62" s="183"/>
      <c r="F62" s="117" t="s">
        <v>20</v>
      </c>
      <c r="G62" s="118">
        <f>SUM(G52:G61)</f>
        <v>3030.2331449999997</v>
      </c>
      <c r="H62" s="119">
        <f>SUM(H52:H61)</f>
        <v>100</v>
      </c>
    </row>
    <row r="63" spans="1:8">
      <c r="A63" s="117" t="s">
        <v>20</v>
      </c>
      <c r="B63" s="118">
        <f>SUM(B52:B62)</f>
        <v>2018.5934650000002</v>
      </c>
      <c r="C63" s="119">
        <f>SUM(C52:C62)</f>
        <v>99.999999999999986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106</v>
      </c>
      <c r="F67" s="112"/>
      <c r="G67" s="113" t="s">
        <v>26</v>
      </c>
    </row>
    <row r="68" spans="1:7">
      <c r="A68" s="114" t="s">
        <v>11</v>
      </c>
      <c r="B68" s="116">
        <f>C68/$C$80*100</f>
        <v>0</v>
      </c>
      <c r="C68" s="115">
        <f>IF(R9&lt;0,0,R9)</f>
        <v>0</v>
      </c>
      <c r="D68" s="192">
        <f>(C68/SUM($C$68:$C$78))*100</f>
        <v>0</v>
      </c>
      <c r="F68" s="114" t="s">
        <v>10</v>
      </c>
      <c r="G68" s="116">
        <f>Z10/Z$24*100</f>
        <v>20.100315150255916</v>
      </c>
    </row>
    <row r="69" spans="1:7">
      <c r="A69" s="114" t="s">
        <v>10</v>
      </c>
      <c r="B69" s="116">
        <f t="shared" ref="B69:B78" si="4">C69/$C$80*100</f>
        <v>3.4687250500988345</v>
      </c>
      <c r="C69" s="115">
        <f>R10</f>
        <v>14240.815000000001</v>
      </c>
      <c r="D69" s="192">
        <f t="shared" ref="D69:D78" si="5">(C69/SUM($C$68:$C$78))*100</f>
        <v>5.0398654251744244</v>
      </c>
      <c r="F69" s="114" t="s">
        <v>9</v>
      </c>
      <c r="G69" s="116">
        <f>Z11/Z$24*100</f>
        <v>2.3088541895364108</v>
      </c>
    </row>
    <row r="70" spans="1:7">
      <c r="A70" s="114" t="s">
        <v>9</v>
      </c>
      <c r="B70" s="116">
        <f t="shared" si="4"/>
        <v>3.1985429090260706</v>
      </c>
      <c r="C70" s="115">
        <f>R11</f>
        <v>13131.584999999999</v>
      </c>
      <c r="D70" s="192">
        <f t="shared" si="5"/>
        <v>4.6473057349062596</v>
      </c>
      <c r="F70" s="114" t="s">
        <v>8</v>
      </c>
      <c r="G70" s="116">
        <f>Z12/Z$24*100</f>
        <v>15.760493983085015</v>
      </c>
    </row>
    <row r="71" spans="1:7">
      <c r="A71" s="114" t="s">
        <v>25</v>
      </c>
      <c r="B71" s="116">
        <f t="shared" si="4"/>
        <v>52.972644766414476</v>
      </c>
      <c r="C71" s="115">
        <f>R13</f>
        <v>217478.64799999999</v>
      </c>
      <c r="D71" s="192">
        <f>(C71/SUM($C$68:$C$78))*100</f>
        <v>76.966319608033601</v>
      </c>
      <c r="F71" s="114" t="s">
        <v>25</v>
      </c>
      <c r="G71" s="116">
        <f>Z13/Z$24*100</f>
        <v>44.453623347617551</v>
      </c>
    </row>
    <row r="72" spans="1:7">
      <c r="A72" s="114" t="s">
        <v>24</v>
      </c>
      <c r="B72" s="116">
        <f t="shared" si="4"/>
        <v>-5.8458312394601031E-4</v>
      </c>
      <c r="C72" s="115">
        <f>R14</f>
        <v>-2.4</v>
      </c>
      <c r="D72" s="193"/>
      <c r="F72" s="114" t="s">
        <v>23</v>
      </c>
      <c r="G72" s="116">
        <f>Z19/Z$24*100</f>
        <v>0</v>
      </c>
    </row>
    <row r="73" spans="1:7">
      <c r="A73" s="114" t="s">
        <v>23</v>
      </c>
      <c r="B73" s="116">
        <f t="shared" si="4"/>
        <v>0.97320886964298337</v>
      </c>
      <c r="C73" s="115">
        <f>R19</f>
        <v>3995.4989999999998</v>
      </c>
      <c r="D73" s="192">
        <f t="shared" si="5"/>
        <v>1.4140185984031803</v>
      </c>
      <c r="F73" s="114" t="s">
        <v>12</v>
      </c>
      <c r="G73" s="116">
        <f>Z8/Z$24*100</f>
        <v>4.4151575049897307E-2</v>
      </c>
    </row>
    <row r="74" spans="1:7">
      <c r="A74" s="114" t="s">
        <v>55</v>
      </c>
      <c r="B74" s="116">
        <f t="shared" si="4"/>
        <v>2.4584369254210112</v>
      </c>
      <c r="C74" s="115">
        <f>R21</f>
        <v>10093.0875</v>
      </c>
      <c r="D74" s="192">
        <f t="shared" si="5"/>
        <v>3.5719727223835269</v>
      </c>
      <c r="F74" s="114" t="s">
        <v>6</v>
      </c>
      <c r="G74" s="116">
        <f>Z15/Z$24*100</f>
        <v>0.30054996127256245</v>
      </c>
    </row>
    <row r="75" spans="1:7">
      <c r="A75" s="114" t="s">
        <v>54</v>
      </c>
      <c r="B75" s="116">
        <f t="shared" si="4"/>
        <v>2.4584369254210112</v>
      </c>
      <c r="C75" s="115">
        <f>R20</f>
        <v>10093.0875</v>
      </c>
      <c r="D75" s="192">
        <f t="shared" si="5"/>
        <v>3.5719727223835269</v>
      </c>
      <c r="F75" s="114" t="s">
        <v>5</v>
      </c>
      <c r="G75" s="116">
        <f>Z16/Z$24*100</f>
        <v>13.127049501832772</v>
      </c>
    </row>
    <row r="76" spans="1:7">
      <c r="A76" s="114" t="s">
        <v>5</v>
      </c>
      <c r="B76" s="116">
        <f t="shared" si="4"/>
        <v>7.4562359577805395E-2</v>
      </c>
      <c r="C76" s="115">
        <f>R16</f>
        <v>306.11500000000001</v>
      </c>
      <c r="D76" s="192">
        <f t="shared" si="5"/>
        <v>0.10833497974850939</v>
      </c>
      <c r="F76" s="114" t="s">
        <v>4</v>
      </c>
      <c r="G76" s="116">
        <f>Z17/Z$24*100</f>
        <v>3.7811121687669118</v>
      </c>
    </row>
    <row r="77" spans="1:7">
      <c r="A77" s="114" t="s">
        <v>4</v>
      </c>
      <c r="B77" s="116">
        <f t="shared" si="4"/>
        <v>3.1882125944970396</v>
      </c>
      <c r="C77" s="115">
        <f>R17</f>
        <v>13089.174000000001</v>
      </c>
      <c r="D77" s="192">
        <f t="shared" si="5"/>
        <v>4.6322963599128295</v>
      </c>
      <c r="F77" s="114" t="s">
        <v>22</v>
      </c>
      <c r="G77" s="116">
        <f>Z18/Z$24*100</f>
        <v>0.12385012258297325</v>
      </c>
    </row>
    <row r="78" spans="1:7">
      <c r="A78" s="114" t="s">
        <v>22</v>
      </c>
      <c r="B78" s="116">
        <f t="shared" si="4"/>
        <v>3.3561647874645384E-2</v>
      </c>
      <c r="C78" s="115">
        <f>R18</f>
        <v>137.78700000000001</v>
      </c>
      <c r="D78" s="192">
        <f t="shared" si="5"/>
        <v>4.8763215963307467E-2</v>
      </c>
      <c r="F78" s="117" t="s">
        <v>20</v>
      </c>
      <c r="G78" s="119">
        <f>SUM(G68:G77)</f>
        <v>100.00000000000001</v>
      </c>
    </row>
    <row r="79" spans="1:7">
      <c r="A79" s="114" t="s">
        <v>21</v>
      </c>
      <c r="B79" s="116">
        <f>C79/$C$80*100</f>
        <v>31.174252535150064</v>
      </c>
      <c r="C79" s="115">
        <f>R23</f>
        <v>127985.573</v>
      </c>
      <c r="D79" s="183"/>
    </row>
    <row r="80" spans="1:7">
      <c r="A80" s="117" t="s">
        <v>20</v>
      </c>
      <c r="B80" s="119">
        <f>SUM(B68:B79)</f>
        <v>100</v>
      </c>
      <c r="C80" s="118">
        <f>SUM(C68:C79)</f>
        <v>410548.97100000002</v>
      </c>
      <c r="D80" s="183"/>
    </row>
    <row r="85" spans="1:26" ht="15">
      <c r="A85" s="145"/>
      <c r="B85" s="145" t="s">
        <v>69</v>
      </c>
      <c r="C85" s="225" t="s">
        <v>13</v>
      </c>
      <c r="D85" s="226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  <c r="R85" s="226"/>
      <c r="S85"/>
      <c r="T85"/>
      <c r="U85"/>
      <c r="V85"/>
      <c r="W85"/>
      <c r="X85"/>
      <c r="Y85"/>
      <c r="Z85"/>
    </row>
    <row r="86" spans="1:26" ht="15">
      <c r="A86" s="145"/>
      <c r="B86" s="143" t="s">
        <v>67</v>
      </c>
      <c r="C86" s="189" t="s">
        <v>104</v>
      </c>
      <c r="D86" s="189" t="s">
        <v>105</v>
      </c>
      <c r="E86" s="189" t="s">
        <v>107</v>
      </c>
      <c r="F86" s="189" t="s">
        <v>109</v>
      </c>
      <c r="G86" s="189" t="s">
        <v>110</v>
      </c>
      <c r="H86" s="189" t="s">
        <v>111</v>
      </c>
      <c r="I86" s="189" t="s">
        <v>112</v>
      </c>
      <c r="J86" s="189" t="s">
        <v>113</v>
      </c>
      <c r="K86" s="189" t="s">
        <v>114</v>
      </c>
      <c r="L86" s="189" t="s">
        <v>115</v>
      </c>
      <c r="M86" s="189" t="s">
        <v>116</v>
      </c>
      <c r="N86" s="189" t="s">
        <v>117</v>
      </c>
      <c r="O86" s="189" t="s">
        <v>118</v>
      </c>
      <c r="P86" s="189" t="s">
        <v>119</v>
      </c>
      <c r="Q86" s="189" t="s">
        <v>120</v>
      </c>
      <c r="R86" s="189" t="s">
        <v>124</v>
      </c>
      <c r="S86"/>
      <c r="T86"/>
      <c r="U86"/>
      <c r="V86"/>
      <c r="W86"/>
      <c r="X86"/>
      <c r="Y86"/>
      <c r="Z86"/>
    </row>
    <row r="87" spans="1:26" ht="15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/>
      <c r="T87"/>
      <c r="U87"/>
      <c r="V87"/>
      <c r="W87"/>
      <c r="X87"/>
      <c r="Y87"/>
      <c r="Z87"/>
    </row>
    <row r="88" spans="1:26" ht="15">
      <c r="A88" s="222" t="s">
        <v>57</v>
      </c>
      <c r="B88" s="144" t="s">
        <v>11</v>
      </c>
      <c r="C88" s="147">
        <v>-3.1773479999999998</v>
      </c>
      <c r="D88" s="147">
        <v>-1.357415</v>
      </c>
      <c r="E88" s="147">
        <v>-1.701627</v>
      </c>
      <c r="F88" s="147">
        <v>-1.684542</v>
      </c>
      <c r="G88" s="147">
        <v>-1.8020959999999999</v>
      </c>
      <c r="H88" s="147">
        <v>-1.2808299999999999</v>
      </c>
      <c r="I88" s="147">
        <v>-1.119569</v>
      </c>
      <c r="J88" s="147">
        <v>-1.1268309999999999</v>
      </c>
      <c r="K88" s="147">
        <v>68.615076999999999</v>
      </c>
      <c r="L88" s="147">
        <v>69.531803999999994</v>
      </c>
      <c r="M88" s="147">
        <v>18.689830000000001</v>
      </c>
      <c r="N88" s="147">
        <v>78.075038000000006</v>
      </c>
      <c r="O88" s="147">
        <v>-0.63269200000000003</v>
      </c>
      <c r="P88" s="147">
        <v>-0.606159</v>
      </c>
      <c r="Q88" s="147">
        <v>-0.651559</v>
      </c>
      <c r="R88" s="147">
        <v>0</v>
      </c>
      <c r="S88"/>
      <c r="T88"/>
      <c r="U88"/>
      <c r="V88"/>
      <c r="W88"/>
      <c r="X88"/>
      <c r="Y88"/>
      <c r="Z88"/>
    </row>
    <row r="89" spans="1:26" ht="15">
      <c r="A89" s="220"/>
      <c r="B89" s="144" t="s">
        <v>78</v>
      </c>
      <c r="C89" s="147">
        <v>25.163323999999999</v>
      </c>
      <c r="D89" s="147">
        <v>20.211247</v>
      </c>
      <c r="E89" s="147">
        <v>15.845757000000001</v>
      </c>
      <c r="F89" s="147">
        <v>18.686546</v>
      </c>
      <c r="G89" s="147">
        <v>20.180289999999999</v>
      </c>
      <c r="H89" s="147">
        <v>17.902134</v>
      </c>
      <c r="I89" s="147">
        <v>32.575167</v>
      </c>
      <c r="J89" s="147">
        <v>48.229475999999998</v>
      </c>
      <c r="K89" s="147">
        <v>25.914612999999999</v>
      </c>
      <c r="L89" s="147">
        <v>16.883790999999999</v>
      </c>
      <c r="M89" s="147">
        <v>18.608250999999999</v>
      </c>
      <c r="N89" s="147">
        <v>22.109065000000001</v>
      </c>
      <c r="O89" s="147">
        <v>27.196950000000001</v>
      </c>
      <c r="P89" s="147">
        <v>18.940327</v>
      </c>
      <c r="Q89" s="147">
        <v>14.240815</v>
      </c>
      <c r="R89" s="147">
        <v>6.922428</v>
      </c>
      <c r="S89"/>
      <c r="T89"/>
      <c r="U89"/>
      <c r="V89"/>
      <c r="W89"/>
      <c r="X89"/>
      <c r="Y89"/>
      <c r="Z89"/>
    </row>
    <row r="90" spans="1:26" ht="15">
      <c r="A90" s="220"/>
      <c r="B90" s="144" t="s">
        <v>9</v>
      </c>
      <c r="C90" s="147">
        <v>21.825088000000001</v>
      </c>
      <c r="D90" s="147">
        <v>17.386634999999998</v>
      </c>
      <c r="E90" s="147">
        <v>18.912102999999998</v>
      </c>
      <c r="F90" s="147">
        <v>9.9217499999999994</v>
      </c>
      <c r="G90" s="147">
        <v>9.5129249999999992</v>
      </c>
      <c r="H90" s="147">
        <v>15.970385</v>
      </c>
      <c r="I90" s="147">
        <v>33.700387999999997</v>
      </c>
      <c r="J90" s="147">
        <v>37.145944999999998</v>
      </c>
      <c r="K90" s="147">
        <v>15.232726</v>
      </c>
      <c r="L90" s="147">
        <v>8.9368049999999997</v>
      </c>
      <c r="M90" s="147">
        <v>10.474845</v>
      </c>
      <c r="N90" s="147">
        <v>11.540551000000001</v>
      </c>
      <c r="O90" s="147">
        <v>18.542487000000001</v>
      </c>
      <c r="P90" s="147">
        <v>7.6657599999999997</v>
      </c>
      <c r="Q90" s="147">
        <v>13.131584999999999</v>
      </c>
      <c r="R90" s="147">
        <v>3.4131559999999999</v>
      </c>
      <c r="S90"/>
      <c r="T90"/>
      <c r="U90"/>
      <c r="V90"/>
      <c r="W90"/>
      <c r="X90"/>
      <c r="Y90"/>
      <c r="Z90"/>
    </row>
    <row r="91" spans="1:26" ht="15">
      <c r="A91" s="220"/>
      <c r="B91" s="144" t="s">
        <v>25</v>
      </c>
      <c r="C91" s="147">
        <v>247.42845600000001</v>
      </c>
      <c r="D91" s="147">
        <v>226.17381</v>
      </c>
      <c r="E91" s="147">
        <v>223.68827999999999</v>
      </c>
      <c r="F91" s="147">
        <v>190.73178300000001</v>
      </c>
      <c r="G91" s="147">
        <v>192.66073600000001</v>
      </c>
      <c r="H91" s="147">
        <v>191.22599500000001</v>
      </c>
      <c r="I91" s="147">
        <v>258.52646600000003</v>
      </c>
      <c r="J91" s="147">
        <v>260.88770599999998</v>
      </c>
      <c r="K91" s="147">
        <v>135.30891800000001</v>
      </c>
      <c r="L91" s="147">
        <v>141.13588200000001</v>
      </c>
      <c r="M91" s="147">
        <v>185.01504499999999</v>
      </c>
      <c r="N91" s="147">
        <v>159.35356899999999</v>
      </c>
      <c r="O91" s="147">
        <v>260.27204499999999</v>
      </c>
      <c r="P91" s="147">
        <v>187.465463</v>
      </c>
      <c r="Q91" s="147">
        <v>217.47864799999999</v>
      </c>
      <c r="R91" s="147">
        <v>97.688558</v>
      </c>
      <c r="S91"/>
      <c r="T91"/>
      <c r="U91"/>
      <c r="V91"/>
      <c r="W91"/>
      <c r="X91"/>
      <c r="Y91"/>
      <c r="Z91"/>
    </row>
    <row r="92" spans="1:26" ht="15">
      <c r="A92" s="220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0</v>
      </c>
      <c r="H92" s="147">
        <v>0</v>
      </c>
      <c r="I92" s="147">
        <v>0</v>
      </c>
      <c r="J92" s="147">
        <v>2.5841270000000001</v>
      </c>
      <c r="K92" s="147">
        <v>0.57992999999999995</v>
      </c>
      <c r="L92" s="147">
        <v>0.73975400000000002</v>
      </c>
      <c r="M92" s="147">
        <v>0</v>
      </c>
      <c r="N92" s="147">
        <v>0</v>
      </c>
      <c r="O92" s="147">
        <v>0</v>
      </c>
      <c r="P92" s="147">
        <v>0</v>
      </c>
      <c r="Q92" s="147">
        <v>-2.3999999999999998E-3</v>
      </c>
      <c r="R92" s="147">
        <v>0</v>
      </c>
      <c r="S92"/>
      <c r="T92"/>
      <c r="U92"/>
      <c r="V92"/>
      <c r="W92"/>
      <c r="X92"/>
      <c r="Y92"/>
      <c r="Z92"/>
    </row>
    <row r="93" spans="1:26" ht="15">
      <c r="A93" s="220"/>
      <c r="B93" s="144" t="s">
        <v>5</v>
      </c>
      <c r="C93" s="147">
        <v>0.37082599999999999</v>
      </c>
      <c r="D93" s="147">
        <v>0.33927600000000002</v>
      </c>
      <c r="E93" s="147">
        <v>0.53315400000000002</v>
      </c>
      <c r="F93" s="147">
        <v>0.241702</v>
      </c>
      <c r="G93" s="147">
        <v>0.35256199999999999</v>
      </c>
      <c r="H93" s="147">
        <v>0.22043199999999999</v>
      </c>
      <c r="I93" s="147">
        <v>0.22134999999999999</v>
      </c>
      <c r="J93" s="147">
        <v>0.20865500000000001</v>
      </c>
      <c r="K93" s="147">
        <v>0.189775</v>
      </c>
      <c r="L93" s="147">
        <v>0.32789299999999999</v>
      </c>
      <c r="M93" s="147">
        <v>0.34884399999999999</v>
      </c>
      <c r="N93" s="147">
        <v>0.28645399999999999</v>
      </c>
      <c r="O93" s="147">
        <v>0.27796300000000002</v>
      </c>
      <c r="P93" s="147">
        <v>0.15948300000000001</v>
      </c>
      <c r="Q93" s="147">
        <v>0.30611500000000003</v>
      </c>
      <c r="R93" s="147">
        <v>0.13682</v>
      </c>
      <c r="S93"/>
      <c r="T93"/>
      <c r="U93"/>
      <c r="V93"/>
      <c r="W93"/>
      <c r="X93"/>
      <c r="Y93"/>
      <c r="Z93"/>
    </row>
    <row r="94" spans="1:26" ht="15">
      <c r="A94" s="220"/>
      <c r="B94" s="144" t="s">
        <v>4</v>
      </c>
      <c r="C94" s="147">
        <v>5.9343859999999999</v>
      </c>
      <c r="D94" s="147">
        <v>8.7361280000000008</v>
      </c>
      <c r="E94" s="147">
        <v>9.2085500000000007</v>
      </c>
      <c r="F94" s="147">
        <v>10.827855</v>
      </c>
      <c r="G94" s="147">
        <v>12.909148999999999</v>
      </c>
      <c r="H94" s="147">
        <v>12.23429</v>
      </c>
      <c r="I94" s="147">
        <v>12.749435999999999</v>
      </c>
      <c r="J94" s="147">
        <v>12.079094</v>
      </c>
      <c r="K94" s="147">
        <v>10.538423999999999</v>
      </c>
      <c r="L94" s="147">
        <v>9.627974</v>
      </c>
      <c r="M94" s="147">
        <v>6.7521509999999996</v>
      </c>
      <c r="N94" s="147">
        <v>6.7092029999999996</v>
      </c>
      <c r="O94" s="147">
        <v>8.3861550000000005</v>
      </c>
      <c r="P94" s="147">
        <v>9.4941250000000004</v>
      </c>
      <c r="Q94" s="147">
        <v>13.089174</v>
      </c>
      <c r="R94" s="147">
        <v>5.6058000000000003</v>
      </c>
      <c r="S94"/>
      <c r="T94"/>
      <c r="U94"/>
      <c r="V94"/>
      <c r="W94"/>
      <c r="X94"/>
      <c r="Y94"/>
      <c r="Z94"/>
    </row>
    <row r="95" spans="1:26" ht="15">
      <c r="A95" s="220"/>
      <c r="B95" s="144" t="s">
        <v>22</v>
      </c>
      <c r="C95" s="147">
        <v>0.20147399999999999</v>
      </c>
      <c r="D95" s="147">
        <v>8.1622E-2</v>
      </c>
      <c r="E95" s="147">
        <v>2.6786999999999998E-2</v>
      </c>
      <c r="F95" s="147">
        <v>1.5415999999999999E-2</v>
      </c>
      <c r="G95" s="147">
        <v>2.3830000000000001E-3</v>
      </c>
      <c r="H95" s="147">
        <v>5.9750999999999999E-2</v>
      </c>
      <c r="I95" s="147">
        <v>5.2531000000000001E-2</v>
      </c>
      <c r="J95" s="147">
        <v>5.0303E-2</v>
      </c>
      <c r="K95" s="147">
        <v>2.81E-3</v>
      </c>
      <c r="L95" s="147">
        <v>2.7317000000000001E-2</v>
      </c>
      <c r="M95" s="147">
        <v>6.9145999999999999E-2</v>
      </c>
      <c r="N95" s="147">
        <v>3.986E-2</v>
      </c>
      <c r="O95" s="147">
        <v>5.7757000000000003E-2</v>
      </c>
      <c r="P95" s="147">
        <v>7.6887999999999998E-2</v>
      </c>
      <c r="Q95" s="147">
        <v>0.13778699999999999</v>
      </c>
      <c r="R95" s="147">
        <v>1.4E-2</v>
      </c>
      <c r="S95"/>
      <c r="T95"/>
      <c r="U95"/>
      <c r="V95"/>
      <c r="W95"/>
      <c r="X95"/>
      <c r="Y95"/>
      <c r="Z95"/>
    </row>
    <row r="96" spans="1:26" ht="15">
      <c r="A96" s="220"/>
      <c r="B96" s="144" t="s">
        <v>23</v>
      </c>
      <c r="C96" s="147">
        <v>4.0380969999999996</v>
      </c>
      <c r="D96" s="147">
        <v>3.7449910000000002</v>
      </c>
      <c r="E96" s="147">
        <v>3.4759910000000001</v>
      </c>
      <c r="F96" s="147">
        <v>2.759617</v>
      </c>
      <c r="G96" s="147">
        <v>2.681413</v>
      </c>
      <c r="H96" s="147">
        <v>2.5969359999999999</v>
      </c>
      <c r="I96" s="147">
        <v>2.3319320000000001</v>
      </c>
      <c r="J96" s="147">
        <v>1.922374</v>
      </c>
      <c r="K96" s="147">
        <v>2.047806</v>
      </c>
      <c r="L96" s="147">
        <v>2.3333560000000002</v>
      </c>
      <c r="M96" s="147">
        <v>2.521382</v>
      </c>
      <c r="N96" s="147">
        <v>3.3692880000000001</v>
      </c>
      <c r="O96" s="147">
        <v>4.0659429999999999</v>
      </c>
      <c r="P96" s="147">
        <v>3.641699</v>
      </c>
      <c r="Q96" s="147">
        <v>3.9954990000000001</v>
      </c>
      <c r="R96" s="147">
        <v>1.2016</v>
      </c>
      <c r="S96"/>
      <c r="T96"/>
      <c r="U96"/>
      <c r="V96"/>
      <c r="W96"/>
      <c r="X96"/>
      <c r="Y96"/>
      <c r="Z96"/>
    </row>
    <row r="97" spans="1:26" ht="15">
      <c r="A97" s="220"/>
      <c r="B97" s="144" t="s">
        <v>54</v>
      </c>
      <c r="C97" s="147">
        <v>9.2619229999999995</v>
      </c>
      <c r="D97" s="147">
        <v>6.0955329999999996</v>
      </c>
      <c r="E97" s="147">
        <v>10.531687</v>
      </c>
      <c r="F97" s="147">
        <v>4.8152900000000001</v>
      </c>
      <c r="G97" s="147">
        <v>5.3655939999999998</v>
      </c>
      <c r="H97" s="147">
        <v>14.316091999999999</v>
      </c>
      <c r="I97" s="147">
        <v>10.772016499999999</v>
      </c>
      <c r="J97" s="147">
        <v>10.810641499999999</v>
      </c>
      <c r="K97" s="147">
        <v>14.376298</v>
      </c>
      <c r="L97" s="147">
        <v>6.2387214999999996</v>
      </c>
      <c r="M97" s="147">
        <v>12.812825</v>
      </c>
      <c r="N97" s="147">
        <v>8.6052265000000006</v>
      </c>
      <c r="O97" s="147">
        <v>7.1515275000000003</v>
      </c>
      <c r="P97" s="147">
        <v>10.723705000000001</v>
      </c>
      <c r="Q97" s="147">
        <v>10.093087499999999</v>
      </c>
      <c r="R97" s="147">
        <v>3.7216999999999998</v>
      </c>
      <c r="S97"/>
      <c r="T97"/>
      <c r="U97"/>
      <c r="V97"/>
      <c r="W97"/>
      <c r="X97"/>
      <c r="Y97"/>
      <c r="Z97"/>
    </row>
    <row r="98" spans="1:26" ht="15">
      <c r="A98" s="220"/>
      <c r="B98" s="144" t="s">
        <v>55</v>
      </c>
      <c r="C98" s="147">
        <v>9.2619229999999995</v>
      </c>
      <c r="D98" s="147">
        <v>6.0955329999999996</v>
      </c>
      <c r="E98" s="147">
        <v>10.531687</v>
      </c>
      <c r="F98" s="147">
        <v>4.8152900000000001</v>
      </c>
      <c r="G98" s="147">
        <v>5.3655939999999998</v>
      </c>
      <c r="H98" s="147">
        <v>14.316091999999999</v>
      </c>
      <c r="I98" s="147">
        <v>10.772016499999999</v>
      </c>
      <c r="J98" s="147">
        <v>10.810641499999999</v>
      </c>
      <c r="K98" s="147">
        <v>14.376298</v>
      </c>
      <c r="L98" s="147">
        <v>6.2387214999999996</v>
      </c>
      <c r="M98" s="147">
        <v>12.812825</v>
      </c>
      <c r="N98" s="147">
        <v>8.6052265000000006</v>
      </c>
      <c r="O98" s="147">
        <v>7.1515275000000003</v>
      </c>
      <c r="P98" s="147">
        <v>10.723705000000001</v>
      </c>
      <c r="Q98" s="147">
        <v>10.093087499999999</v>
      </c>
      <c r="R98" s="147">
        <v>3.7216999999999998</v>
      </c>
      <c r="S98"/>
      <c r="T98"/>
      <c r="U98"/>
      <c r="V98"/>
      <c r="W98"/>
      <c r="X98"/>
      <c r="Y98"/>
      <c r="Z98"/>
    </row>
    <row r="99" spans="1:26" ht="15">
      <c r="A99" s="220"/>
      <c r="B99" s="149" t="s">
        <v>2</v>
      </c>
      <c r="C99" s="150">
        <v>320.30814900000001</v>
      </c>
      <c r="D99" s="150">
        <v>287.50736000000001</v>
      </c>
      <c r="E99" s="150">
        <v>291.052369</v>
      </c>
      <c r="F99" s="150">
        <v>241.130707</v>
      </c>
      <c r="G99" s="150">
        <v>247.22855000000001</v>
      </c>
      <c r="H99" s="150">
        <v>267.56127700000002</v>
      </c>
      <c r="I99" s="150">
        <v>360.58173399999998</v>
      </c>
      <c r="J99" s="150">
        <v>383.60213199999998</v>
      </c>
      <c r="K99" s="150">
        <v>287.18267500000002</v>
      </c>
      <c r="L99" s="150">
        <v>262.022019</v>
      </c>
      <c r="M99" s="150">
        <v>268.105144</v>
      </c>
      <c r="N99" s="150">
        <v>298.69348100000002</v>
      </c>
      <c r="O99" s="150">
        <v>332.46966300000003</v>
      </c>
      <c r="P99" s="150">
        <v>248.28499600000001</v>
      </c>
      <c r="Q99" s="150">
        <v>281.91183899999999</v>
      </c>
      <c r="R99" s="150">
        <v>122.42576200000001</v>
      </c>
      <c r="S99"/>
      <c r="T99"/>
      <c r="U99"/>
      <c r="V99"/>
      <c r="W99"/>
      <c r="X99"/>
      <c r="Y99"/>
      <c r="Z99"/>
    </row>
    <row r="100" spans="1:26" ht="15">
      <c r="A100" s="220"/>
      <c r="B100" s="144" t="s">
        <v>21</v>
      </c>
      <c r="C100" s="147">
        <v>136.155901</v>
      </c>
      <c r="D100" s="147">
        <v>115.92849699999999</v>
      </c>
      <c r="E100" s="147">
        <v>112.780382</v>
      </c>
      <c r="F100" s="147">
        <v>80.581305999999998</v>
      </c>
      <c r="G100" s="147">
        <v>79.946523999999997</v>
      </c>
      <c r="H100" s="147">
        <v>93.289579000000003</v>
      </c>
      <c r="I100" s="147">
        <v>168.331695</v>
      </c>
      <c r="J100" s="147">
        <v>182.71595500000001</v>
      </c>
      <c r="K100" s="147">
        <v>116.274961</v>
      </c>
      <c r="L100" s="147">
        <v>105.943506</v>
      </c>
      <c r="M100" s="147">
        <v>96.327618999999999</v>
      </c>
      <c r="N100" s="147">
        <v>138.26159999999999</v>
      </c>
      <c r="O100" s="147">
        <v>138.25041200000001</v>
      </c>
      <c r="P100" s="147">
        <v>113.412009</v>
      </c>
      <c r="Q100" s="147">
        <v>127.985573</v>
      </c>
      <c r="R100" s="147">
        <v>52.360100000000003</v>
      </c>
      <c r="S100"/>
      <c r="T100"/>
      <c r="U100"/>
      <c r="V100"/>
      <c r="W100"/>
      <c r="X100"/>
      <c r="Y100"/>
      <c r="Z100"/>
    </row>
    <row r="101" spans="1:26" ht="15">
      <c r="A101" s="221"/>
      <c r="B101" s="149" t="s">
        <v>79</v>
      </c>
      <c r="C101" s="150">
        <v>456.46404999999999</v>
      </c>
      <c r="D101" s="150">
        <v>403.435857</v>
      </c>
      <c r="E101" s="150">
        <v>403.83275099999997</v>
      </c>
      <c r="F101" s="150">
        <v>321.71201300000001</v>
      </c>
      <c r="G101" s="150">
        <v>327.175074</v>
      </c>
      <c r="H101" s="150">
        <v>360.85085600000002</v>
      </c>
      <c r="I101" s="150">
        <v>528.91342899999995</v>
      </c>
      <c r="J101" s="150">
        <v>566.31808699999999</v>
      </c>
      <c r="K101" s="150">
        <v>403.45763599999998</v>
      </c>
      <c r="L101" s="150">
        <v>367.96552500000001</v>
      </c>
      <c r="M101" s="150">
        <v>364.43276300000002</v>
      </c>
      <c r="N101" s="150">
        <v>436.95508100000001</v>
      </c>
      <c r="O101" s="150">
        <v>470.72007500000001</v>
      </c>
      <c r="P101" s="150">
        <v>361.69700499999999</v>
      </c>
      <c r="Q101" s="150">
        <v>409.89741199999997</v>
      </c>
      <c r="R101" s="150">
        <v>174.78586200000001</v>
      </c>
      <c r="S101"/>
      <c r="T101"/>
      <c r="U101"/>
      <c r="V101"/>
      <c r="W101"/>
      <c r="X101"/>
      <c r="Y101"/>
      <c r="Z101"/>
    </row>
    <row r="102" spans="1:26" ht="15">
      <c r="A102" s="219" t="s">
        <v>58</v>
      </c>
      <c r="B102" s="144" t="s">
        <v>12</v>
      </c>
      <c r="C102" s="147">
        <v>0.30431399999999997</v>
      </c>
      <c r="D102" s="147">
        <v>0.26768999999999998</v>
      </c>
      <c r="E102" s="147">
        <v>0.29931200000000002</v>
      </c>
      <c r="F102" s="147">
        <v>0.288387</v>
      </c>
      <c r="G102" s="147">
        <v>0.28846300000000002</v>
      </c>
      <c r="H102" s="147">
        <v>0.27233299999999999</v>
      </c>
      <c r="I102" s="147">
        <v>0.29030099999999998</v>
      </c>
      <c r="J102" s="147">
        <v>0.29413899999999998</v>
      </c>
      <c r="K102" s="147">
        <v>0.29165099999999999</v>
      </c>
      <c r="L102" s="147">
        <v>0.299369</v>
      </c>
      <c r="M102" s="147">
        <v>0.28527599999999997</v>
      </c>
      <c r="N102" s="147">
        <v>0.29958099999999999</v>
      </c>
      <c r="O102" s="147">
        <v>0.29762100000000002</v>
      </c>
      <c r="P102" s="147">
        <v>0.25852999999999998</v>
      </c>
      <c r="Q102" s="147">
        <v>0.28226499999999999</v>
      </c>
      <c r="R102" s="147">
        <v>0</v>
      </c>
      <c r="S102"/>
      <c r="T102"/>
      <c r="U102"/>
      <c r="V102"/>
      <c r="W102"/>
      <c r="X102"/>
      <c r="Y102"/>
      <c r="Z102"/>
    </row>
    <row r="103" spans="1:26" ht="15">
      <c r="A103" s="220"/>
      <c r="B103" s="144" t="s">
        <v>78</v>
      </c>
      <c r="C103" s="147">
        <v>175.82359</v>
      </c>
      <c r="D103" s="147">
        <v>160.69778299999999</v>
      </c>
      <c r="E103" s="147">
        <v>133.86502100000001</v>
      </c>
      <c r="F103" s="147">
        <v>118.219841</v>
      </c>
      <c r="G103" s="147">
        <v>127.46634299999999</v>
      </c>
      <c r="H103" s="147">
        <v>122.84934</v>
      </c>
      <c r="I103" s="147">
        <v>140.50550799999999</v>
      </c>
      <c r="J103" s="147">
        <v>152.65874500000001</v>
      </c>
      <c r="K103" s="147">
        <v>151.15563499999999</v>
      </c>
      <c r="L103" s="147">
        <v>140.27562900000001</v>
      </c>
      <c r="M103" s="147">
        <v>147.43617</v>
      </c>
      <c r="N103" s="147">
        <v>146.45553799999999</v>
      </c>
      <c r="O103" s="147">
        <v>141.05104299999999</v>
      </c>
      <c r="P103" s="147">
        <v>112.359525</v>
      </c>
      <c r="Q103" s="147">
        <v>128.50312700000001</v>
      </c>
      <c r="R103" s="147">
        <v>66.095178000000004</v>
      </c>
      <c r="S103"/>
      <c r="T103"/>
      <c r="U103"/>
      <c r="V103"/>
      <c r="W103"/>
      <c r="X103"/>
      <c r="Y103"/>
      <c r="Z103"/>
    </row>
    <row r="104" spans="1:26" ht="15">
      <c r="A104" s="220"/>
      <c r="B104" s="144" t="s">
        <v>9</v>
      </c>
      <c r="C104" s="147">
        <v>17.105090000000001</v>
      </c>
      <c r="D104" s="147">
        <v>21.870190999999998</v>
      </c>
      <c r="E104" s="147">
        <v>12.226845000000001</v>
      </c>
      <c r="F104" s="147">
        <v>5.7932370000000004</v>
      </c>
      <c r="G104" s="147">
        <v>9.4236719999999998</v>
      </c>
      <c r="H104" s="147">
        <v>8.6874149999999997</v>
      </c>
      <c r="I104" s="147">
        <v>15.04932</v>
      </c>
      <c r="J104" s="147">
        <v>17.289342999999999</v>
      </c>
      <c r="K104" s="147">
        <v>21.610752000000002</v>
      </c>
      <c r="L104" s="147">
        <v>32.544134999999997</v>
      </c>
      <c r="M104" s="147">
        <v>18.073917999999999</v>
      </c>
      <c r="N104" s="147">
        <v>16.086774999999999</v>
      </c>
      <c r="O104" s="147">
        <v>10.157844000000001</v>
      </c>
      <c r="P104" s="147">
        <v>10.355027</v>
      </c>
      <c r="Q104" s="147">
        <v>14.760713000000001</v>
      </c>
      <c r="R104" s="147">
        <v>5.3250929999999999</v>
      </c>
      <c r="S104"/>
      <c r="T104"/>
      <c r="U104"/>
      <c r="V104"/>
      <c r="W104"/>
      <c r="X104"/>
      <c r="Y104"/>
      <c r="Z104"/>
    </row>
    <row r="105" spans="1:26" ht="15">
      <c r="A105" s="220"/>
      <c r="B105" s="144" t="s">
        <v>8</v>
      </c>
      <c r="C105" s="147">
        <v>146.91851800000001</v>
      </c>
      <c r="D105" s="147">
        <v>128.34914699999999</v>
      </c>
      <c r="E105" s="147">
        <v>114.048723</v>
      </c>
      <c r="F105" s="147">
        <v>98.923323999999994</v>
      </c>
      <c r="G105" s="147">
        <v>116.06845300000001</v>
      </c>
      <c r="H105" s="147">
        <v>83.295309000000003</v>
      </c>
      <c r="I105" s="147">
        <v>114.33213000000001</v>
      </c>
      <c r="J105" s="147">
        <v>127.712586</v>
      </c>
      <c r="K105" s="147">
        <v>98.396693999999997</v>
      </c>
      <c r="L105" s="147">
        <v>128.21449999999999</v>
      </c>
      <c r="M105" s="147">
        <v>121.615077</v>
      </c>
      <c r="N105" s="147">
        <v>109.732229</v>
      </c>
      <c r="O105" s="147">
        <v>116.282053</v>
      </c>
      <c r="P105" s="147">
        <v>104.960847</v>
      </c>
      <c r="Q105" s="147">
        <v>100.758259</v>
      </c>
      <c r="R105" s="147">
        <v>37.260195000000003</v>
      </c>
      <c r="S105"/>
      <c r="T105"/>
      <c r="U105"/>
      <c r="V105"/>
      <c r="W105"/>
      <c r="X105"/>
      <c r="Y105"/>
      <c r="Z105"/>
    </row>
    <row r="106" spans="1:26" ht="15">
      <c r="A106" s="220"/>
      <c r="B106" s="144" t="s">
        <v>25</v>
      </c>
      <c r="C106" s="147">
        <v>336.41169600000001</v>
      </c>
      <c r="D106" s="147">
        <v>279.07848200000001</v>
      </c>
      <c r="E106" s="147">
        <v>300.75480199999998</v>
      </c>
      <c r="F106" s="147">
        <v>246.048203</v>
      </c>
      <c r="G106" s="147">
        <v>229.928777</v>
      </c>
      <c r="H106" s="147">
        <v>258.95318400000002</v>
      </c>
      <c r="I106" s="147">
        <v>229.38776100000001</v>
      </c>
      <c r="J106" s="147">
        <v>217.204814</v>
      </c>
      <c r="K106" s="147">
        <v>297.07835399999999</v>
      </c>
      <c r="L106" s="147">
        <v>252.83072899999999</v>
      </c>
      <c r="M106" s="147">
        <v>292.22053799999998</v>
      </c>
      <c r="N106" s="147">
        <v>314.37255499999998</v>
      </c>
      <c r="O106" s="147">
        <v>280.66014899999999</v>
      </c>
      <c r="P106" s="147">
        <v>269.76136200000002</v>
      </c>
      <c r="Q106" s="147">
        <v>284.19602200000003</v>
      </c>
      <c r="R106" s="147">
        <v>149.780023</v>
      </c>
      <c r="S106"/>
      <c r="T106"/>
      <c r="U106"/>
      <c r="V106"/>
      <c r="W106"/>
      <c r="X106"/>
      <c r="Y106"/>
      <c r="Z106"/>
    </row>
    <row r="107" spans="1:26" ht="15">
      <c r="A107" s="220"/>
      <c r="B107" s="144" t="s">
        <v>6</v>
      </c>
      <c r="C107" s="147">
        <v>0.82455000000000001</v>
      </c>
      <c r="D107" s="147">
        <v>1.3385149999999999</v>
      </c>
      <c r="E107" s="147">
        <v>1.8236140000000001</v>
      </c>
      <c r="F107" s="147">
        <v>0.99112500000000003</v>
      </c>
      <c r="G107" s="147">
        <v>1.4427080000000001</v>
      </c>
      <c r="H107" s="147">
        <v>0.74262799999999995</v>
      </c>
      <c r="I107" s="147">
        <v>3.6524220000000001</v>
      </c>
      <c r="J107" s="147">
        <v>3.5757409999999998</v>
      </c>
      <c r="K107" s="147">
        <v>1.9118980000000001</v>
      </c>
      <c r="L107" s="147">
        <v>1.456723</v>
      </c>
      <c r="M107" s="147">
        <v>0.821801</v>
      </c>
      <c r="N107" s="147">
        <v>0.95850199999999997</v>
      </c>
      <c r="O107" s="147">
        <v>0.99317</v>
      </c>
      <c r="P107" s="147">
        <v>1.226483</v>
      </c>
      <c r="Q107" s="147">
        <v>1.921443</v>
      </c>
      <c r="R107" s="147">
        <v>0.173982</v>
      </c>
      <c r="S107"/>
      <c r="T107"/>
      <c r="U107"/>
      <c r="V107"/>
      <c r="W107"/>
      <c r="X107"/>
      <c r="Y107"/>
      <c r="Z107"/>
    </row>
    <row r="108" spans="1:26" ht="15">
      <c r="A108" s="220"/>
      <c r="B108" s="144" t="s">
        <v>5</v>
      </c>
      <c r="C108" s="147">
        <v>60.189520999999999</v>
      </c>
      <c r="D108" s="147">
        <v>93.155251000000007</v>
      </c>
      <c r="E108" s="147">
        <v>97.166353000000001</v>
      </c>
      <c r="F108" s="147">
        <v>54.728521000000001</v>
      </c>
      <c r="G108" s="147">
        <v>69.749658999999994</v>
      </c>
      <c r="H108" s="147">
        <v>103.362193</v>
      </c>
      <c r="I108" s="147">
        <v>148.255436</v>
      </c>
      <c r="J108" s="147">
        <v>166.40398400000001</v>
      </c>
      <c r="K108" s="147">
        <v>92.772315000000006</v>
      </c>
      <c r="L108" s="147">
        <v>98.400535000000005</v>
      </c>
      <c r="M108" s="147">
        <v>54.804782000000003</v>
      </c>
      <c r="N108" s="147">
        <v>61.442059999999998</v>
      </c>
      <c r="O108" s="147">
        <v>81.105193</v>
      </c>
      <c r="P108" s="147">
        <v>58.505417000000001</v>
      </c>
      <c r="Q108" s="147">
        <v>83.922410999999997</v>
      </c>
      <c r="R108" s="147">
        <v>18.935386999999999</v>
      </c>
      <c r="S108"/>
      <c r="T108"/>
      <c r="U108"/>
      <c r="V108"/>
      <c r="W108"/>
      <c r="X108"/>
      <c r="Y108"/>
      <c r="Z108"/>
    </row>
    <row r="109" spans="1:26" ht="15">
      <c r="A109" s="220"/>
      <c r="B109" s="144" t="s">
        <v>4</v>
      </c>
      <c r="C109" s="147">
        <v>18.499904999999998</v>
      </c>
      <c r="D109" s="147">
        <v>20.258367</v>
      </c>
      <c r="E109" s="147">
        <v>21.187944000000002</v>
      </c>
      <c r="F109" s="147">
        <v>22.649498000000001</v>
      </c>
      <c r="G109" s="147">
        <v>26.043626</v>
      </c>
      <c r="H109" s="147">
        <v>23.750204</v>
      </c>
      <c r="I109" s="147">
        <v>27.014696000000001</v>
      </c>
      <c r="J109" s="147">
        <v>26.667397999999999</v>
      </c>
      <c r="K109" s="147">
        <v>20.951909000000001</v>
      </c>
      <c r="L109" s="147">
        <v>19.852456</v>
      </c>
      <c r="M109" s="147">
        <v>15.933180999999999</v>
      </c>
      <c r="N109" s="147">
        <v>15.284926</v>
      </c>
      <c r="O109" s="147">
        <v>16.287994999999999</v>
      </c>
      <c r="P109" s="147">
        <v>17.690635</v>
      </c>
      <c r="Q109" s="147">
        <v>24.172991</v>
      </c>
      <c r="R109" s="147">
        <v>10.728586999999999</v>
      </c>
      <c r="S109"/>
      <c r="T109"/>
      <c r="U109"/>
      <c r="V109"/>
      <c r="W109"/>
      <c r="X109"/>
      <c r="Y109"/>
      <c r="Z109"/>
    </row>
    <row r="110" spans="1:26" ht="15">
      <c r="A110" s="220"/>
      <c r="B110" s="144" t="s">
        <v>22</v>
      </c>
      <c r="C110" s="147">
        <v>0.87627999999999995</v>
      </c>
      <c r="D110" s="147">
        <v>0.84570599999999996</v>
      </c>
      <c r="E110" s="147">
        <v>0.82168300000000005</v>
      </c>
      <c r="F110" s="147">
        <v>0.83979599999999999</v>
      </c>
      <c r="G110" s="147">
        <v>0.70590200000000003</v>
      </c>
      <c r="H110" s="147">
        <v>0.78505800000000003</v>
      </c>
      <c r="I110" s="147">
        <v>0.69386000000000003</v>
      </c>
      <c r="J110" s="147">
        <v>0.69097799999999998</v>
      </c>
      <c r="K110" s="147">
        <v>0.64958000000000005</v>
      </c>
      <c r="L110" s="147">
        <v>0.78250799999999998</v>
      </c>
      <c r="M110" s="147">
        <v>0.74310299999999996</v>
      </c>
      <c r="N110" s="147">
        <v>0.75252699999999995</v>
      </c>
      <c r="O110" s="147">
        <v>0.35872300000000001</v>
      </c>
      <c r="P110" s="147">
        <v>0.69978200000000002</v>
      </c>
      <c r="Q110" s="147">
        <v>0.79178499999999996</v>
      </c>
      <c r="R110" s="147">
        <v>0</v>
      </c>
      <c r="S110"/>
      <c r="T110"/>
      <c r="U110"/>
      <c r="V110"/>
      <c r="W110"/>
      <c r="X110"/>
      <c r="Y110"/>
      <c r="Z110"/>
    </row>
    <row r="111" spans="1:26" ht="15">
      <c r="A111" s="220"/>
      <c r="B111" s="149" t="s">
        <v>2</v>
      </c>
      <c r="C111" s="150">
        <v>756.95346400000005</v>
      </c>
      <c r="D111" s="150">
        <v>705.861132</v>
      </c>
      <c r="E111" s="150">
        <v>682.19429700000001</v>
      </c>
      <c r="F111" s="150">
        <v>548.48193200000003</v>
      </c>
      <c r="G111" s="150">
        <v>581.11760300000003</v>
      </c>
      <c r="H111" s="150">
        <v>602.69766400000003</v>
      </c>
      <c r="I111" s="150">
        <v>679.18143399999997</v>
      </c>
      <c r="J111" s="150">
        <v>712.49772800000005</v>
      </c>
      <c r="K111" s="150">
        <v>684.81878800000004</v>
      </c>
      <c r="L111" s="150">
        <v>674.65658399999995</v>
      </c>
      <c r="M111" s="150">
        <v>651.93384600000002</v>
      </c>
      <c r="N111" s="150">
        <v>665.38469299999997</v>
      </c>
      <c r="O111" s="150">
        <v>647.19379100000003</v>
      </c>
      <c r="P111" s="150">
        <v>575.81760799999995</v>
      </c>
      <c r="Q111" s="150">
        <v>639.30901600000004</v>
      </c>
      <c r="R111" s="150">
        <v>288.29844500000002</v>
      </c>
      <c r="S111"/>
      <c r="T111"/>
      <c r="U111"/>
      <c r="V111"/>
      <c r="W111"/>
      <c r="X111"/>
      <c r="Y111"/>
      <c r="Z111"/>
    </row>
    <row r="112" spans="1:26" ht="15">
      <c r="A112" s="221"/>
      <c r="B112" s="149" t="s">
        <v>79</v>
      </c>
      <c r="C112" s="150">
        <v>756.95346400000005</v>
      </c>
      <c r="D112" s="150">
        <v>705.861132</v>
      </c>
      <c r="E112" s="150">
        <v>682.19429700000001</v>
      </c>
      <c r="F112" s="150">
        <v>548.48193200000003</v>
      </c>
      <c r="G112" s="150">
        <v>581.11760300000003</v>
      </c>
      <c r="H112" s="150">
        <v>602.69766400000003</v>
      </c>
      <c r="I112" s="150">
        <v>679.18143399999997</v>
      </c>
      <c r="J112" s="150">
        <v>712.49772800000005</v>
      </c>
      <c r="K112" s="150">
        <v>684.81878800000004</v>
      </c>
      <c r="L112" s="150">
        <v>674.65658399999995</v>
      </c>
      <c r="M112" s="150">
        <v>651.93384600000002</v>
      </c>
      <c r="N112" s="150">
        <v>665.38469299999997</v>
      </c>
      <c r="O112" s="150">
        <v>647.19379100000003</v>
      </c>
      <c r="P112" s="150">
        <v>575.81760799999995</v>
      </c>
      <c r="Q112" s="150">
        <v>639.30901600000004</v>
      </c>
      <c r="R112" s="150">
        <v>288.29844500000002</v>
      </c>
      <c r="S112"/>
      <c r="T112"/>
      <c r="U112"/>
      <c r="V112"/>
      <c r="W112"/>
      <c r="X112"/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7" t="s">
        <v>73</v>
      </c>
      <c r="C117" s="120" t="str">
        <f>TEXT(EDATE(D117,-1),"mmmm aaaa")</f>
        <v>marzo 2020</v>
      </c>
      <c r="D117" s="120" t="str">
        <f t="shared" ref="D117:M117" si="6">TEXT(EDATE(E117,-1),"mmmm aaaa")</f>
        <v>abril 2020</v>
      </c>
      <c r="E117" s="120" t="str">
        <f t="shared" si="6"/>
        <v>mayo 2020</v>
      </c>
      <c r="F117" s="120" t="str">
        <f t="shared" si="6"/>
        <v>junio 2020</v>
      </c>
      <c r="G117" s="120" t="str">
        <f t="shared" si="6"/>
        <v>julio 2020</v>
      </c>
      <c r="H117" s="120" t="str">
        <f t="shared" si="6"/>
        <v>agosto 2020</v>
      </c>
      <c r="I117" s="120" t="str">
        <f t="shared" si="6"/>
        <v>septiembre 2020</v>
      </c>
      <c r="J117" s="120" t="str">
        <f t="shared" si="6"/>
        <v>octubre 2020</v>
      </c>
      <c r="K117" s="120" t="str">
        <f t="shared" si="6"/>
        <v>noviembre 2020</v>
      </c>
      <c r="L117" s="120" t="str">
        <f t="shared" si="6"/>
        <v>diciembre 2020</v>
      </c>
      <c r="M117" s="120" t="str">
        <f t="shared" si="6"/>
        <v>enero 2021</v>
      </c>
      <c r="N117" s="120" t="str">
        <f>TEXT(EDATE(O117,-1),"mmmm aaaa")</f>
        <v>febrero 2021</v>
      </c>
      <c r="O117" s="121" t="str">
        <f>A2</f>
        <v>Marzo 2021</v>
      </c>
    </row>
    <row r="118" spans="1:19">
      <c r="B118" s="218"/>
      <c r="C118" s="131" t="str">
        <f>TEXT(EDATE($A$2,-12),"mmm")&amp;".-"&amp;TEXT(EDATE($A$2,-12),"aa")</f>
        <v>mar.-20</v>
      </c>
      <c r="D118" s="131" t="str">
        <f>TEXT(EDATE($A$2,-11),"mmm")&amp;".-"&amp;TEXT(EDATE($A$2,-11),"aa")</f>
        <v>abr.-20</v>
      </c>
      <c r="E118" s="131" t="str">
        <f>TEXT(EDATE($A$2,-10),"mmm")&amp;".-"&amp;TEXT(EDATE($A$2,-10),"aa")</f>
        <v>may.-20</v>
      </c>
      <c r="F118" s="131" t="str">
        <f>TEXT(EDATE($A$2,-9),"mmm")&amp;".-"&amp;TEXT(EDATE($A$2,-9),"aa")</f>
        <v>jun.-20</v>
      </c>
      <c r="G118" s="131" t="str">
        <f>TEXT(EDATE($A$2,-8),"mmm")&amp;".-"&amp;TEXT(EDATE($A$2,-8),"aa")</f>
        <v>jul.-20</v>
      </c>
      <c r="H118" s="131" t="str">
        <f>TEXT(EDATE($A$2,-7),"mmm")&amp;".-"&amp;TEXT(EDATE($A$2,-7),"aa")</f>
        <v>ago.-20</v>
      </c>
      <c r="I118" s="131" t="str">
        <f>TEXT(EDATE($A$2,-6),"mmm")&amp;".-"&amp;TEXT(EDATE($A$2,-6),"aa")</f>
        <v>sep.-20</v>
      </c>
      <c r="J118" s="131" t="str">
        <f>TEXT(EDATE($A$2,-5),"mmm")&amp;".-"&amp;TEXT(EDATE($A$2,-5),"aa")</f>
        <v>oct.-20</v>
      </c>
      <c r="K118" s="131" t="str">
        <f>TEXT(EDATE($A$2,-4),"mmm")&amp;".-"&amp;TEXT(EDATE($A$2,-4),"aa")</f>
        <v>nov.-20</v>
      </c>
      <c r="L118" s="131" t="str">
        <f>TEXT(EDATE($A$2,-3),"mmm")&amp;".-"&amp;TEXT(EDATE($A$2,-3),"aa")</f>
        <v>dic.-20</v>
      </c>
      <c r="M118" s="131" t="str">
        <f>TEXT(EDATE($A$2,-2),"mmm")&amp;".-"&amp;TEXT(EDATE($A$2,-2),"aa")</f>
        <v>ene.-21</v>
      </c>
      <c r="N118" s="131" t="str">
        <f>TEXT(EDATE($A$2,-1),"mmm")&amp;".-"&amp;TEXT(EDATE($A$2,-1),"aa")</f>
        <v>feb.-21</v>
      </c>
      <c r="O118" s="160" t="str">
        <f>TEXT($A$2,"mmm")&amp;".-"&amp;TEXT($A$2,"aa")</f>
        <v>mar.-21</v>
      </c>
    </row>
    <row r="119" spans="1:19">
      <c r="A119" s="214" t="s">
        <v>76</v>
      </c>
      <c r="B119" s="132" t="s">
        <v>11</v>
      </c>
      <c r="C119" s="133">
        <f>HLOOKUP(C$117,$86:$101,3,FALSE)</f>
        <v>-1.701627</v>
      </c>
      <c r="D119" s="133">
        <f t="shared" ref="D119:N119" si="7">HLOOKUP(D$117,$86:$101,3,FALSE)</f>
        <v>-1.684542</v>
      </c>
      <c r="E119" s="133">
        <f t="shared" si="7"/>
        <v>-1.8020959999999999</v>
      </c>
      <c r="F119" s="133">
        <f t="shared" si="7"/>
        <v>-1.2808299999999999</v>
      </c>
      <c r="G119" s="133">
        <f t="shared" si="7"/>
        <v>-1.119569</v>
      </c>
      <c r="H119" s="133">
        <f t="shared" si="7"/>
        <v>-1.1268309999999999</v>
      </c>
      <c r="I119" s="133">
        <f t="shared" si="7"/>
        <v>68.615076999999999</v>
      </c>
      <c r="J119" s="133">
        <f t="shared" si="7"/>
        <v>69.531803999999994</v>
      </c>
      <c r="K119" s="133">
        <f t="shared" si="7"/>
        <v>18.689830000000001</v>
      </c>
      <c r="L119" s="133">
        <f t="shared" si="7"/>
        <v>78.075038000000006</v>
      </c>
      <c r="M119" s="133">
        <f t="shared" si="7"/>
        <v>-0.63269200000000003</v>
      </c>
      <c r="N119" s="133">
        <f t="shared" si="7"/>
        <v>-0.606159</v>
      </c>
      <c r="O119" s="134">
        <f>HLOOKUP(O$117,$86:$101,3,FALSE)</f>
        <v>-0.651559</v>
      </c>
    </row>
    <row r="120" spans="1:19">
      <c r="A120" s="215"/>
      <c r="B120" s="122" t="s">
        <v>10</v>
      </c>
      <c r="C120" s="116">
        <f>HLOOKUP(C$117,$86:$101,4,FALSE)</f>
        <v>15.845757000000001</v>
      </c>
      <c r="D120" s="116">
        <f t="shared" ref="D120:O120" si="8">HLOOKUP(D$117,$86:$101,4,FALSE)</f>
        <v>18.686546</v>
      </c>
      <c r="E120" s="116">
        <f t="shared" si="8"/>
        <v>20.180289999999999</v>
      </c>
      <c r="F120" s="116">
        <f t="shared" si="8"/>
        <v>17.902134</v>
      </c>
      <c r="G120" s="116">
        <f t="shared" si="8"/>
        <v>32.575167</v>
      </c>
      <c r="H120" s="116">
        <f t="shared" si="8"/>
        <v>48.229475999999998</v>
      </c>
      <c r="I120" s="116">
        <f t="shared" si="8"/>
        <v>25.914612999999999</v>
      </c>
      <c r="J120" s="116">
        <f t="shared" si="8"/>
        <v>16.883790999999999</v>
      </c>
      <c r="K120" s="116">
        <f t="shared" si="8"/>
        <v>18.608250999999999</v>
      </c>
      <c r="L120" s="116">
        <f t="shared" si="8"/>
        <v>22.109065000000001</v>
      </c>
      <c r="M120" s="116">
        <f t="shared" si="8"/>
        <v>27.196950000000001</v>
      </c>
      <c r="N120" s="116">
        <f t="shared" si="8"/>
        <v>18.940327</v>
      </c>
      <c r="O120" s="134">
        <f t="shared" si="8"/>
        <v>14.240815</v>
      </c>
    </row>
    <row r="121" spans="1:19">
      <c r="A121" s="215"/>
      <c r="B121" s="122" t="s">
        <v>9</v>
      </c>
      <c r="C121" s="116">
        <f>HLOOKUP(C$117,$86:$101,5,FALSE)</f>
        <v>18.912102999999998</v>
      </c>
      <c r="D121" s="116">
        <f t="shared" ref="D121:O121" si="9">HLOOKUP(D$117,$86:$101,5,FALSE)</f>
        <v>9.9217499999999994</v>
      </c>
      <c r="E121" s="116">
        <f t="shared" si="9"/>
        <v>9.5129249999999992</v>
      </c>
      <c r="F121" s="116">
        <f t="shared" si="9"/>
        <v>15.970385</v>
      </c>
      <c r="G121" s="116">
        <f t="shared" si="9"/>
        <v>33.700387999999997</v>
      </c>
      <c r="H121" s="116">
        <f t="shared" si="9"/>
        <v>37.145944999999998</v>
      </c>
      <c r="I121" s="116">
        <f t="shared" si="9"/>
        <v>15.232726</v>
      </c>
      <c r="J121" s="116">
        <f t="shared" si="9"/>
        <v>8.9368049999999997</v>
      </c>
      <c r="K121" s="116">
        <f t="shared" si="9"/>
        <v>10.474845</v>
      </c>
      <c r="L121" s="116">
        <f t="shared" si="9"/>
        <v>11.540551000000001</v>
      </c>
      <c r="M121" s="116">
        <f t="shared" si="9"/>
        <v>18.542487000000001</v>
      </c>
      <c r="N121" s="116">
        <f t="shared" si="9"/>
        <v>7.6657599999999997</v>
      </c>
      <c r="O121" s="134">
        <f t="shared" si="9"/>
        <v>13.131584999999999</v>
      </c>
    </row>
    <row r="122" spans="1:19" ht="14.25">
      <c r="A122" s="215"/>
      <c r="B122" s="122" t="s">
        <v>74</v>
      </c>
      <c r="C122" s="116">
        <f>HLOOKUP(C$117,$86:$101,6,FALSE)</f>
        <v>223.68827999999999</v>
      </c>
      <c r="D122" s="116">
        <f t="shared" ref="D122:O122" si="10">HLOOKUP(D$117,$86:$101,6,FALSE)</f>
        <v>190.73178300000001</v>
      </c>
      <c r="E122" s="116">
        <f t="shared" si="10"/>
        <v>192.66073600000001</v>
      </c>
      <c r="F122" s="116">
        <f t="shared" si="10"/>
        <v>191.22599500000001</v>
      </c>
      <c r="G122" s="116">
        <f t="shared" si="10"/>
        <v>258.52646600000003</v>
      </c>
      <c r="H122" s="116">
        <f t="shared" si="10"/>
        <v>260.88770599999998</v>
      </c>
      <c r="I122" s="116">
        <f t="shared" si="10"/>
        <v>135.30891800000001</v>
      </c>
      <c r="J122" s="116">
        <f t="shared" si="10"/>
        <v>141.13588200000001</v>
      </c>
      <c r="K122" s="116">
        <f t="shared" si="10"/>
        <v>185.01504499999999</v>
      </c>
      <c r="L122" s="116">
        <f t="shared" si="10"/>
        <v>159.35356899999999</v>
      </c>
      <c r="M122" s="116">
        <f t="shared" si="10"/>
        <v>260.27204499999999</v>
      </c>
      <c r="N122" s="116">
        <f t="shared" si="10"/>
        <v>187.465463</v>
      </c>
      <c r="O122" s="134">
        <f t="shared" si="10"/>
        <v>217.47864799999999</v>
      </c>
    </row>
    <row r="123" spans="1:19">
      <c r="A123" s="215"/>
      <c r="B123" s="122" t="s">
        <v>24</v>
      </c>
      <c r="C123" s="116">
        <f>HLOOKUP(C$117,$86:$101,7,FALSE)</f>
        <v>0</v>
      </c>
      <c r="D123" s="116">
        <f t="shared" ref="D123:O123" si="11">HLOOKUP(D$117,$86:$101,7,FALSE)</f>
        <v>0</v>
      </c>
      <c r="E123" s="116">
        <f t="shared" si="11"/>
        <v>0</v>
      </c>
      <c r="F123" s="116">
        <f t="shared" si="11"/>
        <v>0</v>
      </c>
      <c r="G123" s="116">
        <f t="shared" si="11"/>
        <v>0</v>
      </c>
      <c r="H123" s="116">
        <f t="shared" si="11"/>
        <v>2.5841270000000001</v>
      </c>
      <c r="I123" s="116">
        <f t="shared" si="11"/>
        <v>0.57992999999999995</v>
      </c>
      <c r="J123" s="116">
        <f t="shared" si="11"/>
        <v>0.73975400000000002</v>
      </c>
      <c r="K123" s="116">
        <f t="shared" si="11"/>
        <v>0</v>
      </c>
      <c r="L123" s="116">
        <f t="shared" si="11"/>
        <v>0</v>
      </c>
      <c r="M123" s="116">
        <f t="shared" si="11"/>
        <v>0</v>
      </c>
      <c r="N123" s="116">
        <f t="shared" si="11"/>
        <v>0</v>
      </c>
      <c r="O123" s="134">
        <f t="shared" si="11"/>
        <v>-2.3999999999999998E-3</v>
      </c>
    </row>
    <row r="124" spans="1:19">
      <c r="A124" s="215"/>
      <c r="B124" s="122" t="s">
        <v>5</v>
      </c>
      <c r="C124" s="116">
        <f>HLOOKUP(C$117,$86:$102,8,FALSE)</f>
        <v>0.53315400000000002</v>
      </c>
      <c r="D124" s="116">
        <f t="shared" ref="D124:O124" si="12">HLOOKUP(D$117,$86:$102,8,FALSE)</f>
        <v>0.241702</v>
      </c>
      <c r="E124" s="116">
        <f t="shared" si="12"/>
        <v>0.35256199999999999</v>
      </c>
      <c r="F124" s="116">
        <f t="shared" si="12"/>
        <v>0.22043199999999999</v>
      </c>
      <c r="G124" s="116">
        <f t="shared" si="12"/>
        <v>0.22134999999999999</v>
      </c>
      <c r="H124" s="116">
        <f t="shared" si="12"/>
        <v>0.20865500000000001</v>
      </c>
      <c r="I124" s="116">
        <f t="shared" si="12"/>
        <v>0.189775</v>
      </c>
      <c r="J124" s="116">
        <f t="shared" si="12"/>
        <v>0.32789299999999999</v>
      </c>
      <c r="K124" s="116">
        <f t="shared" si="12"/>
        <v>0.34884399999999999</v>
      </c>
      <c r="L124" s="116">
        <f t="shared" si="12"/>
        <v>0.28645399999999999</v>
      </c>
      <c r="M124" s="116">
        <f t="shared" si="12"/>
        <v>0.27796300000000002</v>
      </c>
      <c r="N124" s="116">
        <f t="shared" si="12"/>
        <v>0.15948300000000001</v>
      </c>
      <c r="O124" s="134">
        <f t="shared" si="12"/>
        <v>0.30611500000000003</v>
      </c>
    </row>
    <row r="125" spans="1:19">
      <c r="A125" s="215"/>
      <c r="B125" s="122" t="s">
        <v>4</v>
      </c>
      <c r="C125" s="116">
        <f>HLOOKUP(C$117,$86:$102,9,FALSE)</f>
        <v>9.2085500000000007</v>
      </c>
      <c r="D125" s="116">
        <f t="shared" ref="D125:O125" si="13">HLOOKUP(D$117,$86:$102,9,FALSE)</f>
        <v>10.827855</v>
      </c>
      <c r="E125" s="116">
        <f t="shared" si="13"/>
        <v>12.909148999999999</v>
      </c>
      <c r="F125" s="116">
        <f t="shared" si="13"/>
        <v>12.23429</v>
      </c>
      <c r="G125" s="116">
        <f t="shared" si="13"/>
        <v>12.749435999999999</v>
      </c>
      <c r="H125" s="116">
        <f t="shared" si="13"/>
        <v>12.079094</v>
      </c>
      <c r="I125" s="116">
        <f t="shared" si="13"/>
        <v>10.538423999999999</v>
      </c>
      <c r="J125" s="116">
        <f t="shared" si="13"/>
        <v>9.627974</v>
      </c>
      <c r="K125" s="116">
        <f t="shared" si="13"/>
        <v>6.7521509999999996</v>
      </c>
      <c r="L125" s="116">
        <f t="shared" si="13"/>
        <v>6.7092029999999996</v>
      </c>
      <c r="M125" s="116">
        <f t="shared" si="13"/>
        <v>8.3861550000000005</v>
      </c>
      <c r="N125" s="116">
        <f t="shared" si="13"/>
        <v>9.4941250000000004</v>
      </c>
      <c r="O125" s="134">
        <f t="shared" si="13"/>
        <v>13.089174</v>
      </c>
    </row>
    <row r="126" spans="1:19">
      <c r="A126" s="215"/>
      <c r="B126" s="123" t="s">
        <v>22</v>
      </c>
      <c r="C126" s="116">
        <f>HLOOKUP(C$117,$86:$102,10,FALSE)</f>
        <v>2.6786999999999998E-2</v>
      </c>
      <c r="D126" s="116">
        <f t="shared" ref="D126:O126" si="14">HLOOKUP(D$117,$86:$102,10,FALSE)</f>
        <v>1.5415999999999999E-2</v>
      </c>
      <c r="E126" s="116">
        <f t="shared" si="14"/>
        <v>2.3830000000000001E-3</v>
      </c>
      <c r="F126" s="116">
        <f t="shared" si="14"/>
        <v>5.9750999999999999E-2</v>
      </c>
      <c r="G126" s="116">
        <f t="shared" si="14"/>
        <v>5.2531000000000001E-2</v>
      </c>
      <c r="H126" s="116">
        <f t="shared" si="14"/>
        <v>5.0303E-2</v>
      </c>
      <c r="I126" s="116">
        <f t="shared" si="14"/>
        <v>2.81E-3</v>
      </c>
      <c r="J126" s="116">
        <f t="shared" si="14"/>
        <v>2.7317000000000001E-2</v>
      </c>
      <c r="K126" s="116">
        <f t="shared" si="14"/>
        <v>6.9145999999999999E-2</v>
      </c>
      <c r="L126" s="116">
        <f t="shared" si="14"/>
        <v>3.986E-2</v>
      </c>
      <c r="M126" s="116">
        <f t="shared" si="14"/>
        <v>5.7757000000000003E-2</v>
      </c>
      <c r="N126" s="116">
        <f t="shared" si="14"/>
        <v>7.6887999999999998E-2</v>
      </c>
      <c r="O126" s="134">
        <f t="shared" si="14"/>
        <v>0.13778699999999999</v>
      </c>
    </row>
    <row r="127" spans="1:19">
      <c r="A127" s="215"/>
      <c r="B127" s="123" t="s">
        <v>23</v>
      </c>
      <c r="C127" s="116">
        <f>HLOOKUP(C$117,$86:$102,11,FALSE)</f>
        <v>3.4759910000000001</v>
      </c>
      <c r="D127" s="116">
        <f t="shared" ref="D127:O127" si="15">HLOOKUP(D$117,$86:$102,11,FALSE)</f>
        <v>2.759617</v>
      </c>
      <c r="E127" s="116">
        <f t="shared" si="15"/>
        <v>2.681413</v>
      </c>
      <c r="F127" s="116">
        <f t="shared" si="15"/>
        <v>2.5969359999999999</v>
      </c>
      <c r="G127" s="116">
        <f t="shared" si="15"/>
        <v>2.3319320000000001</v>
      </c>
      <c r="H127" s="116">
        <f t="shared" si="15"/>
        <v>1.922374</v>
      </c>
      <c r="I127" s="116">
        <f t="shared" si="15"/>
        <v>2.047806</v>
      </c>
      <c r="J127" s="116">
        <f t="shared" si="15"/>
        <v>2.3333560000000002</v>
      </c>
      <c r="K127" s="116">
        <f t="shared" si="15"/>
        <v>2.521382</v>
      </c>
      <c r="L127" s="116">
        <f t="shared" si="15"/>
        <v>3.3692880000000001</v>
      </c>
      <c r="M127" s="116">
        <f t="shared" si="15"/>
        <v>4.0659429999999999</v>
      </c>
      <c r="N127" s="116">
        <f t="shared" si="15"/>
        <v>3.641699</v>
      </c>
      <c r="O127" s="134">
        <f t="shared" si="15"/>
        <v>3.9954990000000001</v>
      </c>
    </row>
    <row r="128" spans="1:19">
      <c r="A128" s="215"/>
      <c r="B128" s="122" t="s">
        <v>55</v>
      </c>
      <c r="C128" s="116">
        <f t="shared" ref="C128:O128" si="16">HLOOKUP(C$117,$86:$102,13,FALSE)</f>
        <v>10.531687</v>
      </c>
      <c r="D128" s="116">
        <f t="shared" si="16"/>
        <v>4.8152900000000001</v>
      </c>
      <c r="E128" s="116">
        <f t="shared" si="16"/>
        <v>5.3655939999999998</v>
      </c>
      <c r="F128" s="116">
        <f t="shared" si="16"/>
        <v>14.316091999999999</v>
      </c>
      <c r="G128" s="116">
        <f t="shared" si="16"/>
        <v>10.772016499999999</v>
      </c>
      <c r="H128" s="116">
        <f t="shared" si="16"/>
        <v>10.810641499999999</v>
      </c>
      <c r="I128" s="116">
        <f t="shared" si="16"/>
        <v>14.376298</v>
      </c>
      <c r="J128" s="116">
        <f t="shared" si="16"/>
        <v>6.2387214999999996</v>
      </c>
      <c r="K128" s="116">
        <f t="shared" si="16"/>
        <v>12.812825</v>
      </c>
      <c r="L128" s="116">
        <f t="shared" si="16"/>
        <v>8.6052265000000006</v>
      </c>
      <c r="M128" s="116">
        <f t="shared" si="16"/>
        <v>7.1515275000000003</v>
      </c>
      <c r="N128" s="116">
        <f t="shared" si="16"/>
        <v>10.723705000000001</v>
      </c>
      <c r="O128" s="134">
        <f t="shared" si="16"/>
        <v>10.093087499999999</v>
      </c>
    </row>
    <row r="129" spans="1:15">
      <c r="A129" s="215"/>
      <c r="B129" s="122" t="s">
        <v>54</v>
      </c>
      <c r="C129" s="116">
        <f>HLOOKUP(C$117,$86:$102,12,FALSE)</f>
        <v>10.531687</v>
      </c>
      <c r="D129" s="116">
        <f t="shared" ref="D129:O129" si="17">HLOOKUP(D$117,$86:$102,12,FALSE)</f>
        <v>4.8152900000000001</v>
      </c>
      <c r="E129" s="116">
        <f t="shared" si="17"/>
        <v>5.3655939999999998</v>
      </c>
      <c r="F129" s="116">
        <f t="shared" si="17"/>
        <v>14.316091999999999</v>
      </c>
      <c r="G129" s="116">
        <f t="shared" si="17"/>
        <v>10.772016499999999</v>
      </c>
      <c r="H129" s="116">
        <f t="shared" si="17"/>
        <v>10.810641499999999</v>
      </c>
      <c r="I129" s="116">
        <f t="shared" si="17"/>
        <v>14.376298</v>
      </c>
      <c r="J129" s="116">
        <f t="shared" si="17"/>
        <v>6.2387214999999996</v>
      </c>
      <c r="K129" s="116">
        <f t="shared" si="17"/>
        <v>12.812825</v>
      </c>
      <c r="L129" s="116">
        <f t="shared" si="17"/>
        <v>8.6052265000000006</v>
      </c>
      <c r="M129" s="116">
        <f t="shared" si="17"/>
        <v>7.1515275000000003</v>
      </c>
      <c r="N129" s="116">
        <f t="shared" si="17"/>
        <v>10.723705000000001</v>
      </c>
      <c r="O129" s="134">
        <f t="shared" si="17"/>
        <v>10.093087499999999</v>
      </c>
    </row>
    <row r="130" spans="1:15">
      <c r="A130" s="215"/>
      <c r="B130" s="124" t="s">
        <v>2</v>
      </c>
      <c r="C130" s="125">
        <f>HLOOKUP(C$117,$86:$102,14,FALSE)</f>
        <v>291.052369</v>
      </c>
      <c r="D130" s="125">
        <f t="shared" ref="D130:O130" si="18">HLOOKUP(D$117,$86:$102,14,FALSE)</f>
        <v>241.130707</v>
      </c>
      <c r="E130" s="125">
        <f t="shared" si="18"/>
        <v>247.22855000000001</v>
      </c>
      <c r="F130" s="125">
        <f t="shared" si="18"/>
        <v>267.56127700000002</v>
      </c>
      <c r="G130" s="125">
        <f t="shared" si="18"/>
        <v>360.58173399999998</v>
      </c>
      <c r="H130" s="125">
        <f t="shared" si="18"/>
        <v>383.60213199999998</v>
      </c>
      <c r="I130" s="125">
        <f t="shared" si="18"/>
        <v>287.18267500000002</v>
      </c>
      <c r="J130" s="125">
        <f t="shared" si="18"/>
        <v>262.022019</v>
      </c>
      <c r="K130" s="125">
        <f t="shared" si="18"/>
        <v>268.105144</v>
      </c>
      <c r="L130" s="125">
        <f t="shared" si="18"/>
        <v>298.69348100000002</v>
      </c>
      <c r="M130" s="125">
        <f t="shared" si="18"/>
        <v>332.46966300000003</v>
      </c>
      <c r="N130" s="125">
        <f t="shared" si="18"/>
        <v>248.28499600000001</v>
      </c>
      <c r="O130" s="135">
        <f t="shared" si="18"/>
        <v>281.91183899999999</v>
      </c>
    </row>
    <row r="131" spans="1:15">
      <c r="A131" s="215"/>
      <c r="B131" s="122" t="s">
        <v>21</v>
      </c>
      <c r="C131" s="126">
        <f>HLOOKUP(C$117,$86:$102,15,FALSE)</f>
        <v>112.780382</v>
      </c>
      <c r="D131" s="126">
        <f t="shared" ref="D131:O131" si="19">HLOOKUP(D$117,$86:$102,15,FALSE)</f>
        <v>80.581305999999998</v>
      </c>
      <c r="E131" s="126">
        <f t="shared" si="19"/>
        <v>79.946523999999997</v>
      </c>
      <c r="F131" s="126">
        <f t="shared" si="19"/>
        <v>93.289579000000003</v>
      </c>
      <c r="G131" s="126">
        <f t="shared" si="19"/>
        <v>168.331695</v>
      </c>
      <c r="H131" s="126">
        <f t="shared" si="19"/>
        <v>182.71595500000001</v>
      </c>
      <c r="I131" s="126">
        <f t="shared" si="19"/>
        <v>116.274961</v>
      </c>
      <c r="J131" s="126">
        <f t="shared" si="19"/>
        <v>105.943506</v>
      </c>
      <c r="K131" s="126">
        <f t="shared" si="19"/>
        <v>96.327618999999999</v>
      </c>
      <c r="L131" s="126">
        <f t="shared" si="19"/>
        <v>138.26159999999999</v>
      </c>
      <c r="M131" s="126">
        <f t="shared" si="19"/>
        <v>138.25041200000001</v>
      </c>
      <c r="N131" s="126">
        <f t="shared" si="19"/>
        <v>113.412009</v>
      </c>
      <c r="O131" s="126">
        <f t="shared" si="19"/>
        <v>127.985573</v>
      </c>
    </row>
    <row r="132" spans="1:15">
      <c r="A132" s="215"/>
      <c r="B132" s="127" t="s">
        <v>1</v>
      </c>
      <c r="C132" s="128">
        <f>HLOOKUP(C$117,$86:$102,16,FALSE)</f>
        <v>403.83275099999997</v>
      </c>
      <c r="D132" s="128">
        <f t="shared" ref="D132:O132" si="20">HLOOKUP(D$117,$86:$102,16,FALSE)</f>
        <v>321.71201300000001</v>
      </c>
      <c r="E132" s="128">
        <f t="shared" si="20"/>
        <v>327.175074</v>
      </c>
      <c r="F132" s="128">
        <f t="shared" si="20"/>
        <v>360.85085600000002</v>
      </c>
      <c r="G132" s="128">
        <f t="shared" si="20"/>
        <v>528.91342899999995</v>
      </c>
      <c r="H132" s="128">
        <f t="shared" si="20"/>
        <v>566.31808699999999</v>
      </c>
      <c r="I132" s="128">
        <f t="shared" si="20"/>
        <v>403.45763599999998</v>
      </c>
      <c r="J132" s="128">
        <f t="shared" si="20"/>
        <v>367.96552500000001</v>
      </c>
      <c r="K132" s="128">
        <f t="shared" si="20"/>
        <v>364.43276300000002</v>
      </c>
      <c r="L132" s="128">
        <f t="shared" si="20"/>
        <v>436.95508100000001</v>
      </c>
      <c r="M132" s="128">
        <f t="shared" si="20"/>
        <v>470.72007500000001</v>
      </c>
      <c r="N132" s="128">
        <f t="shared" si="20"/>
        <v>361.69700499999999</v>
      </c>
      <c r="O132" s="128">
        <f t="shared" si="20"/>
        <v>409.89741199999997</v>
      </c>
    </row>
    <row r="133" spans="1:15" ht="14.25">
      <c r="A133" s="216"/>
      <c r="B133" s="137" t="s">
        <v>75</v>
      </c>
      <c r="C133" s="138">
        <f>C120+C121+C123</f>
        <v>34.757860000000001</v>
      </c>
      <c r="D133" s="138">
        <f>D120+D121+D123</f>
        <v>28.608295999999999</v>
      </c>
      <c r="E133" s="138">
        <f t="shared" ref="E133:O133" si="21">E120+E121+E123</f>
        <v>29.693214999999999</v>
      </c>
      <c r="F133" s="138">
        <f t="shared" si="21"/>
        <v>33.872518999999997</v>
      </c>
      <c r="G133" s="138">
        <f t="shared" si="21"/>
        <v>66.275554999999997</v>
      </c>
      <c r="H133" s="138">
        <f t="shared" si="21"/>
        <v>87.959547999999984</v>
      </c>
      <c r="I133" s="138">
        <f t="shared" si="21"/>
        <v>41.727269</v>
      </c>
      <c r="J133" s="138">
        <f t="shared" si="21"/>
        <v>26.56035</v>
      </c>
      <c r="K133" s="138">
        <f t="shared" si="21"/>
        <v>29.083095999999998</v>
      </c>
      <c r="L133" s="138">
        <f t="shared" si="21"/>
        <v>33.649616000000002</v>
      </c>
      <c r="M133" s="138">
        <f t="shared" si="21"/>
        <v>45.739437000000002</v>
      </c>
      <c r="N133" s="138">
        <f t="shared" si="21"/>
        <v>26.606086999999999</v>
      </c>
      <c r="O133" s="138">
        <f t="shared" si="21"/>
        <v>27.369999999999997</v>
      </c>
    </row>
    <row r="134" spans="1:15">
      <c r="A134" s="214" t="s">
        <v>77</v>
      </c>
      <c r="B134" s="139" t="s">
        <v>73</v>
      </c>
      <c r="C134" s="120" t="str">
        <f>TEXT(EDATE($A$2,-12),"mmm")&amp;".-"&amp;TEXT(EDATE($A$2,-12),"aa")</f>
        <v>mar.-20</v>
      </c>
      <c r="D134" s="120" t="str">
        <f>TEXT(EDATE($A$2,-11),"mmm")&amp;".-"&amp;TEXT(EDATE($A$2,-11),"aa")</f>
        <v>abr.-20</v>
      </c>
      <c r="E134" s="120" t="str">
        <f>TEXT(EDATE($A$2,-10),"mmm")&amp;".-"&amp;TEXT(EDATE($A$2,-10),"aa")</f>
        <v>may.-20</v>
      </c>
      <c r="F134" s="120" t="str">
        <f>TEXT(EDATE($A$2,-9),"mmm")&amp;".-"&amp;TEXT(EDATE($A$2,-9),"aa")</f>
        <v>jun.-20</v>
      </c>
      <c r="G134" s="120" t="str">
        <f>TEXT(EDATE($A$2,-8),"mmm")&amp;".-"&amp;TEXT(EDATE($A$2,-8),"aa")</f>
        <v>jul.-20</v>
      </c>
      <c r="H134" s="120" t="str">
        <f>TEXT(EDATE($A$2,-7),"mmm")&amp;".-"&amp;TEXT(EDATE($A$2,-7),"aa")</f>
        <v>ago.-20</v>
      </c>
      <c r="I134" s="120" t="str">
        <f>TEXT(EDATE($A$2,-6),"mmm")&amp;".-"&amp;TEXT(EDATE($A$2,-6),"aa")</f>
        <v>sep.-20</v>
      </c>
      <c r="J134" s="120" t="str">
        <f>TEXT(EDATE($A$2,-5),"mmm")&amp;".-"&amp;TEXT(EDATE($A$2,-5),"aa")</f>
        <v>oct.-20</v>
      </c>
      <c r="K134" s="120" t="str">
        <f>TEXT(EDATE($A$2,-4),"mmm")&amp;".-"&amp;TEXT(EDATE($A$2,-4),"aa")</f>
        <v>nov.-20</v>
      </c>
      <c r="L134" s="120" t="str">
        <f>TEXT(EDATE($A$2,-3),"mmm")&amp;".-"&amp;TEXT(EDATE($A$2,-3),"aa")</f>
        <v>dic.-20</v>
      </c>
      <c r="M134" s="120" t="str">
        <f>TEXT(EDATE($A$2,-2),"mmm")&amp;".-"&amp;TEXT(EDATE($A$2,-2),"aa")</f>
        <v>ene.-21</v>
      </c>
      <c r="N134" s="120" t="str">
        <f>TEXT(EDATE($A$2,-1),"mmm")&amp;".-"&amp;TEXT(EDATE($A$2,-1),"aa")</f>
        <v>feb.-21</v>
      </c>
      <c r="O134" s="121" t="str">
        <f>TEXT($A$2,"mmm")&amp;".-"&amp;TEXT($A$2,"aa")</f>
        <v>mar.-21</v>
      </c>
    </row>
    <row r="135" spans="1:15" ht="15" customHeight="1">
      <c r="A135" s="215"/>
      <c r="B135" s="122" t="s">
        <v>12</v>
      </c>
      <c r="C135" s="116">
        <f>HLOOKUP(C$117,$86:$115,17,FALSE)</f>
        <v>0.29931200000000002</v>
      </c>
      <c r="D135" s="116">
        <f t="shared" ref="D135:O135" si="22">HLOOKUP(D$117,$86:$115,17,FALSE)</f>
        <v>0.288387</v>
      </c>
      <c r="E135" s="116">
        <f t="shared" si="22"/>
        <v>0.28846300000000002</v>
      </c>
      <c r="F135" s="116">
        <f t="shared" si="22"/>
        <v>0.27233299999999999</v>
      </c>
      <c r="G135" s="116">
        <f t="shared" si="22"/>
        <v>0.29030099999999998</v>
      </c>
      <c r="H135" s="116">
        <f t="shared" si="22"/>
        <v>0.29413899999999998</v>
      </c>
      <c r="I135" s="116">
        <f t="shared" si="22"/>
        <v>0.29165099999999999</v>
      </c>
      <c r="J135" s="116">
        <f t="shared" si="22"/>
        <v>0.299369</v>
      </c>
      <c r="K135" s="116">
        <f t="shared" si="22"/>
        <v>0.28527599999999997</v>
      </c>
      <c r="L135" s="116">
        <f t="shared" si="22"/>
        <v>0.29958099999999999</v>
      </c>
      <c r="M135" s="116">
        <f t="shared" si="22"/>
        <v>0.29762100000000002</v>
      </c>
      <c r="N135" s="116">
        <f t="shared" si="22"/>
        <v>0.25852999999999998</v>
      </c>
      <c r="O135" s="161">
        <f t="shared" si="22"/>
        <v>0.28226499999999999</v>
      </c>
    </row>
    <row r="136" spans="1:15">
      <c r="A136" s="215"/>
      <c r="B136" s="122" t="s">
        <v>10</v>
      </c>
      <c r="C136" s="116">
        <f>HLOOKUP(C$117,$86:$115,18,FALSE)</f>
        <v>133.86502100000001</v>
      </c>
      <c r="D136" s="116">
        <f t="shared" ref="D136:O136" si="23">HLOOKUP(D$117,$86:$115,18,FALSE)</f>
        <v>118.219841</v>
      </c>
      <c r="E136" s="116">
        <f t="shared" si="23"/>
        <v>127.46634299999999</v>
      </c>
      <c r="F136" s="116">
        <f t="shared" si="23"/>
        <v>122.84934</v>
      </c>
      <c r="G136" s="116">
        <f t="shared" si="23"/>
        <v>140.50550799999999</v>
      </c>
      <c r="H136" s="116">
        <f t="shared" si="23"/>
        <v>152.65874500000001</v>
      </c>
      <c r="I136" s="116">
        <f t="shared" si="23"/>
        <v>151.15563499999999</v>
      </c>
      <c r="J136" s="116">
        <f t="shared" si="23"/>
        <v>140.27562900000001</v>
      </c>
      <c r="K136" s="116">
        <f t="shared" si="23"/>
        <v>147.43617</v>
      </c>
      <c r="L136" s="116">
        <f t="shared" si="23"/>
        <v>146.45553799999999</v>
      </c>
      <c r="M136" s="116">
        <f t="shared" si="23"/>
        <v>141.05104299999999</v>
      </c>
      <c r="N136" s="116">
        <f t="shared" si="23"/>
        <v>112.359525</v>
      </c>
      <c r="O136" s="134">
        <f t="shared" si="23"/>
        <v>128.50312700000001</v>
      </c>
    </row>
    <row r="137" spans="1:15">
      <c r="A137" s="215"/>
      <c r="B137" s="122" t="s">
        <v>9</v>
      </c>
      <c r="C137" s="116">
        <f>HLOOKUP(C$117,$86:$115,19,FALSE)</f>
        <v>12.226845000000001</v>
      </c>
      <c r="D137" s="116">
        <f t="shared" ref="D137:O137" si="24">HLOOKUP(D$117,$86:$115,19,FALSE)</f>
        <v>5.7932370000000004</v>
      </c>
      <c r="E137" s="116">
        <f t="shared" si="24"/>
        <v>9.4236719999999998</v>
      </c>
      <c r="F137" s="116">
        <f t="shared" si="24"/>
        <v>8.6874149999999997</v>
      </c>
      <c r="G137" s="116">
        <f t="shared" si="24"/>
        <v>15.04932</v>
      </c>
      <c r="H137" s="116">
        <f t="shared" si="24"/>
        <v>17.289342999999999</v>
      </c>
      <c r="I137" s="116">
        <f t="shared" si="24"/>
        <v>21.610752000000002</v>
      </c>
      <c r="J137" s="116">
        <f t="shared" si="24"/>
        <v>32.544134999999997</v>
      </c>
      <c r="K137" s="116">
        <f t="shared" si="24"/>
        <v>18.073917999999999</v>
      </c>
      <c r="L137" s="116">
        <f t="shared" si="24"/>
        <v>16.086774999999999</v>
      </c>
      <c r="M137" s="116">
        <f t="shared" si="24"/>
        <v>10.157844000000001</v>
      </c>
      <c r="N137" s="116">
        <f t="shared" si="24"/>
        <v>10.355027</v>
      </c>
      <c r="O137" s="134">
        <f t="shared" si="24"/>
        <v>14.760713000000001</v>
      </c>
    </row>
    <row r="138" spans="1:15">
      <c r="A138" s="215"/>
      <c r="B138" s="122" t="s">
        <v>8</v>
      </c>
      <c r="C138" s="116">
        <f>HLOOKUP(C$117,$86:$115,20,FALSE)</f>
        <v>114.048723</v>
      </c>
      <c r="D138" s="116">
        <f t="shared" ref="D138:O138" si="25">HLOOKUP(D$117,$86:$115,20,FALSE)</f>
        <v>98.923323999999994</v>
      </c>
      <c r="E138" s="116">
        <f t="shared" si="25"/>
        <v>116.06845300000001</v>
      </c>
      <c r="F138" s="116">
        <f t="shared" si="25"/>
        <v>83.295309000000003</v>
      </c>
      <c r="G138" s="116">
        <f t="shared" si="25"/>
        <v>114.33213000000001</v>
      </c>
      <c r="H138" s="116">
        <f t="shared" si="25"/>
        <v>127.712586</v>
      </c>
      <c r="I138" s="116">
        <f t="shared" si="25"/>
        <v>98.396693999999997</v>
      </c>
      <c r="J138" s="116">
        <f t="shared" si="25"/>
        <v>128.21449999999999</v>
      </c>
      <c r="K138" s="116">
        <f t="shared" si="25"/>
        <v>121.615077</v>
      </c>
      <c r="L138" s="116">
        <f t="shared" si="25"/>
        <v>109.732229</v>
      </c>
      <c r="M138" s="116">
        <f t="shared" si="25"/>
        <v>116.282053</v>
      </c>
      <c r="N138" s="116">
        <f t="shared" si="25"/>
        <v>104.960847</v>
      </c>
      <c r="O138" s="134">
        <f t="shared" si="25"/>
        <v>100.758259</v>
      </c>
    </row>
    <row r="139" spans="1:15" ht="14.25">
      <c r="A139" s="215"/>
      <c r="B139" s="122" t="s">
        <v>74</v>
      </c>
      <c r="C139" s="116">
        <f>HLOOKUP(C$117,$86:$115,21,FALSE)</f>
        <v>300.75480199999998</v>
      </c>
      <c r="D139" s="116">
        <f t="shared" ref="D139:O139" si="26">HLOOKUP(D$117,$86:$115,21,FALSE)</f>
        <v>246.048203</v>
      </c>
      <c r="E139" s="116">
        <f t="shared" si="26"/>
        <v>229.928777</v>
      </c>
      <c r="F139" s="116">
        <f t="shared" si="26"/>
        <v>258.95318400000002</v>
      </c>
      <c r="G139" s="116">
        <f t="shared" si="26"/>
        <v>229.38776100000001</v>
      </c>
      <c r="H139" s="116">
        <f t="shared" si="26"/>
        <v>217.204814</v>
      </c>
      <c r="I139" s="116">
        <f t="shared" si="26"/>
        <v>297.07835399999999</v>
      </c>
      <c r="J139" s="116">
        <f t="shared" si="26"/>
        <v>252.83072899999999</v>
      </c>
      <c r="K139" s="116">
        <f t="shared" si="26"/>
        <v>292.22053799999998</v>
      </c>
      <c r="L139" s="116">
        <f t="shared" si="26"/>
        <v>314.37255499999998</v>
      </c>
      <c r="M139" s="116">
        <f t="shared" si="26"/>
        <v>280.66014899999999</v>
      </c>
      <c r="N139" s="116">
        <f t="shared" si="26"/>
        <v>269.76136200000002</v>
      </c>
      <c r="O139" s="134">
        <f t="shared" si="26"/>
        <v>284.19602200000003</v>
      </c>
    </row>
    <row r="140" spans="1:15">
      <c r="A140" s="215"/>
      <c r="B140" s="122" t="s">
        <v>6</v>
      </c>
      <c r="C140" s="116">
        <f>HLOOKUP(C$117,$86:$115,22,FALSE)</f>
        <v>1.8236140000000001</v>
      </c>
      <c r="D140" s="116">
        <f t="shared" ref="D140:O140" si="27">HLOOKUP(D$117,$86:$115,22,FALSE)</f>
        <v>0.99112500000000003</v>
      </c>
      <c r="E140" s="116">
        <f t="shared" si="27"/>
        <v>1.4427080000000001</v>
      </c>
      <c r="F140" s="116">
        <f t="shared" si="27"/>
        <v>0.74262799999999995</v>
      </c>
      <c r="G140" s="116">
        <f t="shared" si="27"/>
        <v>3.6524220000000001</v>
      </c>
      <c r="H140" s="116">
        <f t="shared" si="27"/>
        <v>3.5757409999999998</v>
      </c>
      <c r="I140" s="116">
        <f t="shared" si="27"/>
        <v>1.9118980000000001</v>
      </c>
      <c r="J140" s="116">
        <f t="shared" si="27"/>
        <v>1.456723</v>
      </c>
      <c r="K140" s="116">
        <f t="shared" si="27"/>
        <v>0.821801</v>
      </c>
      <c r="L140" s="116">
        <f t="shared" si="27"/>
        <v>0.95850199999999997</v>
      </c>
      <c r="M140" s="116">
        <f t="shared" si="27"/>
        <v>0.99317</v>
      </c>
      <c r="N140" s="116">
        <f t="shared" si="27"/>
        <v>1.226483</v>
      </c>
      <c r="O140" s="134">
        <f t="shared" si="27"/>
        <v>1.921443</v>
      </c>
    </row>
    <row r="141" spans="1:15">
      <c r="A141" s="215"/>
      <c r="B141" s="122" t="s">
        <v>5</v>
      </c>
      <c r="C141" s="116">
        <f>HLOOKUP(C$117,$86:$115,23,FALSE)</f>
        <v>97.166353000000001</v>
      </c>
      <c r="D141" s="116">
        <f t="shared" ref="D141:O141" si="28">HLOOKUP(D$117,$86:$115,23,FALSE)</f>
        <v>54.728521000000001</v>
      </c>
      <c r="E141" s="116">
        <f t="shared" si="28"/>
        <v>69.749658999999994</v>
      </c>
      <c r="F141" s="116">
        <f t="shared" si="28"/>
        <v>103.362193</v>
      </c>
      <c r="G141" s="116">
        <f t="shared" si="28"/>
        <v>148.255436</v>
      </c>
      <c r="H141" s="116">
        <f t="shared" si="28"/>
        <v>166.40398400000001</v>
      </c>
      <c r="I141" s="116">
        <f t="shared" si="28"/>
        <v>92.772315000000006</v>
      </c>
      <c r="J141" s="116">
        <f t="shared" si="28"/>
        <v>98.400535000000005</v>
      </c>
      <c r="K141" s="116">
        <f t="shared" si="28"/>
        <v>54.804782000000003</v>
      </c>
      <c r="L141" s="116">
        <f t="shared" si="28"/>
        <v>61.442059999999998</v>
      </c>
      <c r="M141" s="116">
        <f t="shared" si="28"/>
        <v>81.105193</v>
      </c>
      <c r="N141" s="116">
        <f t="shared" si="28"/>
        <v>58.505417000000001</v>
      </c>
      <c r="O141" s="134">
        <f t="shared" si="28"/>
        <v>83.922410999999997</v>
      </c>
    </row>
    <row r="142" spans="1:15">
      <c r="A142" s="215"/>
      <c r="B142" s="122" t="s">
        <v>4</v>
      </c>
      <c r="C142" s="116">
        <f>HLOOKUP(C$117,$86:$115,24,FALSE)</f>
        <v>21.187944000000002</v>
      </c>
      <c r="D142" s="116">
        <f t="shared" ref="D142:O142" si="29">HLOOKUP(D$117,$86:$115,24,FALSE)</f>
        <v>22.649498000000001</v>
      </c>
      <c r="E142" s="116">
        <f t="shared" si="29"/>
        <v>26.043626</v>
      </c>
      <c r="F142" s="116">
        <f t="shared" si="29"/>
        <v>23.750204</v>
      </c>
      <c r="G142" s="116">
        <f t="shared" si="29"/>
        <v>27.014696000000001</v>
      </c>
      <c r="H142" s="116">
        <f t="shared" si="29"/>
        <v>26.667397999999999</v>
      </c>
      <c r="I142" s="116">
        <f t="shared" si="29"/>
        <v>20.951909000000001</v>
      </c>
      <c r="J142" s="116">
        <f t="shared" si="29"/>
        <v>19.852456</v>
      </c>
      <c r="K142" s="116">
        <f t="shared" si="29"/>
        <v>15.933180999999999</v>
      </c>
      <c r="L142" s="116">
        <f t="shared" si="29"/>
        <v>15.284926</v>
      </c>
      <c r="M142" s="116">
        <f t="shared" si="29"/>
        <v>16.287994999999999</v>
      </c>
      <c r="N142" s="116">
        <f t="shared" si="29"/>
        <v>17.690635</v>
      </c>
      <c r="O142" s="134">
        <f t="shared" si="29"/>
        <v>24.172991</v>
      </c>
    </row>
    <row r="143" spans="1:15">
      <c r="A143" s="215"/>
      <c r="B143" s="122" t="s">
        <v>22</v>
      </c>
      <c r="C143" s="116">
        <f>HLOOKUP(C$117,$86:$115,25,FALSE)</f>
        <v>0.82168300000000005</v>
      </c>
      <c r="D143" s="116">
        <f t="shared" ref="D143:O143" si="30">HLOOKUP(D$117,$86:$115,25,FALSE)</f>
        <v>0.83979599999999999</v>
      </c>
      <c r="E143" s="116">
        <f t="shared" si="30"/>
        <v>0.70590200000000003</v>
      </c>
      <c r="F143" s="116">
        <f t="shared" si="30"/>
        <v>0.78505800000000003</v>
      </c>
      <c r="G143" s="116">
        <f t="shared" si="30"/>
        <v>0.69386000000000003</v>
      </c>
      <c r="H143" s="116">
        <f t="shared" si="30"/>
        <v>0.69097799999999998</v>
      </c>
      <c r="I143" s="116">
        <f t="shared" si="30"/>
        <v>0.64958000000000005</v>
      </c>
      <c r="J143" s="116">
        <f t="shared" si="30"/>
        <v>0.78250799999999998</v>
      </c>
      <c r="K143" s="116">
        <f t="shared" si="30"/>
        <v>0.74310299999999996</v>
      </c>
      <c r="L143" s="116">
        <f t="shared" si="30"/>
        <v>0.75252699999999995</v>
      </c>
      <c r="M143" s="116">
        <f t="shared" si="30"/>
        <v>0.35872300000000001</v>
      </c>
      <c r="N143" s="116">
        <f t="shared" si="30"/>
        <v>0.69978200000000002</v>
      </c>
      <c r="O143" s="134">
        <f t="shared" si="30"/>
        <v>0.79178499999999996</v>
      </c>
    </row>
    <row r="144" spans="1:15">
      <c r="A144" s="215"/>
      <c r="B144" s="127" t="s">
        <v>1</v>
      </c>
      <c r="C144" s="128">
        <f>HLOOKUP(C$117,$86:$115,26,FALSE)</f>
        <v>682.19429700000001</v>
      </c>
      <c r="D144" s="128">
        <f t="shared" ref="D144:O144" si="31">HLOOKUP(D$117,$86:$115,26,FALSE)</f>
        <v>548.48193200000003</v>
      </c>
      <c r="E144" s="128">
        <f t="shared" si="31"/>
        <v>581.11760300000003</v>
      </c>
      <c r="F144" s="128">
        <f t="shared" si="31"/>
        <v>602.69766400000003</v>
      </c>
      <c r="G144" s="128">
        <f t="shared" si="31"/>
        <v>679.18143399999997</v>
      </c>
      <c r="H144" s="128">
        <f t="shared" si="31"/>
        <v>712.49772800000005</v>
      </c>
      <c r="I144" s="128">
        <f t="shared" si="31"/>
        <v>684.81878800000004</v>
      </c>
      <c r="J144" s="128">
        <f t="shared" si="31"/>
        <v>674.65658399999995</v>
      </c>
      <c r="K144" s="128">
        <f t="shared" si="31"/>
        <v>651.93384600000002</v>
      </c>
      <c r="L144" s="128">
        <f t="shared" si="31"/>
        <v>665.38469299999997</v>
      </c>
      <c r="M144" s="128">
        <f t="shared" si="31"/>
        <v>647.19379100000003</v>
      </c>
      <c r="N144" s="128">
        <f t="shared" si="31"/>
        <v>575.81760799999995</v>
      </c>
      <c r="O144" s="136">
        <f t="shared" si="31"/>
        <v>639.30901600000004</v>
      </c>
    </row>
    <row r="145" spans="1:26">
      <c r="A145" s="215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16"/>
      <c r="B146" s="137" t="s">
        <v>75</v>
      </c>
      <c r="C146" s="141">
        <f>SUM(C136:C138)</f>
        <v>260.14058899999998</v>
      </c>
      <c r="D146" s="141">
        <f t="shared" ref="D146:O146" si="32">SUM(D136:D138)</f>
        <v>222.93640199999999</v>
      </c>
      <c r="E146" s="141">
        <f t="shared" si="32"/>
        <v>252.95846800000001</v>
      </c>
      <c r="F146" s="141">
        <f t="shared" si="32"/>
        <v>214.832064</v>
      </c>
      <c r="G146" s="141">
        <f t="shared" si="32"/>
        <v>269.88695799999999</v>
      </c>
      <c r="H146" s="141">
        <f t="shared" si="32"/>
        <v>297.66067400000003</v>
      </c>
      <c r="I146" s="141">
        <f t="shared" si="32"/>
        <v>271.16308099999998</v>
      </c>
      <c r="J146" s="141">
        <f t="shared" si="32"/>
        <v>301.03426400000001</v>
      </c>
      <c r="K146" s="141">
        <f t="shared" si="32"/>
        <v>287.12516499999998</v>
      </c>
      <c r="L146" s="141">
        <f t="shared" si="32"/>
        <v>272.274542</v>
      </c>
      <c r="M146" s="141">
        <f t="shared" si="32"/>
        <v>267.49094000000002</v>
      </c>
      <c r="N146" s="141">
        <f t="shared" si="32"/>
        <v>227.675399</v>
      </c>
      <c r="O146" s="142">
        <f t="shared" si="32"/>
        <v>244.02209900000003</v>
      </c>
    </row>
    <row r="149" spans="1:26" ht="15">
      <c r="A149" s="174"/>
      <c r="B149" s="174" t="s">
        <v>68</v>
      </c>
      <c r="C149" s="213" t="s">
        <v>57</v>
      </c>
      <c r="D149" s="209"/>
      <c r="E149" s="209"/>
      <c r="F149" s="209"/>
      <c r="G149" s="209"/>
      <c r="H149" s="209"/>
      <c r="I149" s="209"/>
      <c r="J149" s="209"/>
      <c r="K149" s="209"/>
      <c r="L149" s="209"/>
      <c r="M149" s="209"/>
      <c r="N149" s="20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90" t="s">
        <v>90</v>
      </c>
      <c r="D150" s="190" t="s">
        <v>91</v>
      </c>
      <c r="E150" s="190" t="s">
        <v>92</v>
      </c>
      <c r="F150" s="190" t="s">
        <v>93</v>
      </c>
      <c r="G150" s="190" t="s">
        <v>94</v>
      </c>
      <c r="H150" s="190" t="s">
        <v>95</v>
      </c>
      <c r="I150" s="190" t="s">
        <v>96</v>
      </c>
      <c r="J150" s="190" t="s">
        <v>97</v>
      </c>
      <c r="K150" s="190" t="s">
        <v>98</v>
      </c>
      <c r="L150" s="190" t="s">
        <v>99</v>
      </c>
      <c r="M150" s="190" t="s">
        <v>100</v>
      </c>
      <c r="N150" s="190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102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120</v>
      </c>
      <c r="B152" s="176" t="s">
        <v>121</v>
      </c>
      <c r="C152" s="184">
        <v>1.502E-2</v>
      </c>
      <c r="D152" s="184">
        <v>-5.2700000000000004E-3</v>
      </c>
      <c r="E152" s="184">
        <v>1.9769999999999999E-2</v>
      </c>
      <c r="F152" s="184">
        <v>5.1999999999999995E-4</v>
      </c>
      <c r="G152" s="184">
        <v>-1.695E-2</v>
      </c>
      <c r="H152" s="184">
        <v>-4.7600000000000003E-3</v>
      </c>
      <c r="I152" s="184">
        <v>2.4309999999999998E-2</v>
      </c>
      <c r="J152" s="184">
        <v>-3.6499999999999998E-2</v>
      </c>
      <c r="K152" s="184">
        <v>-0.18662999999999999</v>
      </c>
      <c r="L152" s="184">
        <v>-1.67E-3</v>
      </c>
      <c r="M152" s="184">
        <v>-2.5100000000000001E-3</v>
      </c>
      <c r="N152" s="184">
        <v>-0.18245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5" spans="1:26" ht="15">
      <c r="A155" s="174"/>
      <c r="B155" s="174" t="s">
        <v>68</v>
      </c>
      <c r="C155" s="213" t="s">
        <v>58</v>
      </c>
      <c r="D155" s="209"/>
      <c r="E155" s="209"/>
      <c r="F155" s="209"/>
      <c r="G155" s="209"/>
      <c r="H155" s="209"/>
      <c r="I155" s="209"/>
      <c r="J155" s="209"/>
      <c r="K155" s="209"/>
      <c r="L155" s="209"/>
      <c r="M155" s="209"/>
      <c r="N155" s="209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90" t="s">
        <v>90</v>
      </c>
      <c r="D156" s="190" t="s">
        <v>91</v>
      </c>
      <c r="E156" s="190" t="s">
        <v>92</v>
      </c>
      <c r="F156" s="190" t="s">
        <v>93</v>
      </c>
      <c r="G156" s="190" t="s">
        <v>94</v>
      </c>
      <c r="H156" s="190" t="s">
        <v>95</v>
      </c>
      <c r="I156" s="190" t="s">
        <v>96</v>
      </c>
      <c r="J156" s="190" t="s">
        <v>97</v>
      </c>
      <c r="K156" s="190" t="s">
        <v>98</v>
      </c>
      <c r="L156" s="190" t="s">
        <v>99</v>
      </c>
      <c r="M156" s="190" t="s">
        <v>100</v>
      </c>
      <c r="N156" s="190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102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120</v>
      </c>
      <c r="B158" s="176" t="s">
        <v>121</v>
      </c>
      <c r="C158" s="184">
        <v>-6.2859999999999999E-2</v>
      </c>
      <c r="D158" s="184">
        <v>3.7100000000000002E-3</v>
      </c>
      <c r="E158" s="184">
        <v>-1.0000000000000001E-5</v>
      </c>
      <c r="F158" s="184">
        <v>-6.6559999999999994E-2</v>
      </c>
      <c r="G158" s="184">
        <v>-0.13178999999999999</v>
      </c>
      <c r="H158" s="184">
        <v>8.4000000000000003E-4</v>
      </c>
      <c r="I158" s="184">
        <v>4.6000000000000001E-4</v>
      </c>
      <c r="J158" s="184">
        <v>-0.13309000000000001</v>
      </c>
      <c r="K158" s="184">
        <v>-0.13386000000000001</v>
      </c>
      <c r="L158" s="184">
        <v>3.8000000000000002E-4</v>
      </c>
      <c r="M158" s="184">
        <v>1.5E-3</v>
      </c>
      <c r="N158" s="184">
        <v>-0.13574</v>
      </c>
      <c r="O158"/>
      <c r="P158"/>
      <c r="Q158"/>
      <c r="R158"/>
      <c r="S158"/>
      <c r="T158"/>
      <c r="U158"/>
      <c r="V158"/>
      <c r="W158"/>
      <c r="X158"/>
      <c r="Y158"/>
      <c r="Z158"/>
    </row>
  </sheetData>
  <mergeCells count="15"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C85:R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8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Marzo 2021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5" t="s">
        <v>47</v>
      </c>
      <c r="E7" s="77"/>
      <c r="F7" s="196" t="str">
        <f>K3</f>
        <v>Marzo 2021</v>
      </c>
      <c r="G7" s="197"/>
      <c r="H7" s="197" t="s">
        <v>37</v>
      </c>
      <c r="I7" s="197"/>
      <c r="J7" s="197" t="s">
        <v>38</v>
      </c>
      <c r="K7" s="197"/>
    </row>
    <row r="8" spans="3:12">
      <c r="C8" s="195"/>
      <c r="E8" s="78"/>
      <c r="F8" s="79" t="s">
        <v>13</v>
      </c>
      <c r="G8" s="106" t="str">
        <f>CONCATENATE("% ",RIGHT(F7,2),"/",RIGHT(F7,2)-1)</f>
        <v>% 21/20</v>
      </c>
      <c r="H8" s="79" t="s">
        <v>13</v>
      </c>
      <c r="I8" s="80" t="str">
        <f>G8</f>
        <v>% 21/20</v>
      </c>
      <c r="J8" s="79" t="s">
        <v>13</v>
      </c>
      <c r="K8" s="80" t="str">
        <f>G8</f>
        <v>% 21/20</v>
      </c>
    </row>
    <row r="9" spans="3:12">
      <c r="C9" s="81"/>
      <c r="E9" s="82" t="s">
        <v>39</v>
      </c>
      <c r="F9" s="83">
        <f>Dat_01!R24/1000</f>
        <v>409.89741200000003</v>
      </c>
      <c r="G9" s="164">
        <f>Dat_01!T24*100</f>
        <v>1.50177542</v>
      </c>
      <c r="H9" s="83">
        <f>Dat_01!U24/1000</f>
        <v>1242.314492</v>
      </c>
      <c r="I9" s="164">
        <f>Dat_01!W24*100</f>
        <v>-1.69483362</v>
      </c>
      <c r="J9" s="83">
        <f>Dat_01!X24/1000</f>
        <v>4920.0949559999999</v>
      </c>
      <c r="K9" s="164">
        <f>Dat_01!Y24*100</f>
        <v>-18.662700909999998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-0.52700000000000002</v>
      </c>
      <c r="H12" s="103"/>
      <c r="I12" s="103">
        <f>Dat_01!H152*100</f>
        <v>-0.47600000000000003</v>
      </c>
      <c r="J12" s="103"/>
      <c r="K12" s="103">
        <f>Dat_01!L152*100</f>
        <v>-0.16700000000000001</v>
      </c>
    </row>
    <row r="13" spans="3:12">
      <c r="E13" s="85" t="s">
        <v>42</v>
      </c>
      <c r="F13" s="84"/>
      <c r="G13" s="103">
        <f>Dat_01!E152*100</f>
        <v>1.9769999999999999</v>
      </c>
      <c r="H13" s="103"/>
      <c r="I13" s="103">
        <f>Dat_01!I152*100</f>
        <v>2.431</v>
      </c>
      <c r="J13" s="103"/>
      <c r="K13" s="103">
        <f>Dat_01!M152*100</f>
        <v>-0.251</v>
      </c>
    </row>
    <row r="14" spans="3:12">
      <c r="E14" s="86" t="s">
        <v>43</v>
      </c>
      <c r="F14" s="87"/>
      <c r="G14" s="104">
        <f>Dat_01!F152*100</f>
        <v>5.1999999999999998E-2</v>
      </c>
      <c r="H14" s="104"/>
      <c r="I14" s="104">
        <f>Dat_01!J152*100</f>
        <v>-3.65</v>
      </c>
      <c r="J14" s="104"/>
      <c r="K14" s="104">
        <f>Dat_01!N152*100</f>
        <v>-18.245000000000001</v>
      </c>
    </row>
    <row r="15" spans="3:12">
      <c r="E15" s="198" t="s">
        <v>44</v>
      </c>
      <c r="F15" s="198"/>
      <c r="G15" s="198"/>
      <c r="H15" s="198"/>
      <c r="I15" s="198"/>
      <c r="J15" s="198"/>
      <c r="K15" s="198"/>
    </row>
    <row r="16" spans="3:12" ht="21.75" customHeight="1">
      <c r="E16" s="194" t="s">
        <v>45</v>
      </c>
      <c r="F16" s="194"/>
      <c r="G16" s="194"/>
      <c r="H16" s="194"/>
      <c r="I16" s="194"/>
      <c r="J16" s="194"/>
      <c r="K16" s="194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  <row r="22" spans="7:11">
      <c r="G22" s="177"/>
      <c r="H22" s="177"/>
      <c r="I22" s="177"/>
      <c r="J22" s="177"/>
      <c r="K22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Marzo 2021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5" t="s">
        <v>48</v>
      </c>
      <c r="E7" s="77"/>
      <c r="F7" s="196" t="str">
        <f>K3</f>
        <v>Marzo 2021</v>
      </c>
      <c r="G7" s="197"/>
      <c r="H7" s="197" t="s">
        <v>37</v>
      </c>
      <c r="I7" s="197"/>
      <c r="J7" s="197" t="s">
        <v>38</v>
      </c>
      <c r="K7" s="197"/>
    </row>
    <row r="8" spans="3:12">
      <c r="C8" s="195"/>
      <c r="E8" s="78"/>
      <c r="F8" s="79" t="s">
        <v>13</v>
      </c>
      <c r="G8" s="106" t="str">
        <f>CONCATENATE("% ",RIGHT(F7,2),"/",RIGHT(F7,2)-1)</f>
        <v>% 21/20</v>
      </c>
      <c r="H8" s="79" t="s">
        <v>13</v>
      </c>
      <c r="I8" s="107" t="str">
        <f>G8</f>
        <v>% 21/20</v>
      </c>
      <c r="J8" s="79" t="s">
        <v>13</v>
      </c>
      <c r="K8" s="107" t="str">
        <f>G8</f>
        <v>% 21/20</v>
      </c>
    </row>
    <row r="9" spans="3:12">
      <c r="C9" s="81"/>
      <c r="E9" s="82" t="s">
        <v>39</v>
      </c>
      <c r="F9" s="83">
        <f>Dat_01!Z24/1000</f>
        <v>639.30901599999993</v>
      </c>
      <c r="G9" s="164">
        <f>Dat_01!AB24*100</f>
        <v>-6.2863734300000003</v>
      </c>
      <c r="H9" s="83">
        <f>Dat_01!AC24/1000</f>
        <v>1862.3204150000001</v>
      </c>
      <c r="I9" s="164">
        <f>Dat_01!AE24*100</f>
        <v>-13.17889538</v>
      </c>
      <c r="J9" s="83">
        <f>Dat_01!AF24/1000</f>
        <v>7663.0906869999999</v>
      </c>
      <c r="K9" s="164">
        <f>Dat_01!AG24*100</f>
        <v>-13.38646722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0.371</v>
      </c>
      <c r="H12" s="103"/>
      <c r="I12" s="103">
        <f>Dat_01!H158*100</f>
        <v>8.4000000000000005E-2</v>
      </c>
      <c r="J12" s="103"/>
      <c r="K12" s="103">
        <f>Dat_01!L158*100</f>
        <v>3.7999999999999999E-2</v>
      </c>
    </row>
    <row r="13" spans="3:12">
      <c r="E13" s="85" t="s">
        <v>42</v>
      </c>
      <c r="F13" s="84"/>
      <c r="G13" s="103">
        <f>Dat_01!E158*100</f>
        <v>-1E-3</v>
      </c>
      <c r="H13" s="103"/>
      <c r="I13" s="103">
        <f>Dat_01!I158*100</f>
        <v>4.5999999999999999E-2</v>
      </c>
      <c r="J13" s="103"/>
      <c r="K13" s="103">
        <f>Dat_01!M158*100</f>
        <v>0.15</v>
      </c>
    </row>
    <row r="14" spans="3:12">
      <c r="E14" s="86" t="s">
        <v>43</v>
      </c>
      <c r="F14" s="87"/>
      <c r="G14" s="104">
        <f>Dat_01!F158*100</f>
        <v>-6.6559999999999997</v>
      </c>
      <c r="H14" s="104"/>
      <c r="I14" s="104">
        <f>Dat_01!J158*100</f>
        <v>-13.309000000000001</v>
      </c>
      <c r="J14" s="104"/>
      <c r="K14" s="104">
        <f>Dat_01!N158*100</f>
        <v>-13.574</v>
      </c>
    </row>
    <row r="15" spans="3:12">
      <c r="E15" s="198" t="s">
        <v>44</v>
      </c>
      <c r="F15" s="198"/>
      <c r="G15" s="198"/>
      <c r="H15" s="198"/>
      <c r="I15" s="198"/>
      <c r="J15" s="198"/>
      <c r="K15" s="198"/>
    </row>
    <row r="16" spans="3:12" ht="21.75" customHeight="1">
      <c r="E16" s="194" t="s">
        <v>45</v>
      </c>
      <c r="F16" s="194"/>
      <c r="G16" s="194"/>
      <c r="H16" s="194"/>
      <c r="I16" s="194"/>
      <c r="J16" s="194"/>
      <c r="K16" s="194"/>
    </row>
    <row r="19" spans="7:11">
      <c r="G19" s="177"/>
      <c r="H19" s="177"/>
      <c r="I19" s="177"/>
      <c r="J19" s="177"/>
      <c r="K19" s="177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127</v>
      </c>
    </row>
    <row r="2" spans="1:2">
      <c r="A2" t="s">
        <v>122</v>
      </c>
    </row>
    <row r="3" spans="1:2">
      <c r="A3" t="s">
        <v>123</v>
      </c>
    </row>
    <row r="4" spans="1:2">
      <c r="A4" t="s">
        <v>125</v>
      </c>
    </row>
    <row r="5" spans="1:2">
      <c r="A5" t="s">
        <v>126</v>
      </c>
    </row>
    <row r="6" spans="1:2">
      <c r="A6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Q16" sqref="Q16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Marzo 2021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9" t="s">
        <v>18</v>
      </c>
      <c r="E7" s="31"/>
      <c r="F7" s="200" t="s">
        <v>17</v>
      </c>
      <c r="G7" s="201"/>
      <c r="H7" s="200" t="s">
        <v>16</v>
      </c>
      <c r="I7" s="201"/>
      <c r="J7" s="200" t="s">
        <v>15</v>
      </c>
      <c r="K7" s="201"/>
      <c r="L7" s="200" t="s">
        <v>14</v>
      </c>
      <c r="M7" s="201"/>
    </row>
    <row r="8" spans="3:23" s="28" customFormat="1" ht="12.75" customHeight="1">
      <c r="C8" s="199"/>
      <c r="E8" s="30"/>
      <c r="F8" s="29" t="s">
        <v>13</v>
      </c>
      <c r="G8" s="105" t="str">
        <f>CONCATENATE("% ",RIGHT(M3,2),"/",RIGHT(M3,2)-1)</f>
        <v>% 21/20</v>
      </c>
      <c r="H8" s="29" t="s">
        <v>13</v>
      </c>
      <c r="I8" s="105" t="str">
        <f>G8</f>
        <v>% 21/20</v>
      </c>
      <c r="J8" s="29" t="s">
        <v>13</v>
      </c>
      <c r="K8" s="105" t="str">
        <f>I8</f>
        <v>% 21/20</v>
      </c>
      <c r="L8" s="29" t="s">
        <v>13</v>
      </c>
      <c r="M8" s="105" t="str">
        <f>K8</f>
        <v>% 21/20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53">
        <f>Dat_01!Z8/1000</f>
        <v>0.28226499999999999</v>
      </c>
      <c r="I9" s="17">
        <f>IF(Dat_01!AB8*100=-100,"-",Dat_01!AB8)</f>
        <v>-5.69539477E-2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1.921443</v>
      </c>
      <c r="I10" s="17">
        <f>Dat_01!AB15*100</f>
        <v>5.3645672800000002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0.30611500000000003</v>
      </c>
      <c r="G11" s="17">
        <f>Dat_01!T16*100</f>
        <v>-42.584131409999998</v>
      </c>
      <c r="H11" s="153">
        <f>Dat_01!Z16/1000</f>
        <v>83.922410999999997</v>
      </c>
      <c r="I11" s="17">
        <f>Dat_01!AB16*100</f>
        <v>-13.63017299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13.089174000000002</v>
      </c>
      <c r="G12" s="17">
        <f>Dat_01!T17*100</f>
        <v>42.14153151</v>
      </c>
      <c r="H12" s="153">
        <f>Dat_01!Z17/1000</f>
        <v>24.172991000000003</v>
      </c>
      <c r="I12" s="17">
        <f>Dat_01!AB17*100</f>
        <v>14.088422170000001</v>
      </c>
      <c r="J12" s="153" t="s">
        <v>3</v>
      </c>
      <c r="K12" s="17" t="s">
        <v>3</v>
      </c>
      <c r="L12" s="153">
        <f>Dat_01!J17/1000</f>
        <v>5.9950000000000003E-3</v>
      </c>
      <c r="M12" s="17">
        <f>IF(Dat_01!L17*100=-100,"-",Dat_01!L17*100)</f>
        <v>-5.4118018299999999</v>
      </c>
      <c r="N12" s="10"/>
      <c r="O12" s="10"/>
      <c r="P12" s="19"/>
    </row>
    <row r="13" spans="3:23" s="2" customFormat="1" ht="12.75" customHeight="1">
      <c r="C13" s="13"/>
      <c r="E13" s="18" t="s">
        <v>83</v>
      </c>
      <c r="F13" s="17">
        <f>Dat_01!R18/1000</f>
        <v>0.13778699999999999</v>
      </c>
      <c r="G13" s="17">
        <f>Dat_01!T18*100</f>
        <v>414.38010974999997</v>
      </c>
      <c r="H13" s="153">
        <f>Dat_01!Z18/1000</f>
        <v>0.79178499999999996</v>
      </c>
      <c r="I13" s="17">
        <f>IF(Dat_01!AB18*100=-100,"-",Dat_01!AB18)</f>
        <v>-3.6386294999999999E-2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10.093087499999999</v>
      </c>
      <c r="G14" s="17">
        <f>Dat_01!T21*100</f>
        <v>-4.1645702199999999</v>
      </c>
      <c r="H14" s="153" t="s">
        <v>3</v>
      </c>
      <c r="I14" s="17" t="s">
        <v>3</v>
      </c>
      <c r="J14" s="153" t="s">
        <v>3</v>
      </c>
      <c r="K14" s="17" t="s">
        <v>3</v>
      </c>
      <c r="L14" s="17">
        <f>Dat_01!J21/1000</f>
        <v>0.54207950000000005</v>
      </c>
      <c r="M14" s="17">
        <f>Dat_01!L21*100</f>
        <v>-0.49122955000000001</v>
      </c>
      <c r="N14" s="10"/>
      <c r="O14" s="10"/>
    </row>
    <row r="15" spans="3:23" s="2" customFormat="1" ht="12.75" customHeight="1">
      <c r="C15" s="13"/>
      <c r="E15" s="169" t="s">
        <v>80</v>
      </c>
      <c r="F15" s="172">
        <f>SUM(F9:F14)</f>
        <v>23.626163500000001</v>
      </c>
      <c r="G15" s="173">
        <f>((SUM(Dat_01!R8,Dat_01!R15:R18,Dat_01!R20)/SUM(Dat_01!S8,Dat_01!S15:S18,Dat_01!S20))-1)*100</f>
        <v>16.384021361783141</v>
      </c>
      <c r="H15" s="172">
        <f>SUM(H9:H14)</f>
        <v>111.09089500000002</v>
      </c>
      <c r="I15" s="173">
        <f>((SUM(Dat_01!Z8,Dat_01!Z15:Z18,Dat_01!Z20)/SUM(Dat_01!AA8,Dat_01!AA15:AA18,Dat_01!AA20))-1)*100</f>
        <v>-8.4155837316455475</v>
      </c>
      <c r="J15" s="172" t="s">
        <v>3</v>
      </c>
      <c r="K15" s="173" t="s">
        <v>3</v>
      </c>
      <c r="L15" s="172">
        <f>SUM(L9:L14)</f>
        <v>0.54807450000000002</v>
      </c>
      <c r="M15" s="173">
        <f>((SUM(Dat_01!J8,Dat_01!J15:J18,Dat_01!J21)/SUM(Dat_01!K8,Dat_01!K15:K18,Dat_01!K20))-1)*100</f>
        <v>-0.54781992529396861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-0.651559</v>
      </c>
      <c r="G16" s="17" t="s">
        <v>3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14.238415000000002</v>
      </c>
      <c r="G17" s="24">
        <f>((SUM(Dat_01!R10,Dat_01!R14)/SUM(Dat_01!S10,Dat_01!S14))-1)*100</f>
        <v>-10.143674423380332</v>
      </c>
      <c r="H17" s="154">
        <f>Dat_01!Z10/1000</f>
        <v>128.50312700000001</v>
      </c>
      <c r="I17" s="24">
        <f>Dat_01!AB10*100</f>
        <v>-4.0054481400000004</v>
      </c>
      <c r="J17" s="154">
        <f>Dat_01!B10/1000</f>
        <v>15.333781</v>
      </c>
      <c r="K17" s="24">
        <f>Dat_01!D10*100</f>
        <v>-7.6688014400000002</v>
      </c>
      <c r="L17" s="154">
        <f>Dat_01!J10/1000</f>
        <v>15.213790999999999</v>
      </c>
      <c r="M17" s="24">
        <f>Dat_01!L10*100</f>
        <v>3.9340827199999997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13.131584999999999</v>
      </c>
      <c r="G18" s="24">
        <f>Dat_01!T11*100</f>
        <v>-30.565178289999999</v>
      </c>
      <c r="H18" s="154">
        <f>Dat_01!Z11/1000</f>
        <v>14.760712999999999</v>
      </c>
      <c r="I18" s="24">
        <f>Dat_01!AB11*100</f>
        <v>20.72380896</v>
      </c>
      <c r="J18" s="154">
        <f>Dat_01!B11/1000</f>
        <v>6.437E-3</v>
      </c>
      <c r="K18" s="24">
        <f>IF(Dat_01!D11=-100%,"-",Dat_01!D11*100)</f>
        <v>676.47768395999992</v>
      </c>
      <c r="L18" s="154">
        <f>Dat_01!J11/1000</f>
        <v>1.6739999999999999E-3</v>
      </c>
      <c r="M18" s="24">
        <f>Dat_01!L11*100</f>
        <v>-12.721584979999999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100.75825900000001</v>
      </c>
      <c r="I19" s="24">
        <f>Dat_01!AB12*100</f>
        <v>-11.65332119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27.37</v>
      </c>
      <c r="G20" s="17">
        <f>((SUM(Dat_01!R10:R12,Dat_01!R14)/SUM(Dat_01!S10:S12,Dat_01!S14))-1)*100</f>
        <v>-21.255221121208269</v>
      </c>
      <c r="H20" s="153">
        <f>SUM(H17:H19)</f>
        <v>244.02209900000003</v>
      </c>
      <c r="I20" s="17">
        <f>(H20/(H17/(I17/100+1)+H18/(I18/100+1)+H19/(I19/100+1))-1)*100</f>
        <v>-6.1960688490364628</v>
      </c>
      <c r="J20" s="153">
        <f>SUM(J17:J19)</f>
        <v>15.340218</v>
      </c>
      <c r="K20" s="17">
        <f>((SUM(Dat_01!B10:B12)/SUM(Dat_01!C10:C12))-1)*100</f>
        <v>-7.6346521922067812</v>
      </c>
      <c r="L20" s="153">
        <f>SUM(L17:L19)</f>
        <v>15.215464999999998</v>
      </c>
      <c r="M20" s="17">
        <f>(L20/(L17/(M17/100+1)+L18/(M18/100+1))-1)*100</f>
        <v>3.9319006218033303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84</v>
      </c>
      <c r="F21" s="153">
        <f>Dat_01!R13/1000</f>
        <v>217.47864799999999</v>
      </c>
      <c r="G21" s="17">
        <f>Dat_01!T13*100</f>
        <v>-2.7760202700000001</v>
      </c>
      <c r="H21" s="153">
        <f>Dat_01!Z13/1000</f>
        <v>284.19602199999997</v>
      </c>
      <c r="I21" s="17">
        <f>Dat_01!AB13*100</f>
        <v>-5.5057408500000005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3.9954989999999997</v>
      </c>
      <c r="G22" s="17">
        <f>Dat_01!T19*100</f>
        <v>14.94560832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10.093087499999999</v>
      </c>
      <c r="G23" s="17">
        <f>Dat_01!T20*100</f>
        <v>-4.1645702199999999</v>
      </c>
      <c r="H23" s="153" t="s">
        <v>3</v>
      </c>
      <c r="I23" s="17" t="s">
        <v>3</v>
      </c>
      <c r="J23" s="153" t="s">
        <v>3</v>
      </c>
      <c r="K23" s="17" t="s">
        <v>3</v>
      </c>
      <c r="L23" s="17">
        <f>Dat_01!J20/1000</f>
        <v>0.54207950000000005</v>
      </c>
      <c r="M23" s="17">
        <f>Dat_01!L20*100</f>
        <v>-0.49122955000000001</v>
      </c>
      <c r="N23" s="10"/>
      <c r="O23" s="10"/>
    </row>
    <row r="24" spans="3:23" s="2" customFormat="1" ht="12.75" customHeight="1">
      <c r="C24" s="13"/>
      <c r="E24" s="169" t="s">
        <v>81</v>
      </c>
      <c r="F24" s="155">
        <f>SUM(F16,F20:F23)</f>
        <v>258.28567550000002</v>
      </c>
      <c r="G24" s="173">
        <f>((SUM(Dat_01!R9:R14,Dat_01!R19,Dat_01!R21)/SUM(Dat_01!S9:S14,Dat_01!S19,Dat_01!S21))-1)*100</f>
        <v>-4.6044005974452018</v>
      </c>
      <c r="H24" s="155">
        <f>SUM(H16,H20:H23)</f>
        <v>528.218121</v>
      </c>
      <c r="I24" s="173">
        <f>((SUM(Dat_01!Z9:Z14,Dat_01!Z19,Dat_01!Z21)/SUM(Dat_01!AA9:AA14,Dat_01!AA19,Dat_01!AA21))-1)*100</f>
        <v>-5.8259116627328522</v>
      </c>
      <c r="J24" s="155">
        <f>SUM(J16,J20:J23)</f>
        <v>15.340218</v>
      </c>
      <c r="K24" s="173">
        <f>((SUM(Dat_01!B9:B14,Dat_01!B19,Dat_01!B21)/SUM(Dat_01!C9:C14,Dat_01!C19,Dat_01!C21))-1)*100</f>
        <v>-7.6346521922067812</v>
      </c>
      <c r="L24" s="155">
        <f>SUM(L16,L20:L23)</f>
        <v>15.757544499999998</v>
      </c>
      <c r="M24" s="173">
        <f>((SUM(Dat_01!J9:J14,Dat_01!J19,Dat_01!J21)/SUM(Dat_01!K9:K14,Dat_01!K19,Dat_01!K21))-1)*100</f>
        <v>3.7732184717585326</v>
      </c>
      <c r="N24" s="10"/>
      <c r="O24" s="10"/>
    </row>
    <row r="25" spans="3:23" s="2" customFormat="1" ht="12.75" customHeight="1">
      <c r="C25" s="16"/>
      <c r="E25" s="15" t="s">
        <v>87</v>
      </c>
      <c r="F25" s="156">
        <f>Dat_01!R23/1000</f>
        <v>127.985573</v>
      </c>
      <c r="G25" s="14">
        <f>Dat_01!T23*100</f>
        <v>13.482124049999999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149999999999999" customHeight="1">
      <c r="C26" s="13"/>
      <c r="E26" s="12" t="s">
        <v>1</v>
      </c>
      <c r="F26" s="157">
        <f>Dat_01!R24/1000</f>
        <v>409.89741200000003</v>
      </c>
      <c r="G26" s="11">
        <f>Dat_01!T24*100</f>
        <v>1.50177542</v>
      </c>
      <c r="H26" s="157">
        <f>Dat_01!Z24/1000</f>
        <v>639.30901599999993</v>
      </c>
      <c r="I26" s="11">
        <f>Dat_01!AB24*100</f>
        <v>-6.2863734300000003</v>
      </c>
      <c r="J26" s="157">
        <f>Dat_01!B24/1000</f>
        <v>15.340218</v>
      </c>
      <c r="K26" s="11">
        <f>Dat_01!D24*100</f>
        <v>-7.6346521900000006</v>
      </c>
      <c r="L26" s="157">
        <f>Dat_01!J24/1000</f>
        <v>16.305619</v>
      </c>
      <c r="M26" s="11">
        <f>Dat_01!L24*100</f>
        <v>3.6218875700000002</v>
      </c>
      <c r="N26" s="10"/>
      <c r="O26" s="10"/>
    </row>
    <row r="27" spans="3:23" s="2" customFormat="1" ht="16.350000000000001" customHeight="1">
      <c r="C27" s="13"/>
      <c r="E27" s="204" t="s">
        <v>56</v>
      </c>
      <c r="F27" s="204"/>
      <c r="G27" s="204"/>
      <c r="H27" s="204"/>
      <c r="I27" s="204"/>
      <c r="J27" s="204"/>
      <c r="K27" s="204"/>
      <c r="L27" s="170"/>
      <c r="M27" s="171"/>
      <c r="N27" s="10"/>
      <c r="O27" s="10"/>
    </row>
    <row r="28" spans="3:23" s="2" customFormat="1" ht="34.5" customHeight="1">
      <c r="C28" s="13"/>
      <c r="E28" s="205" t="s">
        <v>108</v>
      </c>
      <c r="F28" s="205"/>
      <c r="G28" s="205"/>
      <c r="H28" s="205"/>
      <c r="I28" s="205"/>
      <c r="J28" s="205"/>
      <c r="K28" s="205"/>
      <c r="L28" s="205"/>
      <c r="M28" s="205"/>
      <c r="N28" s="10"/>
      <c r="O28" s="10"/>
    </row>
    <row r="29" spans="3:23" s="2" customFormat="1" ht="12.75" customHeight="1">
      <c r="C29" s="8"/>
      <c r="D29" s="8"/>
      <c r="E29" s="203" t="s">
        <v>0</v>
      </c>
      <c r="F29" s="203"/>
      <c r="G29" s="203"/>
      <c r="H29" s="203"/>
      <c r="I29" s="203"/>
      <c r="J29" s="203"/>
      <c r="K29" s="203"/>
      <c r="L29" s="203"/>
      <c r="M29" s="203"/>
      <c r="O29" s="9"/>
    </row>
    <row r="30" spans="3:23" s="7" customFormat="1" ht="12.75" customHeight="1">
      <c r="E30" s="202" t="s">
        <v>82</v>
      </c>
      <c r="F30" s="202"/>
      <c r="G30" s="202"/>
      <c r="H30" s="202"/>
      <c r="I30" s="202"/>
      <c r="J30" s="202"/>
      <c r="K30" s="202"/>
      <c r="L30" s="202"/>
      <c r="M30" s="202"/>
    </row>
    <row r="31" spans="3:23" s="2" customFormat="1" ht="12.75" customHeight="1">
      <c r="C31" s="8"/>
      <c r="D31" s="8"/>
      <c r="E31" s="202" t="s">
        <v>85</v>
      </c>
      <c r="F31" s="202"/>
      <c r="G31" s="202"/>
      <c r="H31" s="202"/>
      <c r="I31" s="202"/>
      <c r="J31" s="202"/>
      <c r="K31" s="202"/>
      <c r="L31" s="202"/>
      <c r="M31" s="202"/>
    </row>
    <row r="32" spans="3:23" ht="12.75" customHeight="1">
      <c r="C32" s="1"/>
      <c r="D32" s="1"/>
      <c r="E32" s="202" t="s">
        <v>86</v>
      </c>
      <c r="F32" s="202"/>
      <c r="G32" s="202"/>
      <c r="H32" s="202"/>
      <c r="I32" s="202"/>
      <c r="J32" s="202"/>
      <c r="K32" s="202"/>
      <c r="L32" s="202"/>
      <c r="M32" s="202"/>
    </row>
    <row r="33" spans="3:13" ht="12.75" customHeight="1">
      <c r="C33" s="1"/>
      <c r="D33" s="1"/>
      <c r="E33" s="202"/>
      <c r="F33" s="202"/>
      <c r="G33" s="202"/>
      <c r="H33" s="202"/>
      <c r="I33" s="202"/>
      <c r="J33" s="202"/>
      <c r="K33" s="202"/>
      <c r="L33" s="202"/>
      <c r="M33" s="202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K20:L20 G24 I24 K24 I2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M13" sqref="M13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Marzo 2021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6" t="s">
        <v>31</v>
      </c>
      <c r="D7" s="44"/>
      <c r="E7" s="48"/>
    </row>
    <row r="8" spans="2:12" s="38" customFormat="1" ht="12.75" customHeight="1">
      <c r="B8" s="46"/>
      <c r="C8" s="206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2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6" t="s">
        <v>28</v>
      </c>
      <c r="E24" s="42"/>
      <c r="J24" s="38"/>
      <c r="K24" s="38"/>
    </row>
    <row r="25" spans="2:12">
      <c r="C25" s="206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Marzo 2021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7" t="s">
        <v>32</v>
      </c>
      <c r="D7" s="64"/>
      <c r="E7" s="68"/>
    </row>
    <row r="8" spans="1:20" s="56" customFormat="1" ht="12.75" customHeight="1">
      <c r="A8" s="67"/>
      <c r="B8" s="66"/>
      <c r="C8" s="207"/>
      <c r="D8" s="64"/>
      <c r="E8" s="68"/>
      <c r="F8" s="63"/>
    </row>
    <row r="9" spans="1:20" s="56" customFormat="1" ht="12.75" customHeight="1">
      <c r="A9" s="67"/>
      <c r="B9" s="66"/>
      <c r="C9" s="207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88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108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H14" sqref="H14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Marzo 2021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6" t="s">
        <v>35</v>
      </c>
      <c r="D7" s="44"/>
      <c r="E7" s="48"/>
    </row>
    <row r="8" spans="2:12" s="38" customFormat="1" ht="12.75" customHeight="1">
      <c r="B8" s="46"/>
      <c r="C8" s="206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6" t="s">
        <v>49</v>
      </c>
      <c r="E24" s="42"/>
      <c r="J24" s="38"/>
      <c r="K24" s="38"/>
    </row>
    <row r="25" spans="2:12">
      <c r="C25" s="206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G33" sqref="G33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Marzo 2021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7" t="s">
        <v>36</v>
      </c>
      <c r="D7" s="64"/>
      <c r="E7" s="68"/>
    </row>
    <row r="8" spans="1:20" s="56" customFormat="1" ht="12.75" customHeight="1">
      <c r="A8" s="67"/>
      <c r="B8" s="66"/>
      <c r="C8" s="207"/>
      <c r="D8" s="64"/>
      <c r="E8" s="68"/>
      <c r="F8" s="63"/>
    </row>
    <row r="9" spans="1:20" s="56" customFormat="1" ht="12.75" customHeight="1">
      <c r="A9" s="67"/>
      <c r="B9" s="66"/>
      <c r="C9" s="207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89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108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2021-04-15T12:15:54Z</dcterms:modified>
</cp:coreProperties>
</file>