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R\INF_ELABORADA\"/>
    </mc:Choice>
  </mc:AlternateContent>
  <xr:revisionPtr revIDLastSave="0" documentId="13_ncr:1_{2447D5FD-ABB2-4B0C-A208-DDC1D17BF153}" xr6:coauthVersionLast="41" xr6:coauthVersionMax="45" xr10:uidLastSave="{00000000-0000-0000-0000-000000000000}"/>
  <bookViews>
    <workbookView xWindow="0" yWindow="0" windowWidth="20730" windowHeight="1116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state="hidden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Dat_01!$A$85:$R$112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8" l="1"/>
  <c r="C71" i="18" l="1"/>
  <c r="C79" i="18"/>
  <c r="C78" i="18"/>
  <c r="C77" i="18"/>
  <c r="C76" i="18"/>
  <c r="C75" i="18"/>
  <c r="C74" i="18"/>
  <c r="C73" i="18"/>
  <c r="C70" i="18"/>
  <c r="C69" i="18"/>
  <c r="C68" i="18"/>
  <c r="D68" i="18" l="1"/>
  <c r="D73" i="18"/>
  <c r="D77" i="18"/>
  <c r="D75" i="18"/>
  <c r="D69" i="18"/>
  <c r="D76" i="18"/>
  <c r="D78" i="18"/>
  <c r="D74" i="18"/>
  <c r="D70" i="18"/>
  <c r="C80" i="18"/>
  <c r="B70" i="18" s="1"/>
  <c r="B68" i="18" l="1"/>
  <c r="D71" i="18"/>
  <c r="B78" i="18"/>
  <c r="B73" i="18"/>
  <c r="B75" i="18"/>
  <c r="B77" i="18"/>
  <c r="B69" i="18"/>
  <c r="B79" i="18"/>
  <c r="B76" i="18"/>
  <c r="B74" i="18"/>
  <c r="B62" i="18"/>
  <c r="B61" i="18"/>
  <c r="B60" i="18"/>
  <c r="B59" i="18"/>
  <c r="B58" i="18"/>
  <c r="B57" i="18"/>
  <c r="B55" i="18"/>
  <c r="B53" i="18"/>
  <c r="B54" i="18"/>
  <c r="G52" i="18"/>
  <c r="G53" i="18"/>
  <c r="G54" i="18"/>
  <c r="G55" i="18"/>
  <c r="B71" i="18" l="1"/>
  <c r="B80" i="18" s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G77" i="18" l="1"/>
  <c r="G76" i="18"/>
  <c r="G75" i="18"/>
  <c r="G72" i="18"/>
  <c r="G73" i="18"/>
  <c r="G70" i="18"/>
  <c r="G69" i="18"/>
  <c r="G68" i="18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<sst xmlns="http://schemas.openxmlformats.org/spreadsheetml/2006/main" count="421" uniqueCount="129">
  <si>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</si>
  <si>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</si>
  <si>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</si>
  <si>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</si>
  <si>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</si>
  <si>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</si>
  <si>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</si>
  <si>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</si>
  <si>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</si>
  <si>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</si>
  <si>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</si>
  <si>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</si>
  <si>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</si>
  <si>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</si>
  <si>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</si>
  <si>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</si>
  <si>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</si>
  <si>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</si>
  <si>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</si>
  <si>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</si>
  <si>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</si>
  <si>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</si>
  <si>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</si>
  <si>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</si>
  <si>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</si>
  <si>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</si>
  <si>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</si>
  <si>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</si>
  <si>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</si>
  <si>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</si>
  <si>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</si>
  <si>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</si>
  <si>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</si>
  <si>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</si>
  <si>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</si>
  <si>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</si>
  <si>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</si>
  <si>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</si>
  <si>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</si>
  <si>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</si>
  <si>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</si>
  <si>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</si>
  <si>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</si>
  <si>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</si>
  <si>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</si>
  <si>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</si>
  <si>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</si>
  <si>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</si>
  <si>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</si>
  <si>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</si>
  <si>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</si>
  <si>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</si>
  <si>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</si>
  <si>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</si>
  <si>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</si>
  <si>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</si>
  <si>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</si>
  <si>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</si>
  <si>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</si>
  <si>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</si>
  <si>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</si>
  <si>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</si>
  <si>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</si>
  <si>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</si>
  <si>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</si>
  <si>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</si>
  <si>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</si>
  <si>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</si>
  <si>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</si>
  <si>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</si>
  <si>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</si>
  <si>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</si>
  <si>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</si>
  <si>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</si>
  <si>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</si>
  <si>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</si>
  <si>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</si>
  <si>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</si>
  <si>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</si>
  <si>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</si>
  <si>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</si>
  <si>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</si>
  <si>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</si>
  <si>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</si>
  <si>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</si>
  <si>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</si>
  <si>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</si>
  <si>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</si>
  <si>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</si>
  <si>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</si>
  <si>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</si>
  <si>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</si>
  <si>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</si>
  <si>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</si>
  <si>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</si>
  <si>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</si>
  <si>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</si>
  <si>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</si>
  <si>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</si>
  <si>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</si>
  <si>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</si>
  <si>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</si>
  <si>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</si>
  <si>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</si>
  <si>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</si>
  <si>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</si>
  <si>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</si>
  <si>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</si>
  <si>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</si>
  <si>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</si>
  <si>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</si>
  <si>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</si>
  <si>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</si>
  <si>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</si>
  <si>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</si>
  <si>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</si>
  <si>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</si>
  <si>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</si>
  <si>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</si>
  <si>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</si>
  <si>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</si>
  <si>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31/03/2020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</si>
  <si>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ut="04/09/2020 08:23:17" si="2.0000000182c94772d564c61dea8147805830a4cc99a09965d9dc1260f54f76b377abeba0e850f10f502d67d439d7d7ea378fb0173f8d33800bd4e65bf219eb473721bbd9a64170ae5e6ff03d8c69feb37e5746e4ecfb9a3e12eecf8d86d2ffc97662827dc1a37fb828dba402cbe542e2695ec43bfade845e76532fdc7b917ffea568.3082.0.1.Europe/Madrid.upriv*_1*_pidn2*_27*_session*-lat*_1.000000013430370a9a48ec7fde3d97ae89d92d95bc6025e093aa376b09ef376d02c3ce37960524a6b99ec73526e20f6358fe69ded7200a4e.000000016370552c1e2a156eaa32f399114d660dbc6025e0bb8c272d8edd9de96a7115de4ce5fa9462880d438296c54d79e91c1ab63729e7.0.1.1.BDEbi.D066E1C611E6257C10D00080EF253B44.0-3082.1.1_-0.1.0_-3082.1.1_5.5.0.*0.000000018130dabbd157f6352726d2817fa8056ec911585afe677266bc35a8088da189796d503779.0.10*.25*.15*.214.23.10*.4*.0400*.0074J.e.00000001495decf06a82492bd7807ef44691b1d3c911585aa1e837941ff7a066f7e14da92f305fcc.0" msgID="5A1D6C5211EA7A3B01740080EFD52AFE"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</si>
  <si>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08:24:10" si="2.0000000182c94772d564c61dea8147805830a4cc99a09965d9dc1260f54f76b377abeba0e850f10f502d67d439d7d7ea378fb0173f8d33800bd4e65bf219eb473721bbd9a64170ae5e6ff03d8c69feb37e5746e4ecfb9a3e12eecf8d86d2ffc97662827dc1a37fb828dba402cbe542e2695ec43bfade845e76532fdc7b917ffea568.3082.0.1.Europe/Madrid.upriv*_1*_pidn2*_27*_session*-lat*_1.000000013430370a9a48ec7fde3d97ae89d92d95bc6025e093aa376b09ef376d02c3ce37960524a6b99ec73526e20f6358fe69ded7200a4e.000000016370552c1e2a156eaa32f399114d660dbc6025e0bb8c272d8edd9de96a7115de4ce5fa9462880d438296c54d79e91c1ab63729e7.0.1.1.BDEbi.D066E1C611E6257C10D00080EF253B44.0-3082.1.1_-0.1.0_-3082.1.1_5.5.0.*0.000000018130dabbd157f6352726d2817fa8056ec911585afe677266bc35a8088da189796d503779.0.10*.25*.15*.214.23.10*.4*.0400*.0074J.e.00000001495decf06a82492bd7807ef44691b1d3c911585aa1e837941ff7a066f7e14da92f305fcc.0" msgID="652BF74F11EA7A3B01740080EFF56B00"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nrr="578" nrc="1088"&gt;&lt;pg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</si>
  <si>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Abril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</si>
  <si>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ut="04/09/2020 08:25:01" si="2.0000000182c94772d564c61dea8147805830a4cc99a09965d9dc1260f54f76b377abeba0e850f10f502d67d439d7d7ea378fb0173f8d33800bd4e65bf219eb473721bbd9a64170ae5e6ff03d8c69feb37e5746e4ecfb9a3e12eecf8d86d2ffc97662827dc1a37fb828dba402cbe542e2695ec43bfade845e76532fdc7b917ffea568.3082.0.1.Europe/Madrid.upriv*_1*_pidn2*_27*_session*-lat*_1.000000013430370a9a48ec7fde3d97ae89d92d95bc6025e093aa376b09ef376d02c3ce37960524a6b99ec73526e20f6358fe69ded7200a4e.000000016370552c1e2a156eaa32f399114d660dbc6025e0bb8c272d8edd9de96a7115de4ce5fa9462880d438296c54d79e91c1ab63729e7.0.1.1.BDEbi.D066E1C611E6257C10D00080EF253B44.0-3082.1.1_-0.1.0_-3082.1.1_5.5.0.*0.000000018130dabbd157f6352726d2817fa8056ec911585afe677266bc35a8088da189796d503779.0.10*.25*.15*.214.23.10*.4*.0400*.0074J.e.00000001495decf06a82492bd7807ef44691b1d3c911585aa1e837941ff7a066f7e14da92f305fcc.0" msgID="8FB3203D11EA7A3B01740080EF15AAFF"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cols="18" /&gt;&lt;esdo ews="" ece="" ptn="" /&gt;&lt;/excel&gt;&lt;pgs&gt;&lt;pg rows="25" cols="16" nrr="802" nrc="625"&gt;&lt;pg /&gt;&lt;bls&gt;&lt;bl sr="1" sc="1" rfetch="25" cfetch="16" posid="1" darows="0" dacols="1"&gt;&lt;excel&gt;&lt;epo ews="Dat_01" ece="A85" enr="MSTR.Serie_Balance_B.C._Mensual_Baleares_y_Canarias" ptn="" qtn="" rows="28" cols="18" /&gt;&lt;esdo ews="" ece="" ptn="" /&gt;&lt;/excel&gt;&lt;gridRng&gt;&lt;sect id="TITLE_AREA" rngprop="1:1:3:2" /&gt;&lt;sect id="ROWHEADERS_AREA" rngprop="4:1:25:2" /&gt;&lt;sect id="COLUMNHEADERS_AREA" rngprop="1:3:3:16" /&gt;&lt;sect id="DATA_AREA" rngprop="4:3:25:16"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</si>
  <si>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ut="04/09/2020 08:25:43" si="2.000000014c40dce3282652bf12cbbb435c6436c7acf4ffef723a8cf9d34182fbb905cdcf813355b292c5dcc75cb25c4d2fda3e243afb163e161e046edc4d606e0411da0013b874a28a355899672fc3caedc4d46a904fa186cf04bf2c4d69a1777ec59ab308e9ef1a8de734095179846b055f004af7d77db91d1119b1d2b25f3f16d7.3082.0.1.Europe/Madrid.upriv*_1*_pidn2*_27*_session*-lat*_1.00000001aa2526397219019727444c9ad2dc5831bc6025e0ac4414763c56b519c4660f498a2261788df592239a60dbab5ecf074471ef0f50.0000000184275425fd87f7261f8a2d2ad7932a44bc6025e02dc4c7b2cb26b7e52b0e6cc4acf2e6b13abc9277a3f06c37ed543e6e7d13222c.0.1.1.BDEbi.D066E1C611E6257C10D00080EF253B44.0-3082.1.1_-0.1.0_-3082.1.1_5.5.0.*0.00000001402c84ea26d8097c5d018d3a3b37d07fc911585a6e2e2dbe8ad68db359c45f44e2a20a89.0.10*.25*.15*.214.23.10*.4*.0400*.0074J.e.00000001048aab88067ed02f6302630eb3474e09c911585a05a7da7e4da90fd3303d682fa9de2c63.0" msgID="ADDBA4EF11EA7A3BA7030080EF851BAF"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nrr="9" nrc="120"&gt;&lt;pg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</si>
  <si>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6094e14ca9b84e82b16e9b67fcd2e213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</si>
  <si>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ut="04/09/2020 08:26:11" si="2.000000014c40dce3282652bf12cbbb435c6436c7acf4ffef723a8cf9d34182fbb905cdcf813355b292c5dcc75cb25c4d2fda3e243afb163e161e046edc4d606e0411da0013b874a28a355899672fc3caedc4d46a904fa186cf04bf2c4d69a1777ec59ab308e9ef1a8de734095179846b055f004af7d77db91d1119b1d2b25f3f16d7.3082.0.1.Europe/Madrid.upriv*_1*_pidn2*_27*_session*-lat*_1.00000001aa2526397219019727444c9ad2dc5831bc6025e0ac4414763c56b519c4660f498a2261788df592239a60dbab5ecf074471ef0f50.0000000184275425fd87f7261f8a2d2ad7932a44bc6025e02dc4c7b2cb26b7e52b0e6cc4acf2e6b13abc9277a3f06c37ed543e6e7d13222c.0.1.1.BDEbi.D066E1C611E6257C10D00080EF253B44.0-3082.1.1_-0.1.0_-3082.1.1_5.5.0.*0.00000001402c84ea26d8097c5d018d3a3b37d07fc911585a6e2e2dbe8ad68db359c45f44e2a20a89.0.10*.25*.15*.214.23.10*.4*.0400*.0074J.e.00000001048aab88067ed02f6302630eb3474e09c911585a05a7da7e4da90fd3303d682fa9de2c63.0" msgID="BF6ACDD411EA7A3BA7030080EF953AAD"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nrr="14" nrc="180"&gt;&lt;pg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</si>
</sst>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0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22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33" fillId="7" borderId="10" xfId="23" quotePrefix="1" applyAlignment="1">
      <alignment horizontal="center"/>
    </xf>
    <xf numFmtId="0" fontId="47" fillId="11" borderId="10" xfId="32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2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3.9</c:v>
                </c:pt>
                <c:pt idx="2">
                  <c:v>4.5999999999999996</c:v>
                </c:pt>
                <c:pt idx="3">
                  <c:v>55.3</c:v>
                </c:pt>
                <c:pt idx="5">
                  <c:v>0.9</c:v>
                </c:pt>
                <c:pt idx="6">
                  <c:v>2.6</c:v>
                </c:pt>
                <c:pt idx="7">
                  <c:v>2.6</c:v>
                </c:pt>
                <c:pt idx="8">
                  <c:v>0.1</c:v>
                </c:pt>
                <c:pt idx="9">
                  <c:v>2.2000000000000002</c:v>
                </c:pt>
                <c:pt idx="10">
                  <c:v>0</c:v>
                </c:pt>
                <c:pt idx="11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11.899999999999991</c:v>
                </c:pt>
                <c:pt idx="1">
                  <c:v>6.9</c:v>
                </c:pt>
                <c:pt idx="2">
                  <c:v>30</c:v>
                </c:pt>
                <c:pt idx="3">
                  <c:v>42.6</c:v>
                </c:pt>
                <c:pt idx="5">
                  <c:v>0.5</c:v>
                </c:pt>
                <c:pt idx="6">
                  <c:v>1.9</c:v>
                </c:pt>
                <c:pt idx="7">
                  <c:v>1.9</c:v>
                </c:pt>
                <c:pt idx="8">
                  <c:v>0.2</c:v>
                </c:pt>
                <c:pt idx="9">
                  <c:v>4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141.74739099999999</c:v>
                </c:pt>
                <c:pt idx="1">
                  <c:v>127.06355499999999</c:v>
                </c:pt>
                <c:pt idx="2">
                  <c:v>122.296505</c:v>
                </c:pt>
                <c:pt idx="3">
                  <c:v>98.710933999999995</c:v>
                </c:pt>
                <c:pt idx="4">
                  <c:v>173.44610299999999</c:v>
                </c:pt>
                <c:pt idx="5">
                  <c:v>257.56122599999998</c:v>
                </c:pt>
                <c:pt idx="6">
                  <c:v>239.89604299999999</c:v>
                </c:pt>
                <c:pt idx="7">
                  <c:v>190.859296</c:v>
                </c:pt>
                <c:pt idx="8">
                  <c:v>128.513947</c:v>
                </c:pt>
                <c:pt idx="9">
                  <c:v>137.71730099999999</c:v>
                </c:pt>
                <c:pt idx="10">
                  <c:v>-3.1773479999999998</c:v>
                </c:pt>
                <c:pt idx="11">
                  <c:v>-1.4407270000000001</c:v>
                </c:pt>
                <c:pt idx="12">
                  <c:v>-1.8682399999999999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51.184275999999997</c:v>
                </c:pt>
                <c:pt idx="1">
                  <c:v>60.374122999999997</c:v>
                </c:pt>
                <c:pt idx="2">
                  <c:v>65.895672000000005</c:v>
                </c:pt>
                <c:pt idx="3">
                  <c:v>89.729967000000002</c:v>
                </c:pt>
                <c:pt idx="4">
                  <c:v>140.89836099999999</c:v>
                </c:pt>
                <c:pt idx="5">
                  <c:v>139.42335</c:v>
                </c:pt>
                <c:pt idx="6">
                  <c:v>100.854845</c:v>
                </c:pt>
                <c:pt idx="7">
                  <c:v>70.492742000000007</c:v>
                </c:pt>
                <c:pt idx="8">
                  <c:v>55.934950000000001</c:v>
                </c:pt>
                <c:pt idx="9">
                  <c:v>39.850644000000003</c:v>
                </c:pt>
                <c:pt idx="10">
                  <c:v>46.988411999999997</c:v>
                </c:pt>
                <c:pt idx="11">
                  <c:v>37.597881999999998</c:v>
                </c:pt>
                <c:pt idx="12">
                  <c:v>34.678103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83.928335000000004</c:v>
                </c:pt>
                <c:pt idx="1">
                  <c:v>93.323053000000002</c:v>
                </c:pt>
                <c:pt idx="2">
                  <c:v>103.560644</c:v>
                </c:pt>
                <c:pt idx="3">
                  <c:v>148.873491</c:v>
                </c:pt>
                <c:pt idx="4">
                  <c:v>160.980031</c:v>
                </c:pt>
                <c:pt idx="5">
                  <c:v>81.694967000000005</c:v>
                </c:pt>
                <c:pt idx="6">
                  <c:v>37.844405000000002</c:v>
                </c:pt>
                <c:pt idx="7">
                  <c:v>49.054825999999998</c:v>
                </c:pt>
                <c:pt idx="8">
                  <c:v>98.891853999999995</c:v>
                </c:pt>
                <c:pt idx="9">
                  <c:v>97.225685999999996</c:v>
                </c:pt>
                <c:pt idx="10">
                  <c:v>247.42845600000001</c:v>
                </c:pt>
                <c:pt idx="11">
                  <c:v>226.17381</c:v>
                </c:pt>
                <c:pt idx="12">
                  <c:v>223.68889899999999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0.70238800000000001</c:v>
                </c:pt>
                <c:pt idx="1">
                  <c:v>0.63947100000000001</c:v>
                </c:pt>
                <c:pt idx="2">
                  <c:v>0.653721</c:v>
                </c:pt>
                <c:pt idx="3">
                  <c:v>0.34985300000000003</c:v>
                </c:pt>
                <c:pt idx="4">
                  <c:v>0.23036599999999999</c:v>
                </c:pt>
                <c:pt idx="5">
                  <c:v>0.347945</c:v>
                </c:pt>
                <c:pt idx="6">
                  <c:v>0.51373500000000005</c:v>
                </c:pt>
                <c:pt idx="7">
                  <c:v>0.402117</c:v>
                </c:pt>
                <c:pt idx="8">
                  <c:v>0.49518299999999998</c:v>
                </c:pt>
                <c:pt idx="9">
                  <c:v>0.44528499999999999</c:v>
                </c:pt>
                <c:pt idx="10">
                  <c:v>0.37082599999999999</c:v>
                </c:pt>
                <c:pt idx="11">
                  <c:v>0.33927600000000002</c:v>
                </c:pt>
                <c:pt idx="12">
                  <c:v>0.53315400000000002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11.382342</c:v>
                </c:pt>
                <c:pt idx="1">
                  <c:v>10.659026000000001</c:v>
                </c:pt>
                <c:pt idx="2">
                  <c:v>12.928163</c:v>
                </c:pt>
                <c:pt idx="3">
                  <c:v>13.303602</c:v>
                </c:pt>
                <c:pt idx="4">
                  <c:v>12.477155</c:v>
                </c:pt>
                <c:pt idx="5">
                  <c:v>12.245136</c:v>
                </c:pt>
                <c:pt idx="6">
                  <c:v>10.044699</c:v>
                </c:pt>
                <c:pt idx="7">
                  <c:v>9.1120260000000002</c:v>
                </c:pt>
                <c:pt idx="8">
                  <c:v>6.2902100000000001</c:v>
                </c:pt>
                <c:pt idx="9">
                  <c:v>5.905538</c:v>
                </c:pt>
                <c:pt idx="10">
                  <c:v>5.9310499999999999</c:v>
                </c:pt>
                <c:pt idx="11">
                  <c:v>8.7359240000000007</c:v>
                </c:pt>
                <c:pt idx="12">
                  <c:v>8.8984930000000002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0.111343</c:v>
                </c:pt>
                <c:pt idx="1">
                  <c:v>8.9931999999999998E-2</c:v>
                </c:pt>
                <c:pt idx="2">
                  <c:v>5.4199999999999998E-2</c:v>
                </c:pt>
                <c:pt idx="3">
                  <c:v>0.12551699999999999</c:v>
                </c:pt>
                <c:pt idx="4">
                  <c:v>9.8985000000000004E-2</c:v>
                </c:pt>
                <c:pt idx="5">
                  <c:v>8.3479999999999999E-2</c:v>
                </c:pt>
                <c:pt idx="6">
                  <c:v>1.2656000000000001E-2</c:v>
                </c:pt>
                <c:pt idx="7">
                  <c:v>9.9426E-2</c:v>
                </c:pt>
                <c:pt idx="8">
                  <c:v>9.2591999999999994E-2</c:v>
                </c:pt>
                <c:pt idx="9">
                  <c:v>0.18124699999999999</c:v>
                </c:pt>
                <c:pt idx="10">
                  <c:v>0.20147399999999999</c:v>
                </c:pt>
                <c:pt idx="11">
                  <c:v>8.1622E-2</c:v>
                </c:pt>
                <c:pt idx="12">
                  <c:v>2.6786999999999998E-2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3.2674569999999998</c:v>
                </c:pt>
                <c:pt idx="1">
                  <c:v>2.9153180000000001</c:v>
                </c:pt>
                <c:pt idx="2">
                  <c:v>2.2857509999999999</c:v>
                </c:pt>
                <c:pt idx="3">
                  <c:v>2.3003499999999999</c:v>
                </c:pt>
                <c:pt idx="4">
                  <c:v>1.194464</c:v>
                </c:pt>
                <c:pt idx="5">
                  <c:v>2.848757</c:v>
                </c:pt>
                <c:pt idx="6">
                  <c:v>2.8740579999999998</c:v>
                </c:pt>
                <c:pt idx="7">
                  <c:v>2.8082799999999999</c:v>
                </c:pt>
                <c:pt idx="8">
                  <c:v>3.3302809999999998</c:v>
                </c:pt>
                <c:pt idx="9">
                  <c:v>3.7760859999999998</c:v>
                </c:pt>
                <c:pt idx="10">
                  <c:v>4.0380969999999996</c:v>
                </c:pt>
                <c:pt idx="11">
                  <c:v>3.7449910000000002</c:v>
                </c:pt>
                <c:pt idx="12">
                  <c:v>3.4759910000000001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11.083662500000001</c:v>
                </c:pt>
                <c:pt idx="1">
                  <c:v>13.4563305</c:v>
                </c:pt>
                <c:pt idx="2">
                  <c:v>13.087209</c:v>
                </c:pt>
                <c:pt idx="3">
                  <c:v>13.341946</c:v>
                </c:pt>
                <c:pt idx="4">
                  <c:v>14.4424645</c:v>
                </c:pt>
                <c:pt idx="5">
                  <c:v>12.562136000000001</c:v>
                </c:pt>
                <c:pt idx="6">
                  <c:v>13.691565000000001</c:v>
                </c:pt>
                <c:pt idx="7">
                  <c:v>14.954476</c:v>
                </c:pt>
                <c:pt idx="8">
                  <c:v>13.874806</c:v>
                </c:pt>
                <c:pt idx="9">
                  <c:v>8.5480964999999998</c:v>
                </c:pt>
                <c:pt idx="10">
                  <c:v>9.2619229999999995</c:v>
                </c:pt>
                <c:pt idx="11">
                  <c:v>6.0955329999999996</c:v>
                </c:pt>
                <c:pt idx="12">
                  <c:v>10.531687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11.083662500000001</c:v>
                </c:pt>
                <c:pt idx="1">
                  <c:v>13.4563305</c:v>
                </c:pt>
                <c:pt idx="2">
                  <c:v>13.087209</c:v>
                </c:pt>
                <c:pt idx="3">
                  <c:v>13.341946</c:v>
                </c:pt>
                <c:pt idx="4">
                  <c:v>14.4424645</c:v>
                </c:pt>
                <c:pt idx="5">
                  <c:v>12.562136000000001</c:v>
                </c:pt>
                <c:pt idx="6">
                  <c:v>13.691565000000001</c:v>
                </c:pt>
                <c:pt idx="7">
                  <c:v>14.954476</c:v>
                </c:pt>
                <c:pt idx="8">
                  <c:v>13.874806</c:v>
                </c:pt>
                <c:pt idx="9">
                  <c:v>8.5480964999999998</c:v>
                </c:pt>
                <c:pt idx="10">
                  <c:v>9.2619229999999995</c:v>
                </c:pt>
                <c:pt idx="11">
                  <c:v>6.0955329999999996</c:v>
                </c:pt>
                <c:pt idx="12">
                  <c:v>10.531687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122.32533599999999</c:v>
                </c:pt>
                <c:pt idx="1">
                  <c:v>124.430774</c:v>
                </c:pt>
                <c:pt idx="2">
                  <c:v>143.16130000000001</c:v>
                </c:pt>
                <c:pt idx="3">
                  <c:v>159.634671</c:v>
                </c:pt>
                <c:pt idx="4">
                  <c:v>201.16611399999999</c:v>
                </c:pt>
                <c:pt idx="5">
                  <c:v>185.76976199999999</c:v>
                </c:pt>
                <c:pt idx="6">
                  <c:v>153.19726600000001</c:v>
                </c:pt>
                <c:pt idx="7">
                  <c:v>137.66557</c:v>
                </c:pt>
                <c:pt idx="8">
                  <c:v>91.396833999999998</c:v>
                </c:pt>
                <c:pt idx="9">
                  <c:v>119.614278</c:v>
                </c:pt>
                <c:pt idx="10">
                  <c:v>136.155901</c:v>
                </c:pt>
                <c:pt idx="11">
                  <c:v>115.92849699999999</c:v>
                </c:pt>
                <c:pt idx="12">
                  <c:v>112.780382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22764227642276424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9349606299212599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19.7</c:v>
                </c:pt>
                <c:pt idx="1">
                  <c:v>1.8</c:v>
                </c:pt>
                <c:pt idx="2">
                  <c:v>16.7</c:v>
                </c:pt>
                <c:pt idx="3">
                  <c:v>44.199999999999996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14.2</c:v>
                </c:pt>
                <c:pt idx="8">
                  <c:v>3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0.298315</c:v>
                </c:pt>
                <c:pt idx="1">
                  <c:v>0.29675299999999999</c:v>
                </c:pt>
                <c:pt idx="2">
                  <c:v>0.30594199999999999</c:v>
                </c:pt>
                <c:pt idx="3">
                  <c:v>0.27668100000000001</c:v>
                </c:pt>
                <c:pt idx="4">
                  <c:v>0.29841899999999999</c:v>
                </c:pt>
                <c:pt idx="5">
                  <c:v>0.29929</c:v>
                </c:pt>
                <c:pt idx="6">
                  <c:v>0.28253899999999998</c:v>
                </c:pt>
                <c:pt idx="7">
                  <c:v>0.297543</c:v>
                </c:pt>
                <c:pt idx="8">
                  <c:v>0.29652299999999998</c:v>
                </c:pt>
                <c:pt idx="9">
                  <c:v>0.29914499999999999</c:v>
                </c:pt>
                <c:pt idx="10">
                  <c:v>0.30431399999999997</c:v>
                </c:pt>
                <c:pt idx="11">
                  <c:v>0.26768999999999998</c:v>
                </c:pt>
                <c:pt idx="12">
                  <c:v>0.29889900000000003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389.165864</c:v>
                </c:pt>
                <c:pt idx="1">
                  <c:v>377.02406300000001</c:v>
                </c:pt>
                <c:pt idx="2">
                  <c:v>375.43118500000003</c:v>
                </c:pt>
                <c:pt idx="3">
                  <c:v>392.00518099999999</c:v>
                </c:pt>
                <c:pt idx="4">
                  <c:v>310.36124699999999</c:v>
                </c:pt>
                <c:pt idx="5">
                  <c:v>307.670436</c:v>
                </c:pt>
                <c:pt idx="6">
                  <c:v>349.34223900000001</c:v>
                </c:pt>
                <c:pt idx="7">
                  <c:v>355.37539000000004</c:v>
                </c:pt>
                <c:pt idx="8">
                  <c:v>354.636663</c:v>
                </c:pt>
                <c:pt idx="9">
                  <c:v>357.24838199999999</c:v>
                </c:pt>
                <c:pt idx="10">
                  <c:v>339.84719799999999</c:v>
                </c:pt>
                <c:pt idx="11">
                  <c:v>310.92523399999999</c:v>
                </c:pt>
                <c:pt idx="12">
                  <c:v>260.14058899999998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224.52281400000001</c:v>
                </c:pt>
                <c:pt idx="1">
                  <c:v>229.693647</c:v>
                </c:pt>
                <c:pt idx="2">
                  <c:v>220.83250000000001</c:v>
                </c:pt>
                <c:pt idx="3">
                  <c:v>222.51747599999999</c:v>
                </c:pt>
                <c:pt idx="4">
                  <c:v>262.048877</c:v>
                </c:pt>
                <c:pt idx="5">
                  <c:v>290.23648900000001</c:v>
                </c:pt>
                <c:pt idx="6">
                  <c:v>276.37973799999997</c:v>
                </c:pt>
                <c:pt idx="7">
                  <c:v>305.83225499999998</c:v>
                </c:pt>
                <c:pt idx="8">
                  <c:v>233.08126999999999</c:v>
                </c:pt>
                <c:pt idx="9">
                  <c:v>301.90038800000002</c:v>
                </c:pt>
                <c:pt idx="10">
                  <c:v>336.41169600000001</c:v>
                </c:pt>
                <c:pt idx="11">
                  <c:v>279.07848200000001</c:v>
                </c:pt>
                <c:pt idx="12">
                  <c:v>300.75480199999998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1.955158</c:v>
                </c:pt>
                <c:pt idx="1">
                  <c:v>1.5483690000000001</c:v>
                </c:pt>
                <c:pt idx="2">
                  <c:v>2.031012</c:v>
                </c:pt>
                <c:pt idx="3">
                  <c:v>1.3721410000000001</c:v>
                </c:pt>
                <c:pt idx="4">
                  <c:v>3.727338</c:v>
                </c:pt>
                <c:pt idx="5">
                  <c:v>3.4751189999999998</c:v>
                </c:pt>
                <c:pt idx="6">
                  <c:v>2.2183510000000002</c:v>
                </c:pt>
                <c:pt idx="7">
                  <c:v>1.582837</c:v>
                </c:pt>
                <c:pt idx="8">
                  <c:v>2.0965220000000002</c:v>
                </c:pt>
                <c:pt idx="9">
                  <c:v>1.15967</c:v>
                </c:pt>
                <c:pt idx="10">
                  <c:v>0.82455000000000001</c:v>
                </c:pt>
                <c:pt idx="11">
                  <c:v>1.3385149999999999</c:v>
                </c:pt>
                <c:pt idx="12">
                  <c:v>1.8236140000000001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96.842352000000005</c:v>
                </c:pt>
                <c:pt idx="1">
                  <c:v>67.113055000000003</c:v>
                </c:pt>
                <c:pt idx="2">
                  <c:v>95.432451</c:v>
                </c:pt>
                <c:pt idx="3">
                  <c:v>74.330708999999999</c:v>
                </c:pt>
                <c:pt idx="4">
                  <c:v>158.18352999999999</c:v>
                </c:pt>
                <c:pt idx="5">
                  <c:v>158.502759</c:v>
                </c:pt>
                <c:pt idx="6">
                  <c:v>100.47458899999999</c:v>
                </c:pt>
                <c:pt idx="7">
                  <c:v>89.262077000000005</c:v>
                </c:pt>
                <c:pt idx="8">
                  <c:v>125.115903</c:v>
                </c:pt>
                <c:pt idx="9">
                  <c:v>68.820522999999994</c:v>
                </c:pt>
                <c:pt idx="10">
                  <c:v>59.057060999999997</c:v>
                </c:pt>
                <c:pt idx="11">
                  <c:v>93.063980000000001</c:v>
                </c:pt>
                <c:pt idx="12">
                  <c:v>96.827404999999999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24.927766999999999</c:v>
                </c:pt>
                <c:pt idx="1">
                  <c:v>24.572315</c:v>
                </c:pt>
                <c:pt idx="2">
                  <c:v>29.457906000000001</c:v>
                </c:pt>
                <c:pt idx="3">
                  <c:v>23.361749</c:v>
                </c:pt>
                <c:pt idx="4">
                  <c:v>29.608312000000002</c:v>
                </c:pt>
                <c:pt idx="5">
                  <c:v>27.737331000000001</c:v>
                </c:pt>
                <c:pt idx="6">
                  <c:v>23.467742000000001</c:v>
                </c:pt>
                <c:pt idx="7">
                  <c:v>20.840191999999998</c:v>
                </c:pt>
                <c:pt idx="8">
                  <c:v>18.276879999999998</c:v>
                </c:pt>
                <c:pt idx="9">
                  <c:v>17.266753999999999</c:v>
                </c:pt>
                <c:pt idx="10">
                  <c:v>18.372709</c:v>
                </c:pt>
                <c:pt idx="11">
                  <c:v>20.147513</c:v>
                </c:pt>
                <c:pt idx="12">
                  <c:v>20.449840999999999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mar.-19</c:v>
                </c:pt>
                <c:pt idx="1">
                  <c:v>abr.-19</c:v>
                </c:pt>
                <c:pt idx="2">
                  <c:v>may.-19</c:v>
                </c:pt>
                <c:pt idx="3">
                  <c:v>jun.-19</c:v>
                </c:pt>
                <c:pt idx="4">
                  <c:v>jul.-19</c:v>
                </c:pt>
                <c:pt idx="5">
                  <c:v>ago.-19</c:v>
                </c:pt>
                <c:pt idx="6">
                  <c:v>sep.-19</c:v>
                </c:pt>
                <c:pt idx="7">
                  <c:v>oct.-19</c:v>
                </c:pt>
                <c:pt idx="8">
                  <c:v>nov.-19</c:v>
                </c:pt>
                <c:pt idx="9">
                  <c:v>dic.-19</c:v>
                </c:pt>
                <c:pt idx="10">
                  <c:v>ene.-20</c:v>
                </c:pt>
                <c:pt idx="11">
                  <c:v>feb.-20</c:v>
                </c:pt>
                <c:pt idx="12">
                  <c:v>mar.-20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0.90107099999999996</c:v>
                </c:pt>
                <c:pt idx="1">
                  <c:v>0.89633300000000005</c:v>
                </c:pt>
                <c:pt idx="2">
                  <c:v>0.94455500000000003</c:v>
                </c:pt>
                <c:pt idx="3">
                  <c:v>0.82330000000000003</c:v>
                </c:pt>
                <c:pt idx="4">
                  <c:v>0.917458</c:v>
                </c:pt>
                <c:pt idx="5">
                  <c:v>0.71267199999999997</c:v>
                </c:pt>
                <c:pt idx="6">
                  <c:v>0.43661899999999998</c:v>
                </c:pt>
                <c:pt idx="7">
                  <c:v>0.57729399999999997</c:v>
                </c:pt>
                <c:pt idx="8">
                  <c:v>0.87303399999999998</c:v>
                </c:pt>
                <c:pt idx="9">
                  <c:v>0.90510599999999997</c:v>
                </c:pt>
                <c:pt idx="10">
                  <c:v>0.87627999999999995</c:v>
                </c:pt>
                <c:pt idx="11">
                  <c:v>0.84570599999999996</c:v>
                </c:pt>
                <c:pt idx="12">
                  <c:v>0.82166799999999995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H9" sqref="H9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Marzo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4" sqref="D144:O144"/>
    </sheetView>
  </sheetViews>
  <sheetFormatPr baseColWidth="10" defaultColWidth="11.42578125" defaultRowHeight="12"/>
  <cols>
    <col min="1" max="1" width="9.1406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119</v>
      </c>
      <c r="B2" s="144" t="s">
        <v>121</v>
      </c>
    </row>
    <row r="4" spans="1:33" ht="15">
      <c r="A4" s="145" t="s">
        <v>67</v>
      </c>
      <c r="B4" s="203" t="s">
        <v>119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33" ht="15">
      <c r="A5" s="145" t="s">
        <v>68</v>
      </c>
      <c r="B5" s="219" t="s">
        <v>15</v>
      </c>
      <c r="C5" s="220"/>
      <c r="D5" s="220"/>
      <c r="E5" s="220"/>
      <c r="F5" s="220"/>
      <c r="G5" s="220"/>
      <c r="H5" s="220"/>
      <c r="I5" s="221"/>
      <c r="J5" s="219" t="s">
        <v>14</v>
      </c>
      <c r="K5" s="220"/>
      <c r="L5" s="220"/>
      <c r="M5" s="220"/>
      <c r="N5" s="220"/>
      <c r="O5" s="220"/>
      <c r="P5" s="220"/>
      <c r="Q5" s="221"/>
      <c r="R5" s="219" t="s">
        <v>57</v>
      </c>
      <c r="S5" s="220"/>
      <c r="T5" s="220"/>
      <c r="U5" s="220"/>
      <c r="V5" s="220"/>
      <c r="W5" s="220"/>
      <c r="X5" s="220"/>
      <c r="Y5" s="221"/>
      <c r="Z5" s="219" t="s">
        <v>58</v>
      </c>
      <c r="AA5" s="220"/>
      <c r="AB5" s="220"/>
      <c r="AC5" s="220"/>
      <c r="AD5" s="220"/>
      <c r="AE5" s="220"/>
      <c r="AF5" s="220"/>
      <c r="AG5" s="220"/>
    </row>
    <row r="6" spans="1:33">
      <c r="A6" s="145" t="s">
        <v>69</v>
      </c>
      <c r="B6" s="188" t="s">
        <v>59</v>
      </c>
      <c r="C6" s="188" t="s">
        <v>60</v>
      </c>
      <c r="D6" s="188" t="s">
        <v>61</v>
      </c>
      <c r="E6" s="188" t="s">
        <v>62</v>
      </c>
      <c r="F6" s="188" t="s">
        <v>63</v>
      </c>
      <c r="G6" s="188" t="s">
        <v>64</v>
      </c>
      <c r="H6" s="188" t="s">
        <v>65</v>
      </c>
      <c r="I6" s="188" t="s">
        <v>66</v>
      </c>
      <c r="J6" s="188" t="s">
        <v>59</v>
      </c>
      <c r="K6" s="188" t="s">
        <v>60</v>
      </c>
      <c r="L6" s="188" t="s">
        <v>61</v>
      </c>
      <c r="M6" s="188" t="s">
        <v>62</v>
      </c>
      <c r="N6" s="188" t="s">
        <v>63</v>
      </c>
      <c r="O6" s="188" t="s">
        <v>64</v>
      </c>
      <c r="P6" s="188" t="s">
        <v>65</v>
      </c>
      <c r="Q6" s="188" t="s">
        <v>66</v>
      </c>
      <c r="R6" s="188" t="s">
        <v>59</v>
      </c>
      <c r="S6" s="188" t="s">
        <v>60</v>
      </c>
      <c r="T6" s="188" t="s">
        <v>61</v>
      </c>
      <c r="U6" s="188" t="s">
        <v>62</v>
      </c>
      <c r="V6" s="188" t="s">
        <v>63</v>
      </c>
      <c r="W6" s="188" t="s">
        <v>64</v>
      </c>
      <c r="X6" s="188" t="s">
        <v>65</v>
      </c>
      <c r="Y6" s="188" t="s">
        <v>66</v>
      </c>
      <c r="Z6" s="188" t="s">
        <v>59</v>
      </c>
      <c r="AA6" s="188" t="s">
        <v>60</v>
      </c>
      <c r="AB6" s="188" t="s">
        <v>61</v>
      </c>
      <c r="AC6" s="188" t="s">
        <v>62</v>
      </c>
      <c r="AD6" s="188" t="s">
        <v>63</v>
      </c>
      <c r="AE6" s="188" t="s">
        <v>64</v>
      </c>
      <c r="AF6" s="188" t="s">
        <v>65</v>
      </c>
      <c r="AG6" s="188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298.899</v>
      </c>
      <c r="AA8" s="158">
        <v>298.315</v>
      </c>
      <c r="AB8" s="151">
        <v>1.9576621999999998E-3</v>
      </c>
      <c r="AC8" s="158">
        <v>870.90300000000002</v>
      </c>
      <c r="AD8" s="158">
        <v>856.28</v>
      </c>
      <c r="AE8" s="151">
        <v>1.7077357899999999E-2</v>
      </c>
      <c r="AF8" s="158">
        <v>3523.7379999999998</v>
      </c>
      <c r="AG8" s="151">
        <v>3.9594386000000002E-3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-1868.24</v>
      </c>
      <c r="S9" s="158">
        <v>141747.391</v>
      </c>
      <c r="T9" s="151" t="s">
        <v>3</v>
      </c>
      <c r="U9" s="158">
        <v>-6486.3149999999996</v>
      </c>
      <c r="V9" s="158">
        <v>523875.04800000001</v>
      </c>
      <c r="W9" s="151">
        <v>-1.0123814162</v>
      </c>
      <c r="X9" s="158">
        <v>1469578.595</v>
      </c>
      <c r="Y9" s="151">
        <v>-0.36886634190000001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16607.366999999998</v>
      </c>
      <c r="C10" s="158">
        <v>16597.608</v>
      </c>
      <c r="D10" s="151">
        <v>5.8797630000000003E-4</v>
      </c>
      <c r="E10" s="158">
        <v>50210.413999999997</v>
      </c>
      <c r="F10" s="158">
        <v>50446.337</v>
      </c>
      <c r="G10" s="151">
        <v>-4.6767121999999996E-3</v>
      </c>
      <c r="H10" s="158">
        <v>205728.30300000001</v>
      </c>
      <c r="I10" s="151">
        <v>6.1864372000000004E-3</v>
      </c>
      <c r="J10" s="158">
        <v>14637.923000000001</v>
      </c>
      <c r="K10" s="158">
        <v>15537.657999999999</v>
      </c>
      <c r="L10" s="151">
        <v>-5.7906732099999997E-2</v>
      </c>
      <c r="M10" s="158">
        <v>47258.213000000003</v>
      </c>
      <c r="N10" s="158">
        <v>47941.129000000001</v>
      </c>
      <c r="O10" s="151">
        <v>-1.42448877E-2</v>
      </c>
      <c r="P10" s="158">
        <v>199326.33199999999</v>
      </c>
      <c r="Q10" s="151">
        <v>-9.6465717000000003E-3</v>
      </c>
      <c r="R10" s="158">
        <v>15845.757</v>
      </c>
      <c r="S10" s="158">
        <v>16635.785</v>
      </c>
      <c r="T10" s="151">
        <v>-4.7489673599999997E-2</v>
      </c>
      <c r="U10" s="158">
        <v>61220.328000000001</v>
      </c>
      <c r="V10" s="158">
        <v>78424.960000000006</v>
      </c>
      <c r="W10" s="151">
        <v>-0.21937699429999999</v>
      </c>
      <c r="X10" s="158">
        <v>446034.27600000001</v>
      </c>
      <c r="Y10" s="151">
        <v>-0.26070944089999998</v>
      </c>
      <c r="Z10" s="158">
        <v>133865.02100000001</v>
      </c>
      <c r="AA10" s="158">
        <v>161027.22899999999</v>
      </c>
      <c r="AB10" s="151">
        <v>-0.1686808384</v>
      </c>
      <c r="AC10" s="158">
        <v>470394.50699999998</v>
      </c>
      <c r="AD10" s="158">
        <v>488138.35800000001</v>
      </c>
      <c r="AE10" s="151">
        <v>-3.6350044400000003E-2</v>
      </c>
      <c r="AF10" s="158">
        <v>1932201.2649999999</v>
      </c>
      <c r="AG10" s="151">
        <v>-7.2442554800000003E-2</v>
      </c>
    </row>
    <row r="11" spans="1:33">
      <c r="A11" s="144" t="s">
        <v>9</v>
      </c>
      <c r="B11" s="158">
        <v>0.82899999999999996</v>
      </c>
      <c r="C11" s="158">
        <v>0.627</v>
      </c>
      <c r="D11" s="151">
        <v>0.32216905899999998</v>
      </c>
      <c r="E11" s="158">
        <v>2.9060000000000001</v>
      </c>
      <c r="F11" s="158">
        <v>1.6639999999999999</v>
      </c>
      <c r="G11" s="151">
        <v>0.7463942308</v>
      </c>
      <c r="H11" s="158">
        <v>85.256</v>
      </c>
      <c r="I11" s="151">
        <v>-0.2436546872</v>
      </c>
      <c r="J11" s="158">
        <v>1.9179999999999999</v>
      </c>
      <c r="K11" s="158">
        <v>1.012</v>
      </c>
      <c r="L11" s="151">
        <v>0.89525691699999999</v>
      </c>
      <c r="M11" s="158">
        <v>3.88</v>
      </c>
      <c r="N11" s="158">
        <v>2.0859999999999999</v>
      </c>
      <c r="O11" s="151">
        <v>0.86001917549999995</v>
      </c>
      <c r="P11" s="158">
        <v>22.800999999999998</v>
      </c>
      <c r="Q11" s="151">
        <v>0.45007631650000002</v>
      </c>
      <c r="R11" s="158">
        <v>18832.346000000001</v>
      </c>
      <c r="S11" s="158">
        <v>34548.491000000002</v>
      </c>
      <c r="T11" s="151">
        <v>-0.45490105489999999</v>
      </c>
      <c r="U11" s="158">
        <v>58044.069000000003</v>
      </c>
      <c r="V11" s="158">
        <v>79673.839000000007</v>
      </c>
      <c r="W11" s="151">
        <v>-0.27147894810000001</v>
      </c>
      <c r="X11" s="158">
        <v>419860.97100000002</v>
      </c>
      <c r="Y11" s="151">
        <v>-0.36757112089999999</v>
      </c>
      <c r="Z11" s="158">
        <v>12226.844999999999</v>
      </c>
      <c r="AA11" s="158">
        <v>19078.325000000001</v>
      </c>
      <c r="AB11" s="151">
        <v>-0.35912377000000001</v>
      </c>
      <c r="AC11" s="158">
        <v>51202.125999999997</v>
      </c>
      <c r="AD11" s="158">
        <v>59966.222000000002</v>
      </c>
      <c r="AE11" s="151">
        <v>-0.14615054459999999</v>
      </c>
      <c r="AF11" s="158">
        <v>220172.21900000001</v>
      </c>
      <c r="AG11" s="151">
        <v>-0.1927920692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114048.723</v>
      </c>
      <c r="AA12" s="158">
        <v>209060.31</v>
      </c>
      <c r="AB12" s="151">
        <v>-0.45446975090000002</v>
      </c>
      <c r="AC12" s="158">
        <v>389316.38799999998</v>
      </c>
      <c r="AD12" s="158">
        <v>640692.73300000001</v>
      </c>
      <c r="AE12" s="151">
        <v>-0.39235086029999999</v>
      </c>
      <c r="AF12" s="158">
        <v>1937634.3230000001</v>
      </c>
      <c r="AG12" s="151">
        <v>-0.2123847633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223688.899</v>
      </c>
      <c r="S13" s="158">
        <v>83928.335000000006</v>
      </c>
      <c r="T13" s="151">
        <v>1.6652369429</v>
      </c>
      <c r="U13" s="158">
        <v>697291.16500000004</v>
      </c>
      <c r="V13" s="158">
        <v>173742.62</v>
      </c>
      <c r="W13" s="151">
        <v>3.0133570278000001</v>
      </c>
      <c r="X13" s="158">
        <v>1568740.122</v>
      </c>
      <c r="Y13" s="151">
        <v>1.4303079225999999</v>
      </c>
      <c r="Z13" s="158">
        <v>300754.80200000003</v>
      </c>
      <c r="AA13" s="158">
        <v>224522.81400000001</v>
      </c>
      <c r="AB13" s="151">
        <v>0.33952891750000003</v>
      </c>
      <c r="AC13" s="158">
        <v>916244.98</v>
      </c>
      <c r="AD13" s="158">
        <v>710994.91</v>
      </c>
      <c r="AE13" s="151">
        <v>0.28868008350000002</v>
      </c>
      <c r="AF13" s="158">
        <v>3258767.62</v>
      </c>
      <c r="AG13" s="151">
        <v>6.7727617300000001E-2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16823.804</v>
      </c>
      <c r="Y14" s="151">
        <v>0.31295195679999999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1823.614</v>
      </c>
      <c r="AA15" s="158">
        <v>1955.1579999999999</v>
      </c>
      <c r="AB15" s="151">
        <v>-6.7280495999999995E-2</v>
      </c>
      <c r="AC15" s="158">
        <v>3986.6790000000001</v>
      </c>
      <c r="AD15" s="158">
        <v>4037.3589999999999</v>
      </c>
      <c r="AE15" s="151">
        <v>-1.25527604E-2</v>
      </c>
      <c r="AF15" s="158">
        <v>23198.038</v>
      </c>
      <c r="AG15" s="151">
        <v>5.05734963E-2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533.154</v>
      </c>
      <c r="S16" s="158">
        <v>702.38800000000003</v>
      </c>
      <c r="T16" s="151">
        <v>-0.2409409045</v>
      </c>
      <c r="U16" s="158">
        <v>1243.2560000000001</v>
      </c>
      <c r="V16" s="158">
        <v>2007.144</v>
      </c>
      <c r="W16" s="151">
        <v>-0.38058455200000002</v>
      </c>
      <c r="X16" s="158">
        <v>5320.9319999999998</v>
      </c>
      <c r="Y16" s="151">
        <v>0.1127608596</v>
      </c>
      <c r="Z16" s="158">
        <v>96827.404999999999</v>
      </c>
      <c r="AA16" s="158">
        <v>96842.351999999999</v>
      </c>
      <c r="AB16" s="151">
        <v>-1.543436E-4</v>
      </c>
      <c r="AC16" s="158">
        <v>248948.446</v>
      </c>
      <c r="AD16" s="158">
        <v>200971.715</v>
      </c>
      <c r="AE16" s="151">
        <v>0.2387237975</v>
      </c>
      <c r="AF16" s="158">
        <v>1186184.0419999999</v>
      </c>
      <c r="AG16" s="151">
        <v>0.7720909386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0</v>
      </c>
      <c r="K17" s="158">
        <v>6.5609999999999999</v>
      </c>
      <c r="L17" s="151">
        <v>-1</v>
      </c>
      <c r="M17" s="158">
        <v>10.119</v>
      </c>
      <c r="N17" s="158">
        <v>17.14</v>
      </c>
      <c r="O17" s="151">
        <v>-0.40962660439999998</v>
      </c>
      <c r="P17" s="158">
        <v>73.352000000000004</v>
      </c>
      <c r="Q17" s="151">
        <v>-9.8539456000000004E-3</v>
      </c>
      <c r="R17" s="158">
        <v>8898.4930000000004</v>
      </c>
      <c r="S17" s="158">
        <v>11382.342000000001</v>
      </c>
      <c r="T17" s="151">
        <v>-0.21821950179999999</v>
      </c>
      <c r="U17" s="158">
        <v>23565.467000000001</v>
      </c>
      <c r="V17" s="158">
        <v>28026.400000000001</v>
      </c>
      <c r="W17" s="151">
        <v>-0.15916896210000001</v>
      </c>
      <c r="X17" s="158">
        <v>116531.022</v>
      </c>
      <c r="Y17" s="151">
        <v>-2.0084261900000001E-2</v>
      </c>
      <c r="Z17" s="158">
        <v>20449.841</v>
      </c>
      <c r="AA17" s="158">
        <v>24927.767</v>
      </c>
      <c r="AB17" s="151">
        <v>-0.17963606609999999</v>
      </c>
      <c r="AC17" s="158">
        <v>58970.063000000002</v>
      </c>
      <c r="AD17" s="158">
        <v>64190.311000000002</v>
      </c>
      <c r="AE17" s="151">
        <v>-8.1324547600000005E-2</v>
      </c>
      <c r="AF17" s="158">
        <v>273559.24400000001</v>
      </c>
      <c r="AG17" s="151">
        <v>-2.2995242999999999E-3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26.786999999999999</v>
      </c>
      <c r="S18" s="158">
        <v>111.343</v>
      </c>
      <c r="T18" s="151">
        <v>-0.75941909240000005</v>
      </c>
      <c r="U18" s="158">
        <v>309.88299999999998</v>
      </c>
      <c r="V18" s="158">
        <v>301.33199999999999</v>
      </c>
      <c r="W18" s="151">
        <v>2.8377337999999998E-2</v>
      </c>
      <c r="X18" s="158">
        <v>1147.9179999999999</v>
      </c>
      <c r="Y18" s="151">
        <v>7.8709102700000005E-2</v>
      </c>
      <c r="Z18" s="158">
        <v>821.66800000000001</v>
      </c>
      <c r="AA18" s="158">
        <v>901.07100000000003</v>
      </c>
      <c r="AB18" s="151">
        <v>-8.8120691900000006E-2</v>
      </c>
      <c r="AC18" s="158">
        <v>2543.654</v>
      </c>
      <c r="AD18" s="158">
        <v>2687.1979999999999</v>
      </c>
      <c r="AE18" s="151">
        <v>-5.3417723600000001E-2</v>
      </c>
      <c r="AF18" s="158">
        <v>9630.0249999999996</v>
      </c>
      <c r="AG18" s="151">
        <v>2.7476112300000001E-2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3475.991</v>
      </c>
      <c r="S19" s="158">
        <v>3267.4569999999999</v>
      </c>
      <c r="T19" s="151">
        <v>6.3821497899999996E-2</v>
      </c>
      <c r="U19" s="158">
        <v>11259.079</v>
      </c>
      <c r="V19" s="158">
        <v>10092.540000000001</v>
      </c>
      <c r="W19" s="151">
        <v>0.115584283</v>
      </c>
      <c r="X19" s="158">
        <v>35592.423999999999</v>
      </c>
      <c r="Y19" s="151">
        <v>-2.5016285100000001E-2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544.75549999999998</v>
      </c>
      <c r="K20" s="158">
        <v>538.43399999999997</v>
      </c>
      <c r="L20" s="151">
        <v>1.1740529E-2</v>
      </c>
      <c r="M20" s="158">
        <v>1043.569</v>
      </c>
      <c r="N20" s="158">
        <v>1577.5550000000001</v>
      </c>
      <c r="O20" s="151">
        <v>-0.3384896248</v>
      </c>
      <c r="P20" s="158">
        <v>4863.0124999999998</v>
      </c>
      <c r="Q20" s="151">
        <v>-9.8543594600000006E-2</v>
      </c>
      <c r="R20" s="158">
        <v>10531.687</v>
      </c>
      <c r="S20" s="158">
        <v>11083.6625</v>
      </c>
      <c r="T20" s="151">
        <v>-4.9800821699999998E-2</v>
      </c>
      <c r="U20" s="158">
        <v>25889.143</v>
      </c>
      <c r="V20" s="158">
        <v>27504.231500000002</v>
      </c>
      <c r="W20" s="151">
        <v>-5.8721455300000003E-2</v>
      </c>
      <c r="X20" s="158">
        <v>143848.17249999999</v>
      </c>
      <c r="Y20" s="151">
        <v>2.6572230200000001E-2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544.75549999999998</v>
      </c>
      <c r="K21" s="158">
        <v>538.43399999999997</v>
      </c>
      <c r="L21" s="151">
        <v>1.1740529E-2</v>
      </c>
      <c r="M21" s="158">
        <v>1043.569</v>
      </c>
      <c r="N21" s="158">
        <v>1577.5550000000001</v>
      </c>
      <c r="O21" s="151">
        <v>-0.3384896248</v>
      </c>
      <c r="P21" s="158">
        <v>4863.0124999999998</v>
      </c>
      <c r="Q21" s="151">
        <v>-9.8543594600000006E-2</v>
      </c>
      <c r="R21" s="158">
        <v>10531.687</v>
      </c>
      <c r="S21" s="158">
        <v>11083.6625</v>
      </c>
      <c r="T21" s="151">
        <v>-4.9800821699999998E-2</v>
      </c>
      <c r="U21" s="158">
        <v>25889.143</v>
      </c>
      <c r="V21" s="158">
        <v>27504.231500000002</v>
      </c>
      <c r="W21" s="151">
        <v>-5.8721455300000003E-2</v>
      </c>
      <c r="X21" s="158">
        <v>143848.17249999999</v>
      </c>
      <c r="Y21" s="151">
        <v>2.6572230200000001E-2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16608.196</v>
      </c>
      <c r="C22" s="159">
        <v>16598.235000000001</v>
      </c>
      <c r="D22" s="152">
        <v>6.0012399999999995E-4</v>
      </c>
      <c r="E22" s="159">
        <v>50213.32</v>
      </c>
      <c r="F22" s="159">
        <v>50448.000999999997</v>
      </c>
      <c r="G22" s="152">
        <v>-4.6519385000000002E-3</v>
      </c>
      <c r="H22" s="159">
        <v>205813.55900000001</v>
      </c>
      <c r="I22" s="152">
        <v>6.0487752999999998E-3</v>
      </c>
      <c r="J22" s="159">
        <v>15729.352000000001</v>
      </c>
      <c r="K22" s="159">
        <v>16622.098999999998</v>
      </c>
      <c r="L22" s="152">
        <v>-5.3708439599999998E-2</v>
      </c>
      <c r="M22" s="159">
        <v>49359.35</v>
      </c>
      <c r="N22" s="159">
        <v>51115.464999999997</v>
      </c>
      <c r="O22" s="152">
        <v>-3.4355845099999997E-2</v>
      </c>
      <c r="P22" s="159">
        <v>209148.51</v>
      </c>
      <c r="Q22" s="152">
        <v>-1.4133639200000001E-2</v>
      </c>
      <c r="R22" s="159">
        <v>290496.56099999999</v>
      </c>
      <c r="S22" s="159">
        <v>314490.85700000002</v>
      </c>
      <c r="T22" s="152">
        <v>-7.6295687000000001E-2</v>
      </c>
      <c r="U22" s="159">
        <v>898225.21799999999</v>
      </c>
      <c r="V22" s="159">
        <v>951152.34600000002</v>
      </c>
      <c r="W22" s="152">
        <v>-5.5645268800000001E-2</v>
      </c>
      <c r="X22" s="159">
        <v>4367326.409</v>
      </c>
      <c r="Y22" s="152">
        <v>-6.9893624299999998E-2</v>
      </c>
      <c r="Z22" s="159">
        <v>681116.81799999997</v>
      </c>
      <c r="AA22" s="159">
        <v>738613.34100000001</v>
      </c>
      <c r="AB22" s="152">
        <v>-7.7843872800000005E-2</v>
      </c>
      <c r="AC22" s="159">
        <v>2142477.7459999998</v>
      </c>
      <c r="AD22" s="159">
        <v>2172535.0860000001</v>
      </c>
      <c r="AE22" s="152">
        <v>-1.3835146E-2</v>
      </c>
      <c r="AF22" s="159">
        <v>8844870.5140000004</v>
      </c>
      <c r="AG22" s="152">
        <v>-1.9263909999999999E-4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112780.382</v>
      </c>
      <c r="S23" s="158">
        <v>122325.336</v>
      </c>
      <c r="T23" s="151">
        <v>-7.8029248199999998E-2</v>
      </c>
      <c r="U23" s="158">
        <v>364864.78</v>
      </c>
      <c r="V23" s="158">
        <v>378803.95299999998</v>
      </c>
      <c r="W23" s="151">
        <v>-3.67978552E-2</v>
      </c>
      <c r="X23" s="158">
        <v>1680901.3489999999</v>
      </c>
      <c r="Y23" s="151">
        <v>0.25818983620000002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16608.196</v>
      </c>
      <c r="C24" s="159">
        <v>16598.235000000001</v>
      </c>
      <c r="D24" s="152">
        <v>6.0012399999999995E-4</v>
      </c>
      <c r="E24" s="159">
        <v>50213.32</v>
      </c>
      <c r="F24" s="159">
        <v>50448.000999999997</v>
      </c>
      <c r="G24" s="152">
        <v>-4.6519385000000002E-3</v>
      </c>
      <c r="H24" s="159">
        <v>205813.55900000001</v>
      </c>
      <c r="I24" s="152">
        <v>6.0487752999999998E-3</v>
      </c>
      <c r="J24" s="159">
        <v>15729.352000000001</v>
      </c>
      <c r="K24" s="159">
        <v>16622.098999999998</v>
      </c>
      <c r="L24" s="152">
        <v>-5.3708439599999998E-2</v>
      </c>
      <c r="M24" s="159">
        <v>49359.35</v>
      </c>
      <c r="N24" s="159">
        <v>51115.464999999997</v>
      </c>
      <c r="O24" s="152">
        <v>-3.4355845099999997E-2</v>
      </c>
      <c r="P24" s="159">
        <v>209148.51</v>
      </c>
      <c r="Q24" s="152">
        <v>-1.4133639200000001E-2</v>
      </c>
      <c r="R24" s="159">
        <v>403276.94300000003</v>
      </c>
      <c r="S24" s="159">
        <v>436816.19300000003</v>
      </c>
      <c r="T24" s="152">
        <v>-7.6781150800000003E-2</v>
      </c>
      <c r="U24" s="159">
        <v>1263089.9979999999</v>
      </c>
      <c r="V24" s="159">
        <v>1329956.2990000001</v>
      </c>
      <c r="W24" s="152">
        <v>-5.0277066299999999E-2</v>
      </c>
      <c r="X24" s="159">
        <v>6048227.7580000004</v>
      </c>
      <c r="Y24" s="152">
        <v>2.7765898000000002E-3</v>
      </c>
      <c r="Z24" s="159">
        <v>681116.81799999997</v>
      </c>
      <c r="AA24" s="159">
        <v>738613.34100000001</v>
      </c>
      <c r="AB24" s="152">
        <v>-7.7843872800000005E-2</v>
      </c>
      <c r="AC24" s="159">
        <v>2142477.7459999998</v>
      </c>
      <c r="AD24" s="159">
        <v>2172535.0860000001</v>
      </c>
      <c r="AE24" s="152">
        <v>-1.3835146E-2</v>
      </c>
      <c r="AF24" s="159">
        <v>8844870.5140000004</v>
      </c>
      <c r="AG24" s="152">
        <v>-1.9263909999999999E-4</v>
      </c>
    </row>
    <row r="26" spans="1:33">
      <c r="A26" s="111" t="s">
        <v>114</v>
      </c>
      <c r="B26" s="181">
        <f>SUM(B24,J24,R24,Z24)</f>
        <v>1116731.3089999999</v>
      </c>
      <c r="C26" s="181">
        <f>SUM(C24,K24,S24,AA24)</f>
        <v>1208649.868</v>
      </c>
      <c r="D26" s="182">
        <f>((B26/C26)-1)*100</f>
        <v>-7.6050609389550772</v>
      </c>
    </row>
    <row r="29" spans="1:33" ht="15">
      <c r="A29" s="145" t="s">
        <v>67</v>
      </c>
      <c r="B29" s="203" t="str">
        <f>A2</f>
        <v>Marzo 2020</v>
      </c>
      <c r="C29" s="204"/>
    </row>
    <row r="30" spans="1:33" ht="15">
      <c r="A30" s="145" t="s">
        <v>69</v>
      </c>
      <c r="B30" s="215" t="s">
        <v>72</v>
      </c>
      <c r="C30" s="216"/>
    </row>
    <row r="31" spans="1:33">
      <c r="A31" s="143" t="s">
        <v>68</v>
      </c>
      <c r="B31" s="179" t="s">
        <v>57</v>
      </c>
      <c r="C31" s="179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80.871014999999844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2015.8755150000004</v>
      </c>
      <c r="C47" s="180">
        <f>SUM(C33:C46)</f>
        <v>3012.8281449999995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100-SUM(C53:C62)</f>
        <v>11.899999999999991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 t="shared" ref="B53:B54" si="0">B35</f>
        <v>139.4</v>
      </c>
      <c r="C53" s="116">
        <f>ROUND(B53/$B$63*100,1)</f>
        <v>6.9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 t="shared" si="0"/>
        <v>605.4</v>
      </c>
      <c r="C54" s="116">
        <f t="shared" ref="C54:C62" si="1">ROUND(B54/$B$63*100,1)</f>
        <v>30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1"/>
        <v>42.6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2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1"/>
        <v>0.5</v>
      </c>
      <c r="F57" s="114" t="s">
        <v>12</v>
      </c>
      <c r="G57" s="116">
        <f>C33</f>
        <v>2.02</v>
      </c>
      <c r="H57" s="116">
        <f t="shared" si="2"/>
        <v>0.1</v>
      </c>
    </row>
    <row r="58" spans="1:8">
      <c r="A58" s="114" t="s">
        <v>55</v>
      </c>
      <c r="B58" s="115">
        <f>B46</f>
        <v>37.400000000000006</v>
      </c>
      <c r="C58" s="116">
        <f t="shared" si="1"/>
        <v>1.9</v>
      </c>
      <c r="F58" s="114" t="s">
        <v>6</v>
      </c>
      <c r="G58" s="115">
        <f>C40</f>
        <v>11.39</v>
      </c>
      <c r="H58" s="116">
        <f t="shared" si="2"/>
        <v>0.4</v>
      </c>
    </row>
    <row r="59" spans="1:8">
      <c r="A59" s="114" t="s">
        <v>54</v>
      </c>
      <c r="B59" s="115">
        <f>B45</f>
        <v>37.400000000000006</v>
      </c>
      <c r="C59" s="116">
        <f t="shared" si="1"/>
        <v>1.9</v>
      </c>
      <c r="F59" s="114" t="s">
        <v>5</v>
      </c>
      <c r="G59" s="115">
        <f>C41</f>
        <v>428.71499999999997</v>
      </c>
      <c r="H59" s="116">
        <f t="shared" si="2"/>
        <v>14.2</v>
      </c>
    </row>
    <row r="60" spans="1:8">
      <c r="A60" s="114" t="s">
        <v>5</v>
      </c>
      <c r="B60" s="115">
        <f>B41</f>
        <v>3.6374999999999909</v>
      </c>
      <c r="C60" s="116">
        <f t="shared" si="1"/>
        <v>0.2</v>
      </c>
      <c r="F60" s="114" t="s">
        <v>4</v>
      </c>
      <c r="G60" s="115">
        <f>C42</f>
        <v>167.10714499999966</v>
      </c>
      <c r="H60" s="116">
        <f t="shared" si="2"/>
        <v>5.5</v>
      </c>
    </row>
    <row r="61" spans="1:8">
      <c r="A61" s="114" t="s">
        <v>4</v>
      </c>
      <c r="B61" s="115">
        <f>B42</f>
        <v>80.871014999999844</v>
      </c>
      <c r="C61" s="116">
        <f t="shared" si="1"/>
        <v>4</v>
      </c>
      <c r="F61" s="114" t="s">
        <v>22</v>
      </c>
      <c r="G61" s="115">
        <f>C43</f>
        <v>3.6960000000000002</v>
      </c>
      <c r="H61" s="116">
        <f t="shared" si="2"/>
        <v>0.1</v>
      </c>
    </row>
    <row r="62" spans="1:8">
      <c r="A62" s="114" t="s">
        <v>22</v>
      </c>
      <c r="B62" s="115">
        <f>B43</f>
        <v>2.13</v>
      </c>
      <c r="C62" s="116">
        <f t="shared" si="1"/>
        <v>0.1</v>
      </c>
      <c r="F62" s="117" t="s">
        <v>20</v>
      </c>
      <c r="G62" s="118">
        <f>SUM(G52:G61)</f>
        <v>3012.8281449999999</v>
      </c>
      <c r="H62" s="119">
        <f>SUM(H52:H61)</f>
        <v>100</v>
      </c>
    </row>
    <row r="63" spans="1:8">
      <c r="A63" s="117" t="s">
        <v>20</v>
      </c>
      <c r="B63" s="118">
        <f>SUM(B52:B62)</f>
        <v>2015.8755150000004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ROUND((C68/$C$80)*100,1)</f>
        <v>0</v>
      </c>
      <c r="C68" s="115">
        <f>IF(R9&lt;0,0)</f>
        <v>0</v>
      </c>
      <c r="D68" s="184">
        <f>ROUND((C68/SUM($C$68:$C$78))*100,1)</f>
        <v>0</v>
      </c>
      <c r="F68" s="114" t="s">
        <v>10</v>
      </c>
      <c r="G68" s="116">
        <f>ROUND((Z10/Z$24)*100,1)</f>
        <v>19.7</v>
      </c>
    </row>
    <row r="69" spans="1:7">
      <c r="A69" s="114" t="s">
        <v>10</v>
      </c>
      <c r="B69" s="116">
        <f t="shared" ref="B69:B70" si="3">ROUND((C69/$C$80)*100,1)</f>
        <v>3.9</v>
      </c>
      <c r="C69" s="115">
        <f>R10</f>
        <v>15845.757</v>
      </c>
      <c r="D69" s="184">
        <f t="shared" ref="D69:D70" si="4">ROUND((C69/SUM($C$68:$C$78))*100,1)</f>
        <v>5.4</v>
      </c>
      <c r="F69" s="114" t="s">
        <v>9</v>
      </c>
      <c r="G69" s="116">
        <f>ROUND((Z11/Z$24)*100,1)</f>
        <v>1.8</v>
      </c>
    </row>
    <row r="70" spans="1:7">
      <c r="A70" s="114" t="s">
        <v>9</v>
      </c>
      <c r="B70" s="116">
        <f t="shared" si="3"/>
        <v>4.5999999999999996</v>
      </c>
      <c r="C70" s="115">
        <f>R11</f>
        <v>18832.346000000001</v>
      </c>
      <c r="D70" s="184">
        <f t="shared" si="4"/>
        <v>6.4</v>
      </c>
      <c r="F70" s="114" t="s">
        <v>8</v>
      </c>
      <c r="G70" s="116">
        <f>ROUND((Z12/Z$24)*100,1)</f>
        <v>16.7</v>
      </c>
    </row>
    <row r="71" spans="1:7">
      <c r="A71" s="114" t="s">
        <v>25</v>
      </c>
      <c r="B71" s="116">
        <f>100-SUM(B68:B70,B73:B79)</f>
        <v>55.3</v>
      </c>
      <c r="C71" s="115">
        <f>R13</f>
        <v>223688.899</v>
      </c>
      <c r="D71" s="184">
        <f>100-SUM(D68:D70,D73:D78)</f>
        <v>76.599999999999994</v>
      </c>
      <c r="F71" s="114" t="s">
        <v>25</v>
      </c>
      <c r="G71" s="116">
        <f>100-SUM(G68:G70,G72:G77)</f>
        <v>44.199999999999996</v>
      </c>
    </row>
    <row r="72" spans="1:7">
      <c r="A72" s="114"/>
      <c r="B72" s="116"/>
      <c r="C72" s="115"/>
      <c r="D72" s="185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ROUND((C73/$C$80)*100,1)</f>
        <v>0.9</v>
      </c>
      <c r="C73" s="115">
        <f>R19</f>
        <v>3475.991</v>
      </c>
      <c r="D73" s="184">
        <f>ROUND((C73/SUM($C$68:$C$78))*100,1)</f>
        <v>1.2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 t="shared" ref="B74:B79" si="5">ROUND((C74/$C$80)*100,1)</f>
        <v>2.6</v>
      </c>
      <c r="C74" s="115">
        <f>R21</f>
        <v>10531.687</v>
      </c>
      <c r="D74" s="184">
        <f t="shared" ref="D74:D78" si="6">ROUND((C74/SUM($C$68:$C$78))*100,1)</f>
        <v>3.6</v>
      </c>
      <c r="F74" s="114" t="s">
        <v>6</v>
      </c>
      <c r="G74" s="116">
        <f>ROUND((Z15/Z$24)*100,1)</f>
        <v>0.3</v>
      </c>
    </row>
    <row r="75" spans="1:7">
      <c r="A75" s="114" t="s">
        <v>54</v>
      </c>
      <c r="B75" s="116">
        <f t="shared" si="5"/>
        <v>2.6</v>
      </c>
      <c r="C75" s="115">
        <f>R20</f>
        <v>10531.687</v>
      </c>
      <c r="D75" s="184">
        <f t="shared" si="6"/>
        <v>3.6</v>
      </c>
      <c r="F75" s="114" t="s">
        <v>5</v>
      </c>
      <c r="G75" s="116">
        <f>ROUND((Z16/Z$24)*100,1)</f>
        <v>14.2</v>
      </c>
    </row>
    <row r="76" spans="1:7">
      <c r="A76" s="114" t="s">
        <v>5</v>
      </c>
      <c r="B76" s="116">
        <f t="shared" si="5"/>
        <v>0.1</v>
      </c>
      <c r="C76" s="115">
        <f>R16</f>
        <v>533.154</v>
      </c>
      <c r="D76" s="184">
        <f t="shared" si="6"/>
        <v>0.2</v>
      </c>
      <c r="F76" s="114" t="s">
        <v>4</v>
      </c>
      <c r="G76" s="116">
        <f>ROUND((Z17/Z$24)*100,1)</f>
        <v>3</v>
      </c>
    </row>
    <row r="77" spans="1:7">
      <c r="A77" s="114" t="s">
        <v>4</v>
      </c>
      <c r="B77" s="116">
        <f t="shared" si="5"/>
        <v>2.2000000000000002</v>
      </c>
      <c r="C77" s="115">
        <f>R17</f>
        <v>8898.4930000000004</v>
      </c>
      <c r="D77" s="184">
        <f t="shared" si="6"/>
        <v>3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 t="shared" si="5"/>
        <v>0</v>
      </c>
      <c r="C78" s="115">
        <f>R18</f>
        <v>26.786999999999999</v>
      </c>
      <c r="D78" s="184">
        <f t="shared" si="6"/>
        <v>0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 t="shared" si="5"/>
        <v>27.8</v>
      </c>
      <c r="C79" s="115">
        <f>R23</f>
        <v>112780.382</v>
      </c>
    </row>
    <row r="80" spans="1:7">
      <c r="A80" s="117" t="s">
        <v>20</v>
      </c>
      <c r="B80" s="119">
        <f>SUM(B68:B79)</f>
        <v>99.999999999999986</v>
      </c>
      <c r="C80" s="118">
        <f>SUM(C68:C79)</f>
        <v>405145.18299999996</v>
      </c>
    </row>
    <row r="85" spans="1:26" ht="15">
      <c r="A85" s="145"/>
      <c r="B85" s="145" t="s">
        <v>69</v>
      </c>
      <c r="C85" s="217" t="s">
        <v>13</v>
      </c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6" t="s">
        <v>80</v>
      </c>
      <c r="D86" s="186" t="s">
        <v>81</v>
      </c>
      <c r="E86" s="186" t="s">
        <v>82</v>
      </c>
      <c r="F86" s="186" t="s">
        <v>83</v>
      </c>
      <c r="G86" s="186" t="s">
        <v>84</v>
      </c>
      <c r="H86" s="186" t="s">
        <v>85</v>
      </c>
      <c r="I86" s="186" t="s">
        <v>94</v>
      </c>
      <c r="J86" s="186" t="s">
        <v>97</v>
      </c>
      <c r="K86" s="186" t="s">
        <v>98</v>
      </c>
      <c r="L86" s="186" t="s">
        <v>112</v>
      </c>
      <c r="M86" s="186" t="s">
        <v>113</v>
      </c>
      <c r="N86" s="186" t="s">
        <v>115</v>
      </c>
      <c r="O86" s="186" t="s">
        <v>116</v>
      </c>
      <c r="P86" s="186" t="s">
        <v>117</v>
      </c>
      <c r="Q86" s="186" t="s">
        <v>119</v>
      </c>
      <c r="R86" s="186" t="s">
        <v>124</v>
      </c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/>
      <c r="T87"/>
      <c r="U87"/>
      <c r="V87"/>
      <c r="W87"/>
      <c r="X87"/>
      <c r="Y87"/>
      <c r="Z87"/>
    </row>
    <row r="88" spans="1:26" ht="15">
      <c r="A88" s="214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-1.4407270000000001</v>
      </c>
      <c r="Q88" s="147">
        <v>-1.8682399999999999</v>
      </c>
      <c r="R88" s="147">
        <v>0</v>
      </c>
      <c r="S88"/>
      <c r="T88"/>
      <c r="U88"/>
      <c r="V88"/>
      <c r="W88"/>
      <c r="X88"/>
      <c r="Y88"/>
      <c r="Z88"/>
    </row>
    <row r="89" spans="1:26" ht="15">
      <c r="A89" s="212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5.3597049999999999</v>
      </c>
      <c r="S89"/>
      <c r="T89"/>
      <c r="U89"/>
      <c r="V89"/>
      <c r="W89"/>
      <c r="X89"/>
      <c r="Y89"/>
      <c r="Z89"/>
    </row>
    <row r="90" spans="1:26" ht="15">
      <c r="A90" s="212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18.832346000000001</v>
      </c>
      <c r="R90" s="147">
        <v>4.0539800000000001</v>
      </c>
      <c r="S90"/>
      <c r="T90"/>
      <c r="U90"/>
      <c r="V90"/>
      <c r="W90"/>
      <c r="X90"/>
      <c r="Y90"/>
      <c r="Z90"/>
    </row>
    <row r="91" spans="1:26" ht="15">
      <c r="A91" s="212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223.68889899999999</v>
      </c>
      <c r="R91" s="147">
        <v>52.089803000000003</v>
      </c>
      <c r="S91"/>
      <c r="T91"/>
      <c r="U91"/>
      <c r="V91"/>
      <c r="W91"/>
      <c r="X91"/>
      <c r="Y91"/>
      <c r="Z91"/>
    </row>
    <row r="92" spans="1:26" ht="15">
      <c r="A92" s="212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4.0689979999999997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/>
      <c r="T92"/>
      <c r="U92"/>
      <c r="V92"/>
      <c r="W92"/>
      <c r="X92"/>
      <c r="Y92"/>
      <c r="Z92"/>
    </row>
    <row r="93" spans="1:26" ht="15">
      <c r="A93" s="212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7.0269999999999999E-2</v>
      </c>
      <c r="S93"/>
      <c r="T93"/>
      <c r="U93"/>
      <c r="V93"/>
      <c r="W93"/>
      <c r="X93"/>
      <c r="Y93"/>
      <c r="Z93"/>
    </row>
    <row r="94" spans="1:26" ht="15">
      <c r="A94" s="212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13.303602</v>
      </c>
      <c r="I94" s="147">
        <v>12.477155</v>
      </c>
      <c r="J94" s="147">
        <v>12.245136</v>
      </c>
      <c r="K94" s="147">
        <v>10.044699</v>
      </c>
      <c r="L94" s="147">
        <v>9.1120260000000002</v>
      </c>
      <c r="M94" s="147">
        <v>6.2902100000000001</v>
      </c>
      <c r="N94" s="147">
        <v>5.905538</v>
      </c>
      <c r="O94" s="147">
        <v>5.9310499999999999</v>
      </c>
      <c r="P94" s="147">
        <v>8.7359240000000007</v>
      </c>
      <c r="Q94" s="147">
        <v>8.8984930000000002</v>
      </c>
      <c r="R94" s="147">
        <v>2.8652000000000002</v>
      </c>
      <c r="S94"/>
      <c r="T94"/>
      <c r="U94"/>
      <c r="V94"/>
      <c r="W94"/>
      <c r="X94"/>
      <c r="Y94"/>
      <c r="Z94"/>
    </row>
    <row r="95" spans="1:26" ht="15">
      <c r="A95" s="212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8.0000000000000002E-3</v>
      </c>
      <c r="S95"/>
      <c r="T95"/>
      <c r="U95"/>
      <c r="V95"/>
      <c r="W95"/>
      <c r="X95"/>
      <c r="Y95"/>
      <c r="Z95"/>
    </row>
    <row r="96" spans="1:26" ht="15">
      <c r="A96" s="212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0.86019999999999996</v>
      </c>
      <c r="S96"/>
      <c r="T96"/>
      <c r="U96"/>
      <c r="V96"/>
      <c r="W96"/>
      <c r="X96"/>
      <c r="Y96"/>
      <c r="Z96"/>
    </row>
    <row r="97" spans="1:26" ht="15">
      <c r="A97" s="212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1.5609999999999999</v>
      </c>
      <c r="S97"/>
      <c r="T97"/>
      <c r="U97"/>
      <c r="V97"/>
      <c r="W97"/>
      <c r="X97"/>
      <c r="Y97"/>
      <c r="Z97"/>
    </row>
    <row r="98" spans="1:26" ht="15">
      <c r="A98" s="212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1.5609999999999999</v>
      </c>
      <c r="S98"/>
      <c r="T98"/>
      <c r="U98"/>
      <c r="V98"/>
      <c r="W98"/>
      <c r="X98"/>
      <c r="Y98"/>
      <c r="Z98"/>
    </row>
    <row r="99" spans="1:26" ht="15">
      <c r="A99" s="212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380.077606</v>
      </c>
      <c r="I99" s="150">
        <v>518.21039399999995</v>
      </c>
      <c r="J99" s="150">
        <v>519.32913299999996</v>
      </c>
      <c r="K99" s="150">
        <v>419.42357099999998</v>
      </c>
      <c r="L99" s="150">
        <v>352.73766499999999</v>
      </c>
      <c r="M99" s="150">
        <v>321.29862900000001</v>
      </c>
      <c r="N99" s="150">
        <v>302.19797999999997</v>
      </c>
      <c r="O99" s="150">
        <v>320.30481300000002</v>
      </c>
      <c r="P99" s="150">
        <v>287.42384399999997</v>
      </c>
      <c r="Q99" s="150">
        <v>290.49656099999999</v>
      </c>
      <c r="R99" s="150">
        <v>68.429158000000001</v>
      </c>
      <c r="S99"/>
      <c r="T99"/>
      <c r="U99"/>
      <c r="V99"/>
      <c r="W99"/>
      <c r="X99"/>
      <c r="Y99"/>
      <c r="Z99"/>
    </row>
    <row r="100" spans="1:26" ht="15">
      <c r="A100" s="212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23.146999999999998</v>
      </c>
      <c r="S100"/>
      <c r="T100"/>
      <c r="U100"/>
      <c r="V100"/>
      <c r="W100"/>
      <c r="X100"/>
      <c r="Y100"/>
      <c r="Z100"/>
    </row>
    <row r="101" spans="1:26" ht="15">
      <c r="A101" s="213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539.71227699999997</v>
      </c>
      <c r="I101" s="150">
        <v>719.37650799999994</v>
      </c>
      <c r="J101" s="150">
        <v>705.09889499999997</v>
      </c>
      <c r="K101" s="150">
        <v>572.62083700000005</v>
      </c>
      <c r="L101" s="150">
        <v>490.403235</v>
      </c>
      <c r="M101" s="150">
        <v>412.69546300000002</v>
      </c>
      <c r="N101" s="150">
        <v>421.81225799999999</v>
      </c>
      <c r="O101" s="150">
        <v>456.460714</v>
      </c>
      <c r="P101" s="150">
        <v>403.35234100000002</v>
      </c>
      <c r="Q101" s="150">
        <v>403.27694300000002</v>
      </c>
      <c r="R101" s="150">
        <v>91.576158000000007</v>
      </c>
      <c r="S101"/>
      <c r="T101"/>
      <c r="U101"/>
      <c r="V101"/>
      <c r="W101"/>
      <c r="X101"/>
      <c r="Y101"/>
      <c r="Z101"/>
    </row>
    <row r="102" spans="1:26" ht="15">
      <c r="A102" s="211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0.29889900000000003</v>
      </c>
      <c r="R102" s="147">
        <v>2.972E-2</v>
      </c>
      <c r="S102"/>
      <c r="T102"/>
      <c r="U102"/>
      <c r="V102"/>
      <c r="W102"/>
      <c r="X102"/>
      <c r="Y102"/>
      <c r="Z102"/>
    </row>
    <row r="103" spans="1:26" ht="15">
      <c r="A103" s="212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160.705896</v>
      </c>
      <c r="Q103" s="147">
        <v>133.86502100000001</v>
      </c>
      <c r="R103" s="147">
        <v>32.150039999999997</v>
      </c>
      <c r="S103"/>
      <c r="T103"/>
      <c r="U103"/>
      <c r="V103"/>
      <c r="W103"/>
      <c r="X103"/>
      <c r="Y103"/>
      <c r="Z103"/>
    </row>
    <row r="104" spans="1:26" ht="15">
      <c r="A104" s="212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2.030465</v>
      </c>
      <c r="S104"/>
      <c r="T104"/>
      <c r="U104"/>
      <c r="V104"/>
      <c r="W104"/>
      <c r="X104"/>
      <c r="Y104"/>
      <c r="Z104"/>
    </row>
    <row r="105" spans="1:26" ht="15">
      <c r="A105" s="212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22.167327</v>
      </c>
      <c r="S105"/>
      <c r="T105"/>
      <c r="U105"/>
      <c r="V105"/>
      <c r="W105"/>
      <c r="X105"/>
      <c r="Y105"/>
      <c r="Z105"/>
    </row>
    <row r="106" spans="1:26" ht="15">
      <c r="A106" s="212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77.548484000000002</v>
      </c>
      <c r="S106"/>
      <c r="T106"/>
      <c r="U106"/>
      <c r="V106"/>
      <c r="W106"/>
      <c r="X106"/>
      <c r="Y106"/>
      <c r="Z106"/>
    </row>
    <row r="107" spans="1:26" ht="15">
      <c r="A107" s="212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6.8043999999999993E-2</v>
      </c>
      <c r="S107"/>
      <c r="T107"/>
      <c r="U107"/>
      <c r="V107"/>
      <c r="W107"/>
      <c r="X107"/>
      <c r="Y107"/>
      <c r="Z107"/>
    </row>
    <row r="108" spans="1:26" ht="15">
      <c r="A108" s="212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158.18352999999999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68.820522999999994</v>
      </c>
      <c r="O108" s="147">
        <v>59.057060999999997</v>
      </c>
      <c r="P108" s="147">
        <v>93.063980000000001</v>
      </c>
      <c r="Q108" s="147">
        <v>96.827404999999999</v>
      </c>
      <c r="R108" s="147">
        <v>9.1652769999999997</v>
      </c>
      <c r="S108"/>
      <c r="T108"/>
      <c r="U108"/>
      <c r="V108"/>
      <c r="W108"/>
      <c r="X108"/>
      <c r="Y108"/>
      <c r="Z108"/>
    </row>
    <row r="109" spans="1:26" ht="15">
      <c r="A109" s="212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23.361749</v>
      </c>
      <c r="I109" s="147">
        <v>29.608312000000002</v>
      </c>
      <c r="J109" s="147">
        <v>27.737331000000001</v>
      </c>
      <c r="K109" s="147">
        <v>23.467742000000001</v>
      </c>
      <c r="L109" s="147">
        <v>20.840191999999998</v>
      </c>
      <c r="M109" s="147">
        <v>18.276879999999998</v>
      </c>
      <c r="N109" s="147">
        <v>17.266753999999999</v>
      </c>
      <c r="O109" s="147">
        <v>18.372709</v>
      </c>
      <c r="P109" s="147">
        <v>20.147513</v>
      </c>
      <c r="Q109" s="147">
        <v>20.449840999999999</v>
      </c>
      <c r="R109" s="147">
        <v>5.0508069999999998</v>
      </c>
      <c r="S109"/>
      <c r="T109"/>
      <c r="U109"/>
      <c r="V109"/>
      <c r="W109"/>
      <c r="X109"/>
      <c r="Y109"/>
      <c r="Z109"/>
    </row>
    <row r="110" spans="1:26" ht="15">
      <c r="A110" s="212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0.82166799999999995</v>
      </c>
      <c r="R110" s="147">
        <v>7.8760999999999998E-2</v>
      </c>
      <c r="S110"/>
      <c r="T110"/>
      <c r="U110"/>
      <c r="V110"/>
      <c r="W110"/>
      <c r="X110"/>
      <c r="Y110"/>
      <c r="Z110"/>
    </row>
    <row r="111" spans="1:26" ht="15">
      <c r="A111" s="212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714.68723699999998</v>
      </c>
      <c r="I111" s="150">
        <v>765.14518099999998</v>
      </c>
      <c r="J111" s="150">
        <v>788.634096</v>
      </c>
      <c r="K111" s="150">
        <v>752.60181699999998</v>
      </c>
      <c r="L111" s="150">
        <v>773.76758800000005</v>
      </c>
      <c r="M111" s="150">
        <v>734.37679500000002</v>
      </c>
      <c r="N111" s="150">
        <v>747.59996799999999</v>
      </c>
      <c r="O111" s="150">
        <v>755.69380799999999</v>
      </c>
      <c r="P111" s="150">
        <v>705.66711999999995</v>
      </c>
      <c r="Q111" s="150">
        <v>681.11681799999997</v>
      </c>
      <c r="R111" s="150">
        <v>148.28892500000001</v>
      </c>
      <c r="S111"/>
      <c r="T111"/>
      <c r="U111"/>
      <c r="V111"/>
      <c r="W111"/>
      <c r="X111"/>
      <c r="Y111"/>
      <c r="Z111"/>
    </row>
    <row r="112" spans="1:26" ht="15">
      <c r="A112" s="213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714.68723699999998</v>
      </c>
      <c r="I112" s="150">
        <v>765.14518099999998</v>
      </c>
      <c r="J112" s="150">
        <v>788.634096</v>
      </c>
      <c r="K112" s="150">
        <v>752.60181699999998</v>
      </c>
      <c r="L112" s="150">
        <v>773.76758800000005</v>
      </c>
      <c r="M112" s="150">
        <v>734.37679500000002</v>
      </c>
      <c r="N112" s="150">
        <v>747.59996799999999</v>
      </c>
      <c r="O112" s="150">
        <v>755.69380799999999</v>
      </c>
      <c r="P112" s="150">
        <v>705.66711999999995</v>
      </c>
      <c r="Q112" s="150">
        <v>681.11681799999997</v>
      </c>
      <c r="R112" s="150">
        <v>148.28892500000001</v>
      </c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9" t="s">
        <v>73</v>
      </c>
      <c r="C117" s="120" t="str">
        <f>TEXT(EDATE(D117,-1),"mmmm aaaa")</f>
        <v>marzo 2019</v>
      </c>
      <c r="D117" s="120" t="str">
        <f t="shared" ref="D117:M117" si="7">TEXT(EDATE(E117,-1),"mmmm aaaa")</f>
        <v>abril 2019</v>
      </c>
      <c r="E117" s="120" t="str">
        <f t="shared" si="7"/>
        <v>mayo 2019</v>
      </c>
      <c r="F117" s="120" t="str">
        <f t="shared" si="7"/>
        <v>junio 2019</v>
      </c>
      <c r="G117" s="120" t="str">
        <f t="shared" si="7"/>
        <v>julio 2019</v>
      </c>
      <c r="H117" s="120" t="str">
        <f t="shared" si="7"/>
        <v>agosto 2019</v>
      </c>
      <c r="I117" s="120" t="str">
        <f t="shared" si="7"/>
        <v>septiembre 2019</v>
      </c>
      <c r="J117" s="120" t="str">
        <f t="shared" si="7"/>
        <v>octubre 2019</v>
      </c>
      <c r="K117" s="120" t="str">
        <f t="shared" si="7"/>
        <v>noviembre 2019</v>
      </c>
      <c r="L117" s="120" t="str">
        <f t="shared" si="7"/>
        <v>diciembre 2019</v>
      </c>
      <c r="M117" s="120" t="str">
        <f t="shared" si="7"/>
        <v>enero 2020</v>
      </c>
      <c r="N117" s="120" t="str">
        <f>TEXT(EDATE(O117,-1),"mmmm aaaa")</f>
        <v>febrero 2020</v>
      </c>
      <c r="O117" s="121" t="str">
        <f>A2</f>
        <v>Marzo 2020</v>
      </c>
    </row>
    <row r="118" spans="1:19">
      <c r="B118" s="210"/>
      <c r="C118" s="131" t="str">
        <f>TEXT(EDATE($A$2,-12),"mmm")&amp;".-"&amp;TEXT(EDATE($A$2,-12),"aa")</f>
        <v>mar.-19</v>
      </c>
      <c r="D118" s="131" t="str">
        <f>TEXT(EDATE($A$2,-11),"mmm")&amp;".-"&amp;TEXT(EDATE($A$2,-11),"aa")</f>
        <v>abr.-19</v>
      </c>
      <c r="E118" s="131" t="str">
        <f>TEXT(EDATE($A$2,-10),"mmm")&amp;".-"&amp;TEXT(EDATE($A$2,-10),"aa")</f>
        <v>may.-19</v>
      </c>
      <c r="F118" s="131" t="str">
        <f>TEXT(EDATE($A$2,-9),"mmm")&amp;".-"&amp;TEXT(EDATE($A$2,-9),"aa")</f>
        <v>jun.-19</v>
      </c>
      <c r="G118" s="131" t="str">
        <f>TEXT(EDATE($A$2,-8),"mmm")&amp;".-"&amp;TEXT(EDATE($A$2,-8),"aa")</f>
        <v>jul.-19</v>
      </c>
      <c r="H118" s="131" t="str">
        <f>TEXT(EDATE($A$2,-7),"mmm")&amp;".-"&amp;TEXT(EDATE($A$2,-7),"aa")</f>
        <v>ago.-19</v>
      </c>
      <c r="I118" s="131" t="str">
        <f>TEXT(EDATE($A$2,-6),"mmm")&amp;".-"&amp;TEXT(EDATE($A$2,-6),"aa")</f>
        <v>sep.-19</v>
      </c>
      <c r="J118" s="131" t="str">
        <f>TEXT(EDATE($A$2,-5),"mmm")&amp;".-"&amp;TEXT(EDATE($A$2,-5),"aa")</f>
        <v>oct.-19</v>
      </c>
      <c r="K118" s="131" t="str">
        <f>TEXT(EDATE($A$2,-4),"mmm")&amp;".-"&amp;TEXT(EDATE($A$2,-4),"aa")</f>
        <v>nov.-19</v>
      </c>
      <c r="L118" s="131" t="str">
        <f>TEXT(EDATE($A$2,-3),"mmm")&amp;".-"&amp;TEXT(EDATE($A$2,-3),"aa")</f>
        <v>dic.-19</v>
      </c>
      <c r="M118" s="131" t="str">
        <f>TEXT(EDATE($A$2,-2),"mmm")&amp;".-"&amp;TEXT(EDATE($A$2,-2),"aa")</f>
        <v>ene.-20</v>
      </c>
      <c r="N118" s="131" t="str">
        <f>TEXT(EDATE($A$2,-1),"mmm")&amp;".-"&amp;TEXT(EDATE($A$2,-1),"aa")</f>
        <v>feb.-20</v>
      </c>
      <c r="O118" s="160" t="str">
        <f>TEXT($A$2,"mmm")&amp;".-"&amp;TEXT($A$2,"aa")</f>
        <v>mar.-20</v>
      </c>
    </row>
    <row r="119" spans="1:19">
      <c r="A119" s="206" t="s">
        <v>76</v>
      </c>
      <c r="B119" s="132" t="s">
        <v>11</v>
      </c>
      <c r="C119" s="133">
        <f>HLOOKUP(C$117,$86:$101,3,FALSE)</f>
        <v>141.74739099999999</v>
      </c>
      <c r="D119" s="133">
        <f t="shared" ref="D119:N119" si="8">HLOOKUP(D$117,$86:$101,3,FALSE)</f>
        <v>127.06355499999999</v>
      </c>
      <c r="E119" s="133">
        <f t="shared" si="8"/>
        <v>122.296505</v>
      </c>
      <c r="F119" s="133">
        <f t="shared" si="8"/>
        <v>98.710933999999995</v>
      </c>
      <c r="G119" s="133">
        <f t="shared" si="8"/>
        <v>173.44610299999999</v>
      </c>
      <c r="H119" s="133">
        <f t="shared" si="8"/>
        <v>257.56122599999998</v>
      </c>
      <c r="I119" s="133">
        <f t="shared" si="8"/>
        <v>239.89604299999999</v>
      </c>
      <c r="J119" s="133">
        <f t="shared" si="8"/>
        <v>190.859296</v>
      </c>
      <c r="K119" s="133">
        <f t="shared" si="8"/>
        <v>128.513947</v>
      </c>
      <c r="L119" s="133">
        <f t="shared" si="8"/>
        <v>137.71730099999999</v>
      </c>
      <c r="M119" s="133">
        <f t="shared" si="8"/>
        <v>-3.1773479999999998</v>
      </c>
      <c r="N119" s="133">
        <f t="shared" si="8"/>
        <v>-1.4407270000000001</v>
      </c>
      <c r="O119" s="134">
        <f>HLOOKUP(O$117,$86:$101,3,FALSE)</f>
        <v>-1.8682399999999999</v>
      </c>
    </row>
    <row r="120" spans="1:19">
      <c r="A120" s="207"/>
      <c r="B120" s="122" t="s">
        <v>10</v>
      </c>
      <c r="C120" s="116">
        <f>HLOOKUP(C$117,$86:$101,4,FALSE)</f>
        <v>16.635784999999998</v>
      </c>
      <c r="D120" s="116">
        <f t="shared" ref="D120:O120" si="9">HLOOKUP(D$117,$86:$101,4,FALSE)</f>
        <v>30.202653000000002</v>
      </c>
      <c r="E120" s="116">
        <f t="shared" si="9"/>
        <v>38.207940999999998</v>
      </c>
      <c r="F120" s="116">
        <f t="shared" si="9"/>
        <v>49.833764000000002</v>
      </c>
      <c r="G120" s="116">
        <f t="shared" si="9"/>
        <v>64.359393999999995</v>
      </c>
      <c r="H120" s="116">
        <f t="shared" si="9"/>
        <v>64.194573000000005</v>
      </c>
      <c r="I120" s="116">
        <f t="shared" si="9"/>
        <v>50.613649000000002</v>
      </c>
      <c r="J120" s="116">
        <f t="shared" si="9"/>
        <v>40.788257999999999</v>
      </c>
      <c r="K120" s="116">
        <f t="shared" si="9"/>
        <v>27.174427999999999</v>
      </c>
      <c r="L120" s="116">
        <f t="shared" si="9"/>
        <v>19.439288000000001</v>
      </c>
      <c r="M120" s="116">
        <f t="shared" si="9"/>
        <v>25.163323999999999</v>
      </c>
      <c r="N120" s="116">
        <f t="shared" si="9"/>
        <v>20.211247</v>
      </c>
      <c r="O120" s="134">
        <f t="shared" si="9"/>
        <v>15.845757000000001</v>
      </c>
    </row>
    <row r="121" spans="1:19">
      <c r="A121" s="207"/>
      <c r="B121" s="122" t="s">
        <v>9</v>
      </c>
      <c r="C121" s="116">
        <f>HLOOKUP(C$117,$86:$101,5,FALSE)</f>
        <v>34.548490999999999</v>
      </c>
      <c r="D121" s="116">
        <f t="shared" ref="D121:O121" si="10">HLOOKUP(D$117,$86:$101,5,FALSE)</f>
        <v>30.171469999999999</v>
      </c>
      <c r="E121" s="116">
        <f t="shared" si="10"/>
        <v>27.505562000000001</v>
      </c>
      <c r="F121" s="116">
        <f t="shared" si="10"/>
        <v>38.491146999999998</v>
      </c>
      <c r="G121" s="116">
        <f t="shared" si="10"/>
        <v>72.469969000000006</v>
      </c>
      <c r="H121" s="116">
        <f t="shared" si="10"/>
        <v>70.419168999999997</v>
      </c>
      <c r="I121" s="116">
        <f t="shared" si="10"/>
        <v>45.651693999999999</v>
      </c>
      <c r="J121" s="116">
        <f t="shared" si="10"/>
        <v>27.936012999999999</v>
      </c>
      <c r="K121" s="116">
        <f t="shared" si="10"/>
        <v>28.760522000000002</v>
      </c>
      <c r="L121" s="116">
        <f t="shared" si="10"/>
        <v>20.411356000000001</v>
      </c>
      <c r="M121" s="116">
        <f t="shared" si="10"/>
        <v>21.825088000000001</v>
      </c>
      <c r="N121" s="116">
        <f t="shared" si="10"/>
        <v>17.386634999999998</v>
      </c>
      <c r="O121" s="134">
        <f t="shared" si="10"/>
        <v>18.832346000000001</v>
      </c>
    </row>
    <row r="122" spans="1:19" ht="14.25">
      <c r="A122" s="207"/>
      <c r="B122" s="122" t="s">
        <v>74</v>
      </c>
      <c r="C122" s="116">
        <f>HLOOKUP(C$117,$86:$101,6,FALSE)</f>
        <v>83.928335000000004</v>
      </c>
      <c r="D122" s="116">
        <f t="shared" ref="D122:O122" si="11">HLOOKUP(D$117,$86:$101,6,FALSE)</f>
        <v>93.323053000000002</v>
      </c>
      <c r="E122" s="116">
        <f t="shared" si="11"/>
        <v>103.560644</v>
      </c>
      <c r="F122" s="116">
        <f t="shared" si="11"/>
        <v>148.873491</v>
      </c>
      <c r="G122" s="116">
        <f t="shared" si="11"/>
        <v>160.980031</v>
      </c>
      <c r="H122" s="116">
        <f t="shared" si="11"/>
        <v>81.694967000000005</v>
      </c>
      <c r="I122" s="116">
        <f t="shared" si="11"/>
        <v>37.844405000000002</v>
      </c>
      <c r="J122" s="116">
        <f t="shared" si="11"/>
        <v>49.054825999999998</v>
      </c>
      <c r="K122" s="116">
        <f t="shared" si="11"/>
        <v>98.891853999999995</v>
      </c>
      <c r="L122" s="116">
        <f t="shared" si="11"/>
        <v>97.225685999999996</v>
      </c>
      <c r="M122" s="116">
        <f t="shared" si="11"/>
        <v>247.42845600000001</v>
      </c>
      <c r="N122" s="116">
        <f t="shared" si="11"/>
        <v>226.17381</v>
      </c>
      <c r="O122" s="134">
        <f t="shared" si="11"/>
        <v>223.68889899999999</v>
      </c>
    </row>
    <row r="123" spans="1:19">
      <c r="A123" s="207"/>
      <c r="B123" s="122" t="s">
        <v>24</v>
      </c>
      <c r="C123" s="116">
        <f>HLOOKUP(C$117,$86:$101,7,FALSE)</f>
        <v>0</v>
      </c>
      <c r="D123" s="116">
        <f t="shared" ref="D123:O123" si="12">HLOOKUP(D$117,$86:$101,7,FALSE)</f>
        <v>0</v>
      </c>
      <c r="E123" s="116">
        <f t="shared" si="12"/>
        <v>0.182169</v>
      </c>
      <c r="F123" s="116">
        <f t="shared" si="12"/>
        <v>1.4050560000000001</v>
      </c>
      <c r="G123" s="116">
        <f t="shared" si="12"/>
        <v>4.0689979999999997</v>
      </c>
      <c r="H123" s="116">
        <f t="shared" si="12"/>
        <v>4.8096079999999999</v>
      </c>
      <c r="I123" s="116">
        <f t="shared" si="12"/>
        <v>4.5895020000000004</v>
      </c>
      <c r="J123" s="116">
        <f t="shared" si="12"/>
        <v>1.7684709999999999</v>
      </c>
      <c r="K123" s="116">
        <f t="shared" si="12"/>
        <v>0</v>
      </c>
      <c r="L123" s="116">
        <f t="shared" si="12"/>
        <v>0</v>
      </c>
      <c r="M123" s="116">
        <f t="shared" si="12"/>
        <v>0</v>
      </c>
      <c r="N123" s="116">
        <f t="shared" si="12"/>
        <v>0</v>
      </c>
      <c r="O123" s="134">
        <f t="shared" si="12"/>
        <v>0</v>
      </c>
    </row>
    <row r="124" spans="1:19">
      <c r="A124" s="207"/>
      <c r="B124" s="122" t="s">
        <v>5</v>
      </c>
      <c r="C124" s="116">
        <f>HLOOKUP(C$117,$86:$102,8,FALSE)</f>
        <v>0.70238800000000001</v>
      </c>
      <c r="D124" s="116">
        <f t="shared" ref="D124:O124" si="13">HLOOKUP(D$117,$86:$102,8,FALSE)</f>
        <v>0.63947100000000001</v>
      </c>
      <c r="E124" s="116">
        <f t="shared" si="13"/>
        <v>0.653721</v>
      </c>
      <c r="F124" s="116">
        <f t="shared" si="13"/>
        <v>0.34985300000000003</v>
      </c>
      <c r="G124" s="116">
        <f t="shared" si="13"/>
        <v>0.23036599999999999</v>
      </c>
      <c r="H124" s="116">
        <f t="shared" si="13"/>
        <v>0.347945</v>
      </c>
      <c r="I124" s="116">
        <f t="shared" si="13"/>
        <v>0.51373500000000005</v>
      </c>
      <c r="J124" s="116">
        <f t="shared" si="13"/>
        <v>0.402117</v>
      </c>
      <c r="K124" s="116">
        <f t="shared" si="13"/>
        <v>0.49518299999999998</v>
      </c>
      <c r="L124" s="116">
        <f t="shared" si="13"/>
        <v>0.44528499999999999</v>
      </c>
      <c r="M124" s="116">
        <f t="shared" si="13"/>
        <v>0.37082599999999999</v>
      </c>
      <c r="N124" s="116">
        <f t="shared" si="13"/>
        <v>0.33927600000000002</v>
      </c>
      <c r="O124" s="134">
        <f t="shared" si="13"/>
        <v>0.53315400000000002</v>
      </c>
    </row>
    <row r="125" spans="1:19">
      <c r="A125" s="207"/>
      <c r="B125" s="122" t="s">
        <v>4</v>
      </c>
      <c r="C125" s="116">
        <f>HLOOKUP(C$117,$86:$102,9,FALSE)</f>
        <v>11.382342</v>
      </c>
      <c r="D125" s="116">
        <f t="shared" ref="D125:O125" si="14">HLOOKUP(D$117,$86:$102,9,FALSE)</f>
        <v>10.659026000000001</v>
      </c>
      <c r="E125" s="116">
        <f t="shared" si="14"/>
        <v>12.928163</v>
      </c>
      <c r="F125" s="116">
        <f t="shared" si="14"/>
        <v>13.303602</v>
      </c>
      <c r="G125" s="116">
        <f t="shared" si="14"/>
        <v>12.477155</v>
      </c>
      <c r="H125" s="116">
        <f t="shared" si="14"/>
        <v>12.245136</v>
      </c>
      <c r="I125" s="116">
        <f t="shared" si="14"/>
        <v>10.044699</v>
      </c>
      <c r="J125" s="116">
        <f t="shared" si="14"/>
        <v>9.1120260000000002</v>
      </c>
      <c r="K125" s="116">
        <f t="shared" si="14"/>
        <v>6.2902100000000001</v>
      </c>
      <c r="L125" s="116">
        <f t="shared" si="14"/>
        <v>5.905538</v>
      </c>
      <c r="M125" s="116">
        <f t="shared" si="14"/>
        <v>5.9310499999999999</v>
      </c>
      <c r="N125" s="116">
        <f t="shared" si="14"/>
        <v>8.7359240000000007</v>
      </c>
      <c r="O125" s="134">
        <f t="shared" si="14"/>
        <v>8.8984930000000002</v>
      </c>
    </row>
    <row r="126" spans="1:19">
      <c r="A126" s="207"/>
      <c r="B126" s="123" t="s">
        <v>22</v>
      </c>
      <c r="C126" s="116">
        <f>HLOOKUP(C$117,$86:$102,10,FALSE)</f>
        <v>0.111343</v>
      </c>
      <c r="D126" s="116">
        <f t="shared" ref="D126:O126" si="15">HLOOKUP(D$117,$86:$102,10,FALSE)</f>
        <v>8.9931999999999998E-2</v>
      </c>
      <c r="E126" s="116">
        <f t="shared" si="15"/>
        <v>5.4199999999999998E-2</v>
      </c>
      <c r="F126" s="116">
        <f t="shared" si="15"/>
        <v>0.12551699999999999</v>
      </c>
      <c r="G126" s="116">
        <f t="shared" si="15"/>
        <v>9.8985000000000004E-2</v>
      </c>
      <c r="H126" s="116">
        <f t="shared" si="15"/>
        <v>8.3479999999999999E-2</v>
      </c>
      <c r="I126" s="116">
        <f t="shared" si="15"/>
        <v>1.2656000000000001E-2</v>
      </c>
      <c r="J126" s="116">
        <f t="shared" si="15"/>
        <v>9.9426E-2</v>
      </c>
      <c r="K126" s="116">
        <f t="shared" si="15"/>
        <v>9.2591999999999994E-2</v>
      </c>
      <c r="L126" s="116">
        <f t="shared" si="15"/>
        <v>0.18124699999999999</v>
      </c>
      <c r="M126" s="116">
        <f t="shared" si="15"/>
        <v>0.20147399999999999</v>
      </c>
      <c r="N126" s="116">
        <f t="shared" si="15"/>
        <v>8.1622E-2</v>
      </c>
      <c r="O126" s="134">
        <f t="shared" si="15"/>
        <v>2.6786999999999998E-2</v>
      </c>
    </row>
    <row r="127" spans="1:19">
      <c r="A127" s="207"/>
      <c r="B127" s="123" t="s">
        <v>23</v>
      </c>
      <c r="C127" s="116">
        <f>HLOOKUP(C$117,$86:$102,11,FALSE)</f>
        <v>3.2674569999999998</v>
      </c>
      <c r="D127" s="116">
        <f t="shared" ref="D127:O127" si="16">HLOOKUP(D$117,$86:$102,11,FALSE)</f>
        <v>2.9153180000000001</v>
      </c>
      <c r="E127" s="116">
        <f t="shared" si="16"/>
        <v>2.2857509999999999</v>
      </c>
      <c r="F127" s="116">
        <f t="shared" si="16"/>
        <v>2.3003499999999999</v>
      </c>
      <c r="G127" s="116">
        <f t="shared" si="16"/>
        <v>1.194464</v>
      </c>
      <c r="H127" s="116">
        <f t="shared" si="16"/>
        <v>2.848757</v>
      </c>
      <c r="I127" s="116">
        <f t="shared" si="16"/>
        <v>2.8740579999999998</v>
      </c>
      <c r="J127" s="116">
        <f t="shared" si="16"/>
        <v>2.8082799999999999</v>
      </c>
      <c r="K127" s="116">
        <f t="shared" si="16"/>
        <v>3.3302809999999998</v>
      </c>
      <c r="L127" s="116">
        <f t="shared" si="16"/>
        <v>3.7760859999999998</v>
      </c>
      <c r="M127" s="116">
        <f t="shared" si="16"/>
        <v>4.0380969999999996</v>
      </c>
      <c r="N127" s="116">
        <f t="shared" si="16"/>
        <v>3.7449910000000002</v>
      </c>
      <c r="O127" s="134">
        <f t="shared" si="16"/>
        <v>3.4759910000000001</v>
      </c>
    </row>
    <row r="128" spans="1:19">
      <c r="A128" s="207"/>
      <c r="B128" s="122" t="s">
        <v>55</v>
      </c>
      <c r="C128" s="116">
        <f t="shared" ref="C128:O128" si="17">HLOOKUP(C$117,$86:$102,13,FALSE)</f>
        <v>11.083662500000001</v>
      </c>
      <c r="D128" s="116">
        <f t="shared" si="17"/>
        <v>13.4563305</v>
      </c>
      <c r="E128" s="116">
        <f t="shared" si="17"/>
        <v>13.087209</v>
      </c>
      <c r="F128" s="116">
        <f t="shared" si="17"/>
        <v>13.341946</v>
      </c>
      <c r="G128" s="116">
        <f t="shared" si="17"/>
        <v>14.4424645</v>
      </c>
      <c r="H128" s="116">
        <f t="shared" si="17"/>
        <v>12.562136000000001</v>
      </c>
      <c r="I128" s="116">
        <f t="shared" si="17"/>
        <v>13.691565000000001</v>
      </c>
      <c r="J128" s="116">
        <f t="shared" si="17"/>
        <v>14.954476</v>
      </c>
      <c r="K128" s="116">
        <f t="shared" si="17"/>
        <v>13.874806</v>
      </c>
      <c r="L128" s="116">
        <f t="shared" si="17"/>
        <v>8.5480964999999998</v>
      </c>
      <c r="M128" s="116">
        <f t="shared" si="17"/>
        <v>9.2619229999999995</v>
      </c>
      <c r="N128" s="116">
        <f t="shared" si="17"/>
        <v>6.0955329999999996</v>
      </c>
      <c r="O128" s="134">
        <f t="shared" si="17"/>
        <v>10.531687</v>
      </c>
    </row>
    <row r="129" spans="1:15">
      <c r="A129" s="207"/>
      <c r="B129" s="122" t="s">
        <v>54</v>
      </c>
      <c r="C129" s="116">
        <f>HLOOKUP(C$117,$86:$102,12,FALSE)</f>
        <v>11.083662500000001</v>
      </c>
      <c r="D129" s="116">
        <f t="shared" ref="D129:O129" si="18">HLOOKUP(D$117,$86:$102,12,FALSE)</f>
        <v>13.4563305</v>
      </c>
      <c r="E129" s="116">
        <f t="shared" si="18"/>
        <v>13.087209</v>
      </c>
      <c r="F129" s="116">
        <f t="shared" si="18"/>
        <v>13.341946</v>
      </c>
      <c r="G129" s="116">
        <f t="shared" si="18"/>
        <v>14.4424645</v>
      </c>
      <c r="H129" s="116">
        <f t="shared" si="18"/>
        <v>12.562136000000001</v>
      </c>
      <c r="I129" s="116">
        <f t="shared" si="18"/>
        <v>13.691565000000001</v>
      </c>
      <c r="J129" s="116">
        <f t="shared" si="18"/>
        <v>14.954476</v>
      </c>
      <c r="K129" s="116">
        <f t="shared" si="18"/>
        <v>13.874806</v>
      </c>
      <c r="L129" s="116">
        <f t="shared" si="18"/>
        <v>8.5480964999999998</v>
      </c>
      <c r="M129" s="116">
        <f t="shared" si="18"/>
        <v>9.2619229999999995</v>
      </c>
      <c r="N129" s="116">
        <f t="shared" si="18"/>
        <v>6.0955329999999996</v>
      </c>
      <c r="O129" s="134">
        <f t="shared" si="18"/>
        <v>10.531687</v>
      </c>
    </row>
    <row r="130" spans="1:15">
      <c r="A130" s="207"/>
      <c r="B130" s="124" t="s">
        <v>2</v>
      </c>
      <c r="C130" s="125">
        <f>HLOOKUP(C$117,$86:$102,14,FALSE)</f>
        <v>314.49085700000001</v>
      </c>
      <c r="D130" s="125">
        <f t="shared" ref="D130:O130" si="19">HLOOKUP(D$117,$86:$102,14,FALSE)</f>
        <v>321.97713900000002</v>
      </c>
      <c r="E130" s="125">
        <f t="shared" si="19"/>
        <v>333.84907399999997</v>
      </c>
      <c r="F130" s="125">
        <f t="shared" si="19"/>
        <v>380.077606</v>
      </c>
      <c r="G130" s="125">
        <f t="shared" si="19"/>
        <v>518.21039399999995</v>
      </c>
      <c r="H130" s="125">
        <f t="shared" si="19"/>
        <v>519.32913299999996</v>
      </c>
      <c r="I130" s="125">
        <f t="shared" si="19"/>
        <v>419.42357099999998</v>
      </c>
      <c r="J130" s="125">
        <f t="shared" si="19"/>
        <v>352.73766499999999</v>
      </c>
      <c r="K130" s="125">
        <f t="shared" si="19"/>
        <v>321.29862900000001</v>
      </c>
      <c r="L130" s="125">
        <f t="shared" si="19"/>
        <v>302.19797999999997</v>
      </c>
      <c r="M130" s="125">
        <f t="shared" si="19"/>
        <v>320.30481300000002</v>
      </c>
      <c r="N130" s="125">
        <f t="shared" si="19"/>
        <v>287.42384399999997</v>
      </c>
      <c r="O130" s="135">
        <f t="shared" si="19"/>
        <v>290.49656099999999</v>
      </c>
    </row>
    <row r="131" spans="1:15">
      <c r="A131" s="207"/>
      <c r="B131" s="122" t="s">
        <v>21</v>
      </c>
      <c r="C131" s="126">
        <f>HLOOKUP(C$117,$86:$102,15,FALSE)</f>
        <v>122.32533599999999</v>
      </c>
      <c r="D131" s="126">
        <f t="shared" ref="D131:O131" si="20">HLOOKUP(D$117,$86:$102,15,FALSE)</f>
        <v>124.430774</v>
      </c>
      <c r="E131" s="126">
        <f t="shared" si="20"/>
        <v>143.16130000000001</v>
      </c>
      <c r="F131" s="126">
        <f t="shared" si="20"/>
        <v>159.634671</v>
      </c>
      <c r="G131" s="126">
        <f t="shared" si="20"/>
        <v>201.16611399999999</v>
      </c>
      <c r="H131" s="126">
        <f t="shared" si="20"/>
        <v>185.76976199999999</v>
      </c>
      <c r="I131" s="126">
        <f t="shared" si="20"/>
        <v>153.19726600000001</v>
      </c>
      <c r="J131" s="126">
        <f t="shared" si="20"/>
        <v>137.66557</v>
      </c>
      <c r="K131" s="126">
        <f t="shared" si="20"/>
        <v>91.396833999999998</v>
      </c>
      <c r="L131" s="126">
        <f t="shared" si="20"/>
        <v>119.614278</v>
      </c>
      <c r="M131" s="126">
        <f t="shared" si="20"/>
        <v>136.155901</v>
      </c>
      <c r="N131" s="126">
        <f t="shared" si="20"/>
        <v>115.92849699999999</v>
      </c>
      <c r="O131" s="126">
        <f t="shared" si="20"/>
        <v>112.780382</v>
      </c>
    </row>
    <row r="132" spans="1:15">
      <c r="A132" s="207"/>
      <c r="B132" s="127" t="s">
        <v>1</v>
      </c>
      <c r="C132" s="128">
        <f>HLOOKUP(C$117,$86:$102,16,FALSE)</f>
        <v>436.816193</v>
      </c>
      <c r="D132" s="128">
        <f t="shared" ref="D132:O132" si="21">HLOOKUP(D$117,$86:$102,16,FALSE)</f>
        <v>446.40791300000001</v>
      </c>
      <c r="E132" s="128">
        <f t="shared" si="21"/>
        <v>477.01037400000001</v>
      </c>
      <c r="F132" s="128">
        <f t="shared" si="21"/>
        <v>539.71227699999997</v>
      </c>
      <c r="G132" s="128">
        <f t="shared" si="21"/>
        <v>719.37650799999994</v>
      </c>
      <c r="H132" s="128">
        <f t="shared" si="21"/>
        <v>705.09889499999997</v>
      </c>
      <c r="I132" s="128">
        <f t="shared" si="21"/>
        <v>572.62083700000005</v>
      </c>
      <c r="J132" s="128">
        <f t="shared" si="21"/>
        <v>490.403235</v>
      </c>
      <c r="K132" s="128">
        <f t="shared" si="21"/>
        <v>412.69546300000002</v>
      </c>
      <c r="L132" s="128">
        <f t="shared" si="21"/>
        <v>421.81225799999999</v>
      </c>
      <c r="M132" s="128">
        <f t="shared" si="21"/>
        <v>456.460714</v>
      </c>
      <c r="N132" s="128">
        <f t="shared" si="21"/>
        <v>403.35234100000002</v>
      </c>
      <c r="O132" s="128">
        <f t="shared" si="21"/>
        <v>403.27694300000002</v>
      </c>
    </row>
    <row r="133" spans="1:15" ht="14.25">
      <c r="A133" s="208"/>
      <c r="B133" s="137" t="s">
        <v>75</v>
      </c>
      <c r="C133" s="138">
        <f>C120+C121+C123</f>
        <v>51.184275999999997</v>
      </c>
      <c r="D133" s="138">
        <f>D120+D121+D123</f>
        <v>60.374122999999997</v>
      </c>
      <c r="E133" s="138">
        <f t="shared" ref="E133:O133" si="22">E120+E121+E123</f>
        <v>65.895672000000005</v>
      </c>
      <c r="F133" s="138">
        <f t="shared" si="22"/>
        <v>89.729967000000002</v>
      </c>
      <c r="G133" s="138">
        <f t="shared" si="22"/>
        <v>140.89836099999999</v>
      </c>
      <c r="H133" s="138">
        <f t="shared" si="22"/>
        <v>139.42335</v>
      </c>
      <c r="I133" s="138">
        <f t="shared" si="22"/>
        <v>100.854845</v>
      </c>
      <c r="J133" s="138">
        <f t="shared" si="22"/>
        <v>70.492742000000007</v>
      </c>
      <c r="K133" s="138">
        <f t="shared" si="22"/>
        <v>55.934950000000001</v>
      </c>
      <c r="L133" s="138">
        <f t="shared" si="22"/>
        <v>39.850644000000003</v>
      </c>
      <c r="M133" s="138">
        <f t="shared" si="22"/>
        <v>46.988411999999997</v>
      </c>
      <c r="N133" s="138">
        <f t="shared" si="22"/>
        <v>37.597881999999998</v>
      </c>
      <c r="O133" s="138">
        <f t="shared" si="22"/>
        <v>34.678103</v>
      </c>
    </row>
    <row r="134" spans="1:15">
      <c r="A134" s="206" t="s">
        <v>77</v>
      </c>
      <c r="B134" s="139" t="s">
        <v>73</v>
      </c>
      <c r="C134" s="120" t="str">
        <f>TEXT(EDATE($A$2,-12),"mmm")&amp;".-"&amp;TEXT(EDATE($A$2,-12),"aa")</f>
        <v>mar.-19</v>
      </c>
      <c r="D134" s="120" t="str">
        <f>TEXT(EDATE($A$2,-11),"mmm")&amp;".-"&amp;TEXT(EDATE($A$2,-11),"aa")</f>
        <v>abr.-19</v>
      </c>
      <c r="E134" s="120" t="str">
        <f>TEXT(EDATE($A$2,-10),"mmm")&amp;".-"&amp;TEXT(EDATE($A$2,-10),"aa")</f>
        <v>may.-19</v>
      </c>
      <c r="F134" s="120" t="str">
        <f>TEXT(EDATE($A$2,-9),"mmm")&amp;".-"&amp;TEXT(EDATE($A$2,-9),"aa")</f>
        <v>jun.-19</v>
      </c>
      <c r="G134" s="120" t="str">
        <f>TEXT(EDATE($A$2,-8),"mmm")&amp;".-"&amp;TEXT(EDATE($A$2,-8),"aa")</f>
        <v>jul.-19</v>
      </c>
      <c r="H134" s="120" t="str">
        <f>TEXT(EDATE($A$2,-7),"mmm")&amp;".-"&amp;TEXT(EDATE($A$2,-7),"aa")</f>
        <v>ago.-19</v>
      </c>
      <c r="I134" s="120" t="str">
        <f>TEXT(EDATE($A$2,-6),"mmm")&amp;".-"&amp;TEXT(EDATE($A$2,-6),"aa")</f>
        <v>sep.-19</v>
      </c>
      <c r="J134" s="120" t="str">
        <f>TEXT(EDATE($A$2,-5),"mmm")&amp;".-"&amp;TEXT(EDATE($A$2,-5),"aa")</f>
        <v>oct.-19</v>
      </c>
      <c r="K134" s="120" t="str">
        <f>TEXT(EDATE($A$2,-4),"mmm")&amp;".-"&amp;TEXT(EDATE($A$2,-4),"aa")</f>
        <v>nov.-19</v>
      </c>
      <c r="L134" s="120" t="str">
        <f>TEXT(EDATE($A$2,-3),"mmm")&amp;".-"&amp;TEXT(EDATE($A$2,-3),"aa")</f>
        <v>dic.-19</v>
      </c>
      <c r="M134" s="120" t="str">
        <f>TEXT(EDATE($A$2,-2),"mmm")&amp;".-"&amp;TEXT(EDATE($A$2,-2),"aa")</f>
        <v>ene.-20</v>
      </c>
      <c r="N134" s="120" t="str">
        <f>TEXT(EDATE($A$2,-1),"mmm")&amp;".-"&amp;TEXT(EDATE($A$2,-1),"aa")</f>
        <v>feb.-20</v>
      </c>
      <c r="O134" s="121" t="str">
        <f>TEXT($A$2,"mmm")&amp;".-"&amp;TEXT($A$2,"aa")</f>
        <v>mar.-20</v>
      </c>
    </row>
    <row r="135" spans="1:15" ht="15" customHeight="1">
      <c r="A135" s="207"/>
      <c r="B135" s="122" t="s">
        <v>12</v>
      </c>
      <c r="C135" s="116">
        <f>HLOOKUP(C$117,$86:$115,17,FALSE)</f>
        <v>0.298315</v>
      </c>
      <c r="D135" s="116">
        <f t="shared" ref="D135:O135" si="23">HLOOKUP(D$117,$86:$115,17,FALSE)</f>
        <v>0.29675299999999999</v>
      </c>
      <c r="E135" s="116">
        <f t="shared" si="23"/>
        <v>0.30594199999999999</v>
      </c>
      <c r="F135" s="116">
        <f t="shared" si="23"/>
        <v>0.27668100000000001</v>
      </c>
      <c r="G135" s="116">
        <f t="shared" si="23"/>
        <v>0.29841899999999999</v>
      </c>
      <c r="H135" s="116">
        <f t="shared" si="23"/>
        <v>0.29929</v>
      </c>
      <c r="I135" s="116">
        <f t="shared" si="23"/>
        <v>0.28253899999999998</v>
      </c>
      <c r="J135" s="116">
        <f t="shared" si="23"/>
        <v>0.297543</v>
      </c>
      <c r="K135" s="116">
        <f t="shared" si="23"/>
        <v>0.29652299999999998</v>
      </c>
      <c r="L135" s="116">
        <f t="shared" si="23"/>
        <v>0.29914499999999999</v>
      </c>
      <c r="M135" s="116">
        <f t="shared" si="23"/>
        <v>0.30431399999999997</v>
      </c>
      <c r="N135" s="116">
        <f t="shared" si="23"/>
        <v>0.26768999999999998</v>
      </c>
      <c r="O135" s="161">
        <f t="shared" si="23"/>
        <v>0.29889900000000003</v>
      </c>
    </row>
    <row r="136" spans="1:15">
      <c r="A136" s="207"/>
      <c r="B136" s="122" t="s">
        <v>10</v>
      </c>
      <c r="C136" s="116">
        <f>HLOOKUP(C$117,$86:$115,18,FALSE)</f>
        <v>161.02722900000001</v>
      </c>
      <c r="D136" s="116">
        <f t="shared" ref="D136:O136" si="24">HLOOKUP(D$117,$86:$115,18,FALSE)</f>
        <v>157.061271</v>
      </c>
      <c r="E136" s="116">
        <f t="shared" si="24"/>
        <v>150.35795200000001</v>
      </c>
      <c r="F136" s="116">
        <f t="shared" si="24"/>
        <v>167.34978899999999</v>
      </c>
      <c r="G136" s="116">
        <f t="shared" si="24"/>
        <v>155.88908699999999</v>
      </c>
      <c r="H136" s="116">
        <f t="shared" si="24"/>
        <v>173.50264200000001</v>
      </c>
      <c r="I136" s="116">
        <f t="shared" si="24"/>
        <v>167.04003</v>
      </c>
      <c r="J136" s="116">
        <f t="shared" si="24"/>
        <v>168.13456400000001</v>
      </c>
      <c r="K136" s="116">
        <f t="shared" si="24"/>
        <v>151.11739399999999</v>
      </c>
      <c r="L136" s="116">
        <f t="shared" si="24"/>
        <v>171.354029</v>
      </c>
      <c r="M136" s="116">
        <f t="shared" si="24"/>
        <v>175.82359</v>
      </c>
      <c r="N136" s="116">
        <f t="shared" si="24"/>
        <v>160.705896</v>
      </c>
      <c r="O136" s="134">
        <f t="shared" si="24"/>
        <v>133.86502100000001</v>
      </c>
    </row>
    <row r="137" spans="1:15">
      <c r="A137" s="207"/>
      <c r="B137" s="122" t="s">
        <v>9</v>
      </c>
      <c r="C137" s="116">
        <f>HLOOKUP(C$117,$86:$115,19,FALSE)</f>
        <v>19.078325</v>
      </c>
      <c r="D137" s="116">
        <f t="shared" ref="D137:O137" si="25">HLOOKUP(D$117,$86:$115,19,FALSE)</f>
        <v>20.008217999999999</v>
      </c>
      <c r="E137" s="116">
        <f t="shared" si="25"/>
        <v>23.358886999999999</v>
      </c>
      <c r="F137" s="116">
        <f t="shared" si="25"/>
        <v>14.744834000000001</v>
      </c>
      <c r="G137" s="116">
        <f t="shared" si="25"/>
        <v>16.517122000000001</v>
      </c>
      <c r="H137" s="116">
        <f t="shared" si="25"/>
        <v>17.472964999999999</v>
      </c>
      <c r="I137" s="116">
        <f t="shared" si="25"/>
        <v>24.793182999999999</v>
      </c>
      <c r="J137" s="116">
        <f t="shared" si="25"/>
        <v>16.664884000000001</v>
      </c>
      <c r="K137" s="116">
        <f t="shared" si="25"/>
        <v>18.703745999999999</v>
      </c>
      <c r="L137" s="116">
        <f t="shared" si="25"/>
        <v>16.706254000000001</v>
      </c>
      <c r="M137" s="116">
        <f t="shared" si="25"/>
        <v>17.105090000000001</v>
      </c>
      <c r="N137" s="116">
        <f t="shared" si="25"/>
        <v>21.870190999999998</v>
      </c>
      <c r="O137" s="134">
        <f t="shared" si="25"/>
        <v>12.226845000000001</v>
      </c>
    </row>
    <row r="138" spans="1:15">
      <c r="A138" s="207"/>
      <c r="B138" s="122" t="s">
        <v>8</v>
      </c>
      <c r="C138" s="116">
        <f>HLOOKUP(C$117,$86:$115,20,FALSE)</f>
        <v>209.06030999999999</v>
      </c>
      <c r="D138" s="116">
        <f t="shared" ref="D138:O138" si="26">HLOOKUP(D$117,$86:$115,20,FALSE)</f>
        <v>199.95457400000001</v>
      </c>
      <c r="E138" s="116">
        <f t="shared" si="26"/>
        <v>201.71434600000001</v>
      </c>
      <c r="F138" s="116">
        <f t="shared" si="26"/>
        <v>209.91055800000001</v>
      </c>
      <c r="G138" s="116">
        <f t="shared" si="26"/>
        <v>137.955038</v>
      </c>
      <c r="H138" s="116">
        <f t="shared" si="26"/>
        <v>116.694829</v>
      </c>
      <c r="I138" s="116">
        <f t="shared" si="26"/>
        <v>157.50902600000001</v>
      </c>
      <c r="J138" s="116">
        <f t="shared" si="26"/>
        <v>170.575942</v>
      </c>
      <c r="K138" s="116">
        <f t="shared" si="26"/>
        <v>184.81552300000001</v>
      </c>
      <c r="L138" s="116">
        <f t="shared" si="26"/>
        <v>169.18809899999999</v>
      </c>
      <c r="M138" s="116">
        <f t="shared" si="26"/>
        <v>146.91851800000001</v>
      </c>
      <c r="N138" s="116">
        <f t="shared" si="26"/>
        <v>128.34914699999999</v>
      </c>
      <c r="O138" s="134">
        <f t="shared" si="26"/>
        <v>114.048723</v>
      </c>
    </row>
    <row r="139" spans="1:15" ht="14.25">
      <c r="A139" s="207"/>
      <c r="B139" s="122" t="s">
        <v>74</v>
      </c>
      <c r="C139" s="116">
        <f>HLOOKUP(C$117,$86:$115,21,FALSE)</f>
        <v>224.52281400000001</v>
      </c>
      <c r="D139" s="116">
        <f t="shared" ref="D139:O139" si="27">HLOOKUP(D$117,$86:$115,21,FALSE)</f>
        <v>229.693647</v>
      </c>
      <c r="E139" s="116">
        <f t="shared" si="27"/>
        <v>220.83250000000001</v>
      </c>
      <c r="F139" s="116">
        <f t="shared" si="27"/>
        <v>222.51747599999999</v>
      </c>
      <c r="G139" s="116">
        <f t="shared" si="27"/>
        <v>262.048877</v>
      </c>
      <c r="H139" s="116">
        <f t="shared" si="27"/>
        <v>290.23648900000001</v>
      </c>
      <c r="I139" s="116">
        <f t="shared" si="27"/>
        <v>276.37973799999997</v>
      </c>
      <c r="J139" s="116">
        <f t="shared" si="27"/>
        <v>305.83225499999998</v>
      </c>
      <c r="K139" s="116">
        <f t="shared" si="27"/>
        <v>233.08126999999999</v>
      </c>
      <c r="L139" s="116">
        <f t="shared" si="27"/>
        <v>301.90038800000002</v>
      </c>
      <c r="M139" s="116">
        <f t="shared" si="27"/>
        <v>336.41169600000001</v>
      </c>
      <c r="N139" s="116">
        <f t="shared" si="27"/>
        <v>279.07848200000001</v>
      </c>
      <c r="O139" s="134">
        <f t="shared" si="27"/>
        <v>300.75480199999998</v>
      </c>
    </row>
    <row r="140" spans="1:15">
      <c r="A140" s="207"/>
      <c r="B140" s="122" t="s">
        <v>6</v>
      </c>
      <c r="C140" s="116">
        <f>HLOOKUP(C$117,$86:$115,22,FALSE)</f>
        <v>1.955158</v>
      </c>
      <c r="D140" s="116">
        <f t="shared" ref="D140:O140" si="28">HLOOKUP(D$117,$86:$115,22,FALSE)</f>
        <v>1.5483690000000001</v>
      </c>
      <c r="E140" s="116">
        <f t="shared" si="28"/>
        <v>2.031012</v>
      </c>
      <c r="F140" s="116">
        <f t="shared" si="28"/>
        <v>1.3721410000000001</v>
      </c>
      <c r="G140" s="116">
        <f t="shared" si="28"/>
        <v>3.727338</v>
      </c>
      <c r="H140" s="116">
        <f t="shared" si="28"/>
        <v>3.4751189999999998</v>
      </c>
      <c r="I140" s="116">
        <f t="shared" si="28"/>
        <v>2.2183510000000002</v>
      </c>
      <c r="J140" s="116">
        <f t="shared" si="28"/>
        <v>1.582837</v>
      </c>
      <c r="K140" s="116">
        <f t="shared" si="28"/>
        <v>2.0965220000000002</v>
      </c>
      <c r="L140" s="116">
        <f t="shared" si="28"/>
        <v>1.15967</v>
      </c>
      <c r="M140" s="116">
        <f t="shared" si="28"/>
        <v>0.82455000000000001</v>
      </c>
      <c r="N140" s="116">
        <f t="shared" si="28"/>
        <v>1.3385149999999999</v>
      </c>
      <c r="O140" s="134">
        <f t="shared" si="28"/>
        <v>1.8236140000000001</v>
      </c>
    </row>
    <row r="141" spans="1:15">
      <c r="A141" s="207"/>
      <c r="B141" s="122" t="s">
        <v>5</v>
      </c>
      <c r="C141" s="116">
        <f>HLOOKUP(C$117,$86:$115,23,FALSE)</f>
        <v>96.842352000000005</v>
      </c>
      <c r="D141" s="116">
        <f t="shared" ref="D141:O141" si="29">HLOOKUP(D$117,$86:$115,23,FALSE)</f>
        <v>67.113055000000003</v>
      </c>
      <c r="E141" s="116">
        <f t="shared" si="29"/>
        <v>95.432451</v>
      </c>
      <c r="F141" s="116">
        <f t="shared" si="29"/>
        <v>74.330708999999999</v>
      </c>
      <c r="G141" s="116">
        <f t="shared" si="29"/>
        <v>158.18352999999999</v>
      </c>
      <c r="H141" s="116">
        <f t="shared" si="29"/>
        <v>158.502759</v>
      </c>
      <c r="I141" s="116">
        <f t="shared" si="29"/>
        <v>100.47458899999999</v>
      </c>
      <c r="J141" s="116">
        <f t="shared" si="29"/>
        <v>89.262077000000005</v>
      </c>
      <c r="K141" s="116">
        <f t="shared" si="29"/>
        <v>125.115903</v>
      </c>
      <c r="L141" s="116">
        <f t="shared" si="29"/>
        <v>68.820522999999994</v>
      </c>
      <c r="M141" s="116">
        <f t="shared" si="29"/>
        <v>59.057060999999997</v>
      </c>
      <c r="N141" s="116">
        <f t="shared" si="29"/>
        <v>93.063980000000001</v>
      </c>
      <c r="O141" s="134">
        <f t="shared" si="29"/>
        <v>96.827404999999999</v>
      </c>
    </row>
    <row r="142" spans="1:15">
      <c r="A142" s="207"/>
      <c r="B142" s="122" t="s">
        <v>4</v>
      </c>
      <c r="C142" s="116">
        <f>HLOOKUP(C$117,$86:$115,24,FALSE)</f>
        <v>24.927766999999999</v>
      </c>
      <c r="D142" s="116">
        <f t="shared" ref="D142:O142" si="30">HLOOKUP(D$117,$86:$115,24,FALSE)</f>
        <v>24.572315</v>
      </c>
      <c r="E142" s="116">
        <f t="shared" si="30"/>
        <v>29.457906000000001</v>
      </c>
      <c r="F142" s="116">
        <f t="shared" si="30"/>
        <v>23.361749</v>
      </c>
      <c r="G142" s="116">
        <f t="shared" si="30"/>
        <v>29.608312000000002</v>
      </c>
      <c r="H142" s="116">
        <f t="shared" si="30"/>
        <v>27.737331000000001</v>
      </c>
      <c r="I142" s="116">
        <f t="shared" si="30"/>
        <v>23.467742000000001</v>
      </c>
      <c r="J142" s="116">
        <f t="shared" si="30"/>
        <v>20.840191999999998</v>
      </c>
      <c r="K142" s="116">
        <f t="shared" si="30"/>
        <v>18.276879999999998</v>
      </c>
      <c r="L142" s="116">
        <f t="shared" si="30"/>
        <v>17.266753999999999</v>
      </c>
      <c r="M142" s="116">
        <f t="shared" si="30"/>
        <v>18.372709</v>
      </c>
      <c r="N142" s="116">
        <f t="shared" si="30"/>
        <v>20.147513</v>
      </c>
      <c r="O142" s="134">
        <f t="shared" si="30"/>
        <v>20.449840999999999</v>
      </c>
    </row>
    <row r="143" spans="1:15">
      <c r="A143" s="207"/>
      <c r="B143" s="122" t="s">
        <v>22</v>
      </c>
      <c r="C143" s="116">
        <f>HLOOKUP(C$117,$86:$115,25,FALSE)</f>
        <v>0.90107099999999996</v>
      </c>
      <c r="D143" s="116">
        <f t="shared" ref="D143:O143" si="31">HLOOKUP(D$117,$86:$115,25,FALSE)</f>
        <v>0.89633300000000005</v>
      </c>
      <c r="E143" s="116">
        <f t="shared" si="31"/>
        <v>0.94455500000000003</v>
      </c>
      <c r="F143" s="116">
        <f t="shared" si="31"/>
        <v>0.82330000000000003</v>
      </c>
      <c r="G143" s="116">
        <f t="shared" si="31"/>
        <v>0.917458</v>
      </c>
      <c r="H143" s="116">
        <f t="shared" si="31"/>
        <v>0.71267199999999997</v>
      </c>
      <c r="I143" s="116">
        <f t="shared" si="31"/>
        <v>0.43661899999999998</v>
      </c>
      <c r="J143" s="116">
        <f t="shared" si="31"/>
        <v>0.57729399999999997</v>
      </c>
      <c r="K143" s="116">
        <f t="shared" si="31"/>
        <v>0.87303399999999998</v>
      </c>
      <c r="L143" s="116">
        <f t="shared" si="31"/>
        <v>0.90510599999999997</v>
      </c>
      <c r="M143" s="116">
        <f t="shared" si="31"/>
        <v>0.87627999999999995</v>
      </c>
      <c r="N143" s="116">
        <f t="shared" si="31"/>
        <v>0.84570599999999996</v>
      </c>
      <c r="O143" s="134">
        <f t="shared" si="31"/>
        <v>0.82166799999999995</v>
      </c>
    </row>
    <row r="144" spans="1:15">
      <c r="A144" s="207"/>
      <c r="B144" s="127" t="s">
        <v>1</v>
      </c>
      <c r="C144" s="128">
        <f>HLOOKUP(C$117,$86:$115,26,FALSE)</f>
        <v>738.61334099999999</v>
      </c>
      <c r="D144" s="128">
        <f t="shared" ref="D144:O144" si="32">HLOOKUP(D$117,$86:$115,26,FALSE)</f>
        <v>701.14453500000002</v>
      </c>
      <c r="E144" s="128">
        <f t="shared" si="32"/>
        <v>724.43555100000003</v>
      </c>
      <c r="F144" s="128">
        <f t="shared" si="32"/>
        <v>714.68723699999998</v>
      </c>
      <c r="G144" s="128">
        <f t="shared" si="32"/>
        <v>765.14518099999998</v>
      </c>
      <c r="H144" s="128">
        <f t="shared" si="32"/>
        <v>788.634096</v>
      </c>
      <c r="I144" s="128">
        <f t="shared" si="32"/>
        <v>752.60181699999998</v>
      </c>
      <c r="J144" s="128">
        <f t="shared" si="32"/>
        <v>773.76758800000005</v>
      </c>
      <c r="K144" s="128">
        <f t="shared" si="32"/>
        <v>734.37679500000002</v>
      </c>
      <c r="L144" s="128">
        <f t="shared" si="32"/>
        <v>747.59996799999999</v>
      </c>
      <c r="M144" s="128">
        <f t="shared" si="32"/>
        <v>755.69380799999999</v>
      </c>
      <c r="N144" s="128">
        <f t="shared" si="32"/>
        <v>705.66711999999995</v>
      </c>
      <c r="O144" s="136">
        <f t="shared" si="32"/>
        <v>681.11681799999997</v>
      </c>
    </row>
    <row r="145" spans="1:26">
      <c r="A145" s="207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08"/>
      <c r="B146" s="137" t="s">
        <v>75</v>
      </c>
      <c r="C146" s="141">
        <f>SUM(C136:C138)</f>
        <v>389.165864</v>
      </c>
      <c r="D146" s="141">
        <f t="shared" ref="D146:O146" si="33">SUM(D136:D138)</f>
        <v>377.02406300000001</v>
      </c>
      <c r="E146" s="141">
        <f t="shared" si="33"/>
        <v>375.43118500000003</v>
      </c>
      <c r="F146" s="141">
        <f t="shared" si="33"/>
        <v>392.00518099999999</v>
      </c>
      <c r="G146" s="141">
        <f t="shared" si="33"/>
        <v>310.36124699999999</v>
      </c>
      <c r="H146" s="141">
        <f t="shared" si="33"/>
        <v>307.670436</v>
      </c>
      <c r="I146" s="141">
        <f t="shared" si="33"/>
        <v>349.34223900000001</v>
      </c>
      <c r="J146" s="141">
        <f t="shared" si="33"/>
        <v>355.37539000000004</v>
      </c>
      <c r="K146" s="141">
        <f t="shared" si="33"/>
        <v>354.636663</v>
      </c>
      <c r="L146" s="141">
        <f t="shared" si="33"/>
        <v>357.24838199999999</v>
      </c>
      <c r="M146" s="141">
        <f t="shared" si="33"/>
        <v>339.84719799999999</v>
      </c>
      <c r="N146" s="141">
        <f t="shared" si="33"/>
        <v>310.92523399999999</v>
      </c>
      <c r="O146" s="142">
        <f t="shared" si="33"/>
        <v>260.14058899999998</v>
      </c>
    </row>
    <row r="149" spans="1:26" ht="15">
      <c r="A149" s="174"/>
      <c r="B149" s="174" t="s">
        <v>68</v>
      </c>
      <c r="C149" s="205" t="s">
        <v>57</v>
      </c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7" t="s">
        <v>99</v>
      </c>
      <c r="D150" s="187" t="s">
        <v>100</v>
      </c>
      <c r="E150" s="187" t="s">
        <v>101</v>
      </c>
      <c r="F150" s="187" t="s">
        <v>102</v>
      </c>
      <c r="G150" s="187" t="s">
        <v>103</v>
      </c>
      <c r="H150" s="187" t="s">
        <v>104</v>
      </c>
      <c r="I150" s="187" t="s">
        <v>105</v>
      </c>
      <c r="J150" s="187" t="s">
        <v>106</v>
      </c>
      <c r="K150" s="187" t="s">
        <v>107</v>
      </c>
      <c r="L150" s="187" t="s">
        <v>108</v>
      </c>
      <c r="M150" s="187" t="s">
        <v>109</v>
      </c>
      <c r="N150" s="187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119</v>
      </c>
      <c r="B152" s="176" t="s">
        <v>121</v>
      </c>
      <c r="C152" s="177">
        <v>-7.6780000000000001E-2</v>
      </c>
      <c r="D152" s="177">
        <v>3.6900000000000001E-3</v>
      </c>
      <c r="E152" s="177">
        <v>-9.3000000000000005E-4</v>
      </c>
      <c r="F152" s="177">
        <v>-7.954E-2</v>
      </c>
      <c r="G152" s="177">
        <v>-5.0279999999999998E-2</v>
      </c>
      <c r="H152" s="177">
        <v>-8.9999999999999998E-4</v>
      </c>
      <c r="I152" s="177">
        <v>-1.7500000000000002E-2</v>
      </c>
      <c r="J152" s="177">
        <v>-3.1879999999999999E-2</v>
      </c>
      <c r="K152" s="177">
        <v>2.7799999999999999E-3</v>
      </c>
      <c r="L152" s="177">
        <v>3.0400000000000002E-3</v>
      </c>
      <c r="M152" s="177">
        <v>-2.4499999999999999E-3</v>
      </c>
      <c r="N152" s="177">
        <v>2.1900000000000001E-3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5" t="s">
        <v>58</v>
      </c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7" t="s">
        <v>99</v>
      </c>
      <c r="D156" s="187" t="s">
        <v>100</v>
      </c>
      <c r="E156" s="187" t="s">
        <v>101</v>
      </c>
      <c r="F156" s="187" t="s">
        <v>102</v>
      </c>
      <c r="G156" s="187" t="s">
        <v>103</v>
      </c>
      <c r="H156" s="187" t="s">
        <v>104</v>
      </c>
      <c r="I156" s="187" t="s">
        <v>105</v>
      </c>
      <c r="J156" s="187" t="s">
        <v>106</v>
      </c>
      <c r="K156" s="187" t="s">
        <v>107</v>
      </c>
      <c r="L156" s="187" t="s">
        <v>108</v>
      </c>
      <c r="M156" s="187" t="s">
        <v>109</v>
      </c>
      <c r="N156" s="187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119</v>
      </c>
      <c r="B158" s="176" t="s">
        <v>121</v>
      </c>
      <c r="C158" s="177">
        <v>-7.7840000000000006E-2</v>
      </c>
      <c r="D158" s="177">
        <v>4.7299999999999998E-3</v>
      </c>
      <c r="E158" s="177">
        <v>-1.7000000000000001E-4</v>
      </c>
      <c r="F158" s="177">
        <v>-8.2400000000000001E-2</v>
      </c>
      <c r="G158" s="177">
        <v>-1.384E-2</v>
      </c>
      <c r="H158" s="177">
        <v>-2.82E-3</v>
      </c>
      <c r="I158" s="177">
        <v>-8.5999999999999998E-4</v>
      </c>
      <c r="J158" s="177">
        <v>-1.0160000000000001E-2</v>
      </c>
      <c r="K158" s="177">
        <v>-1.9000000000000001E-4</v>
      </c>
      <c r="L158" s="177">
        <v>2.3500000000000001E-3</v>
      </c>
      <c r="M158" s="177">
        <v>5.8E-4</v>
      </c>
      <c r="N158" s="177">
        <v>-3.1199999999999999E-3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R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S16" sqref="S16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Marzo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0" t="s">
        <v>47</v>
      </c>
      <c r="E7" s="77"/>
      <c r="F7" s="191" t="str">
        <f>K3</f>
        <v>Marzo 2020</v>
      </c>
      <c r="G7" s="192"/>
      <c r="H7" s="192" t="s">
        <v>37</v>
      </c>
      <c r="I7" s="192"/>
      <c r="J7" s="192" t="s">
        <v>38</v>
      </c>
      <c r="K7" s="192"/>
    </row>
    <row r="8" spans="3:12">
      <c r="C8" s="190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403.27694300000002</v>
      </c>
      <c r="G9" s="164">
        <f>Dat_01!T24*100</f>
        <v>-7.6781150800000004</v>
      </c>
      <c r="H9" s="83">
        <f>Dat_01!U24/1000</f>
        <v>1263.0899979999999</v>
      </c>
      <c r="I9" s="164">
        <f>Dat_01!W24*100</f>
        <v>-5.02770663</v>
      </c>
      <c r="J9" s="83">
        <f>Dat_01!X24/1000</f>
        <v>6048.227758</v>
      </c>
      <c r="K9" s="164">
        <f>Dat_01!Y24*100</f>
        <v>0.27765898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0.36899999999999999</v>
      </c>
      <c r="H12" s="103"/>
      <c r="I12" s="103">
        <f>Dat_01!H152*100</f>
        <v>-0.09</v>
      </c>
      <c r="J12" s="103"/>
      <c r="K12" s="103">
        <f>Dat_01!L152*100</f>
        <v>0.30399999999999999</v>
      </c>
    </row>
    <row r="13" spans="3:12">
      <c r="E13" s="85" t="s">
        <v>42</v>
      </c>
      <c r="F13" s="84"/>
      <c r="G13" s="103">
        <f>Dat_01!E152*100</f>
        <v>-9.2999999999999999E-2</v>
      </c>
      <c r="H13" s="103"/>
      <c r="I13" s="103">
        <f>Dat_01!I152*100</f>
        <v>-1.7500000000000002</v>
      </c>
      <c r="J13" s="103"/>
      <c r="K13" s="103">
        <f>Dat_01!M152*100</f>
        <v>-0.245</v>
      </c>
    </row>
    <row r="14" spans="3:12">
      <c r="E14" s="86" t="s">
        <v>43</v>
      </c>
      <c r="F14" s="87"/>
      <c r="G14" s="104">
        <f>Dat_01!F152*100</f>
        <v>-7.9539999999999997</v>
      </c>
      <c r="H14" s="104"/>
      <c r="I14" s="104">
        <f>Dat_01!J152*100</f>
        <v>-3.1879999999999997</v>
      </c>
      <c r="J14" s="104"/>
      <c r="K14" s="104">
        <f>Dat_01!N152*100</f>
        <v>0.219</v>
      </c>
    </row>
    <row r="15" spans="3:12">
      <c r="E15" s="193" t="s">
        <v>44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45</v>
      </c>
      <c r="F16" s="189"/>
      <c r="G16" s="189"/>
      <c r="H16" s="189"/>
      <c r="I16" s="189"/>
      <c r="J16" s="189"/>
      <c r="K16" s="189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U10" sqref="U1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Marzo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0" t="s">
        <v>48</v>
      </c>
      <c r="E7" s="77"/>
      <c r="F7" s="191" t="str">
        <f>K3</f>
        <v>Marzo 2020</v>
      </c>
      <c r="G7" s="192"/>
      <c r="H7" s="192" t="s">
        <v>37</v>
      </c>
      <c r="I7" s="192"/>
      <c r="J7" s="192" t="s">
        <v>38</v>
      </c>
      <c r="K7" s="192"/>
    </row>
    <row r="8" spans="3:12">
      <c r="C8" s="190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681.11681799999997</v>
      </c>
      <c r="G9" s="164">
        <f>Dat_01!AB24*100</f>
        <v>-7.7843872800000007</v>
      </c>
      <c r="H9" s="83">
        <f>Dat_01!AC24/1000</f>
        <v>2142.477746</v>
      </c>
      <c r="I9" s="164">
        <f>Dat_01!AE24*100</f>
        <v>-1.3835146</v>
      </c>
      <c r="J9" s="83">
        <f>Dat_01!AF24/1000</f>
        <v>8844.8705140000002</v>
      </c>
      <c r="K9" s="164">
        <f>Dat_01!AG24*100</f>
        <v>-1.9263909999999999E-2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0.47299999999999998</v>
      </c>
      <c r="H12" s="103"/>
      <c r="I12" s="103">
        <f>Dat_01!H158*100</f>
        <v>-0.28200000000000003</v>
      </c>
      <c r="J12" s="103"/>
      <c r="K12" s="103">
        <f>Dat_01!L158*100</f>
        <v>0.23500000000000001</v>
      </c>
    </row>
    <row r="13" spans="3:12">
      <c r="E13" s="85" t="s">
        <v>42</v>
      </c>
      <c r="F13" s="84"/>
      <c r="G13" s="103">
        <f>Dat_01!E158*100</f>
        <v>-1.7000000000000001E-2</v>
      </c>
      <c r="H13" s="103"/>
      <c r="I13" s="103">
        <f>Dat_01!I158*100</f>
        <v>-8.5999999999999993E-2</v>
      </c>
      <c r="J13" s="103"/>
      <c r="K13" s="103">
        <f>Dat_01!M158*100</f>
        <v>5.8000000000000003E-2</v>
      </c>
    </row>
    <row r="14" spans="3:12">
      <c r="E14" s="86" t="s">
        <v>43</v>
      </c>
      <c r="F14" s="87"/>
      <c r="G14" s="104">
        <f>Dat_01!F158*100</f>
        <v>-8.24</v>
      </c>
      <c r="H14" s="104"/>
      <c r="I14" s="104">
        <f>Dat_01!J158*100</f>
        <v>-1.016</v>
      </c>
      <c r="J14" s="104"/>
      <c r="K14" s="104">
        <f>Dat_01!N158*100</f>
        <v>-0.312</v>
      </c>
    </row>
    <row r="15" spans="3:12">
      <c r="E15" s="193" t="s">
        <v>44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45</v>
      </c>
      <c r="F16" s="189"/>
      <c r="G16" s="189"/>
      <c r="H16" s="189"/>
      <c r="I16" s="189"/>
      <c r="J16" s="189"/>
      <c r="K16" s="189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127</v>
      </c>
    </row>
    <row r="2" spans="1:2">
      <c r="A2" t="s">
        <v>122</v>
      </c>
    </row>
    <row r="3" spans="1:2">
      <c r="A3" t="s">
        <v>123</v>
      </c>
    </row>
    <row r="4" spans="1:2">
      <c r="A4" t="s">
        <v>125</v>
      </c>
    </row>
    <row r="5" spans="1:2">
      <c r="A5" t="s">
        <v>126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23" sqref="L23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Marzo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4" t="s">
        <v>18</v>
      </c>
      <c r="E7" s="31"/>
      <c r="F7" s="195" t="s">
        <v>17</v>
      </c>
      <c r="G7" s="196"/>
      <c r="H7" s="195" t="s">
        <v>16</v>
      </c>
      <c r="I7" s="196"/>
      <c r="J7" s="195" t="s">
        <v>15</v>
      </c>
      <c r="K7" s="196"/>
      <c r="L7" s="195" t="s">
        <v>14</v>
      </c>
      <c r="M7" s="196"/>
    </row>
    <row r="8" spans="3:23" s="28" customFormat="1" ht="12.75" customHeight="1">
      <c r="C8" s="194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0.29889900000000003</v>
      </c>
      <c r="I9" s="17">
        <f>Dat_01!AB8*100</f>
        <v>0.19576621999999999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1.8236140000000001</v>
      </c>
      <c r="I10" s="17">
        <f>Dat_01!AB15*100</f>
        <v>-6.7280495999999994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53">
        <f>Dat_01!R16/1000</f>
        <v>0.53315400000000002</v>
      </c>
      <c r="G11" s="17">
        <f>Dat_01!T16*100</f>
        <v>-24.094090449999999</v>
      </c>
      <c r="H11" s="153">
        <f>Dat_01!Z16/1000</f>
        <v>96.827404999999999</v>
      </c>
      <c r="I11" s="17">
        <f>Dat_01!AB16*100</f>
        <v>-1.5434359999999999E-2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8.8984930000000002</v>
      </c>
      <c r="G12" s="17">
        <f>Dat_01!T17*100</f>
        <v>-21.821950179999998</v>
      </c>
      <c r="H12" s="153">
        <f>Dat_01!Z17/1000</f>
        <v>20.449840999999999</v>
      </c>
      <c r="I12" s="17">
        <f>Dat_01!AB17*100</f>
        <v>-17.963606609999999</v>
      </c>
      <c r="J12" s="153" t="s">
        <v>3</v>
      </c>
      <c r="K12" s="17" t="s">
        <v>3</v>
      </c>
      <c r="L12" s="153">
        <f>Dat_01!J17/1000</f>
        <v>0</v>
      </c>
      <c r="M12" s="17">
        <f>IF(Dat_01!L17="-","-",Dat_01!L17*100)</f>
        <v>-100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53">
        <f>Dat_01!R18/1000</f>
        <v>2.6786999999999998E-2</v>
      </c>
      <c r="G13" s="17">
        <f>Dat_01!T18*100</f>
        <v>-75.941909240000001</v>
      </c>
      <c r="H13" s="153">
        <f>Dat_01!Z18/1000</f>
        <v>0.82166799999999995</v>
      </c>
      <c r="I13" s="17">
        <f>Dat_01!AB18*100</f>
        <v>-8.8120691900000008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10.531687</v>
      </c>
      <c r="G14" s="17">
        <f>Dat_01!T21*100</f>
        <v>-4.9800821699999993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0.54475549999999995</v>
      </c>
      <c r="M14" s="17">
        <f>Dat_01!L21*100</f>
        <v>1.1740529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19.990121000000002</v>
      </c>
      <c r="G15" s="173">
        <f>((SUM(Dat_01!R8,Dat_01!R15:R18,Dat_01!R20)/SUM(Dat_01!S8,Dat_01!S15:S18,Dat_01!S20))-1)*100</f>
        <v>-14.130807027425218</v>
      </c>
      <c r="H15" s="172">
        <f>SUM(H9:H14)</f>
        <v>120.22142699999999</v>
      </c>
      <c r="I15" s="173">
        <f>((SUM(Dat_01!Z8,Dat_01!Z15:Z18,Dat_01!Z20)/SUM(Dat_01!AA8,Dat_01!AA15:AA18,Dat_01!AA20))-1)*100</f>
        <v>-3.7648578647756614</v>
      </c>
      <c r="J15" s="172" t="s">
        <v>3</v>
      </c>
      <c r="K15" s="173" t="s">
        <v>3</v>
      </c>
      <c r="L15" s="172">
        <f>SUM(L9:L14)</f>
        <v>0.54475549999999995</v>
      </c>
      <c r="M15" s="173">
        <f>((SUM(Dat_01!J8,Dat_01!J15:J18,Dat_01!J21)/SUM(Dat_01!K8,Dat_01!K15:K18,Dat_01!K20))-1)*100</f>
        <v>-4.3945357296859555E-2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-1.8682399999999999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15.845756999999999</v>
      </c>
      <c r="G17" s="24">
        <f>((SUM(Dat_01!R10,Dat_01!R14)/SUM(Dat_01!S10,Dat_01!S14))-1)*100</f>
        <v>-4.7489673616243566</v>
      </c>
      <c r="H17" s="154">
        <f>Dat_01!Z10/1000</f>
        <v>133.86502100000001</v>
      </c>
      <c r="I17" s="24">
        <f>Dat_01!AB10*100</f>
        <v>-16.868083840000001</v>
      </c>
      <c r="J17" s="154">
        <f>Dat_01!B10/1000</f>
        <v>16.607367</v>
      </c>
      <c r="K17" s="24">
        <f>Dat_01!D10*100</f>
        <v>5.8797630000000004E-2</v>
      </c>
      <c r="L17" s="154">
        <f>Dat_01!J10/1000</f>
        <v>14.637923000000001</v>
      </c>
      <c r="M17" s="24">
        <f>Dat_01!L10*100</f>
        <v>-5.7906732099999996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18.832346000000001</v>
      </c>
      <c r="G18" s="24">
        <f>Dat_01!T11*100</f>
        <v>-45.490105489999998</v>
      </c>
      <c r="H18" s="154">
        <f>Dat_01!Z11/1000</f>
        <v>12.226844999999999</v>
      </c>
      <c r="I18" s="24">
        <f>Dat_01!AB11*100</f>
        <v>-35.912376999999999</v>
      </c>
      <c r="J18" s="154">
        <f>Dat_01!B11/1000</f>
        <v>8.2899999999999998E-4</v>
      </c>
      <c r="K18" s="24">
        <f>Dat_01!D11*100</f>
        <v>32.2169059</v>
      </c>
      <c r="L18" s="154">
        <f>Dat_01!J11/1000</f>
        <v>1.918E-3</v>
      </c>
      <c r="M18" s="24">
        <f>Dat_01!L11*100</f>
        <v>89.525691699999996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114.048723</v>
      </c>
      <c r="I19" s="24">
        <f>Dat_01!AB12*100</f>
        <v>-45.446975090000002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34.678103</v>
      </c>
      <c r="G20" s="17">
        <f>((SUM(Dat_01!R10:R12,Dat_01!R14)/SUM(Dat_01!S10:S12,Dat_01!S14))-1)*100</f>
        <v>-32.24852296435725</v>
      </c>
      <c r="H20" s="153">
        <f>SUM(H17:H19)</f>
        <v>260.14058899999998</v>
      </c>
      <c r="I20" s="17">
        <f>(H20/(H17/(I17/100+1)+H18/(I18/100+1)+H19/(I19/100+1))-1)*100</f>
        <v>-33.154314635453019</v>
      </c>
      <c r="J20" s="153">
        <f>SUM(J17:J19)</f>
        <v>16.608196</v>
      </c>
      <c r="K20" s="17">
        <f>(J20/(J17/(K17/100+1)+J18/(K18/100+1))-1)*100</f>
        <v>6.0012405781018074E-2</v>
      </c>
      <c r="L20" s="153">
        <f>SUM(L17:L19)</f>
        <v>14.639841000000001</v>
      </c>
      <c r="M20" s="17">
        <f>(L20/(L17/(M17/100+1)+L18/(M18/100+1))-1)*100</f>
        <v>-5.7844654611197139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223.68889899999999</v>
      </c>
      <c r="G21" s="17">
        <f>Dat_01!T13*100</f>
        <v>166.52369429000001</v>
      </c>
      <c r="H21" s="153">
        <f>Dat_01!Z13/1000</f>
        <v>300.75480200000004</v>
      </c>
      <c r="I21" s="17">
        <f>Dat_01!AB13*100</f>
        <v>33.952891750000006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3.4759910000000001</v>
      </c>
      <c r="G22" s="17">
        <f>Dat_01!T19*100</f>
        <v>6.3821497899999997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10.531687</v>
      </c>
      <c r="G23" s="17">
        <f>Dat_01!T20*100</f>
        <v>-4.9800821699999993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0.54475549999999995</v>
      </c>
      <c r="M23" s="17">
        <f>Dat_01!L20*100</f>
        <v>1.1740529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270.50644</v>
      </c>
      <c r="G24" s="173">
        <f>((SUM(Dat_01!R9:R14,Dat_01!R19,Dat_01!R21)/SUM(Dat_01!S9:S14,Dat_01!S19,Dat_01!S21))-1)*100</f>
        <v>-7.1098526022468578</v>
      </c>
      <c r="H24" s="155">
        <f>SUM(H16,H20:H23)</f>
        <v>560.89539100000002</v>
      </c>
      <c r="I24" s="173">
        <f>((SUM(Dat_01!Z9:Z14,Dat_01!Z19,Dat_01!Z21)/SUM(Dat_01!AA9:AA14,Dat_01!AA19,Dat_01!AA21))-1)*100</f>
        <v>-8.6026170748419784</v>
      </c>
      <c r="J24" s="155">
        <f>SUM(J16,J20:J23)</f>
        <v>16.608196</v>
      </c>
      <c r="K24" s="173">
        <f>((SUM(Dat_01!B9:B14,Dat_01!B19,Dat_01!B21)/SUM(Dat_01!C9:C14,Dat_01!C19,Dat_01!C21))-1)*100</f>
        <v>6.0012404933407204E-2</v>
      </c>
      <c r="L24" s="155">
        <f>SUM(L16,L20:L23)</f>
        <v>15.184596500000001</v>
      </c>
      <c r="M24" s="173">
        <f>((SUM(Dat_01!J9:J14,Dat_01!J19,Dat_01!J21)/SUM(Dat_01!K9:K14,Dat_01!K19,Dat_01!K21))-1)*100</f>
        <v>-5.5514195840245861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112.780382</v>
      </c>
      <c r="G25" s="14">
        <f>Dat_01!T23*100</f>
        <v>-7.8029248199999994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403.27694300000002</v>
      </c>
      <c r="G26" s="11">
        <f>Dat_01!T24*100</f>
        <v>-7.6781150800000004</v>
      </c>
      <c r="H26" s="157">
        <f>Dat_01!Z24/1000</f>
        <v>681.11681799999997</v>
      </c>
      <c r="I26" s="11">
        <f>Dat_01!AB24*100</f>
        <v>-7.7843872800000007</v>
      </c>
      <c r="J26" s="157">
        <f>Dat_01!B24/1000</f>
        <v>16.608196</v>
      </c>
      <c r="K26" s="11">
        <f>Dat_01!D24*100</f>
        <v>6.0012399999999994E-2</v>
      </c>
      <c r="L26" s="157">
        <f>Dat_01!J24/1000</f>
        <v>15.729352</v>
      </c>
      <c r="M26" s="11">
        <f>Dat_01!L24*100</f>
        <v>-5.3708439600000002</v>
      </c>
      <c r="N26" s="10"/>
      <c r="O26" s="10"/>
    </row>
    <row r="27" spans="3:23" s="2" customFormat="1" ht="16.350000000000001" customHeight="1">
      <c r="C27" s="13"/>
      <c r="E27" s="199" t="s">
        <v>56</v>
      </c>
      <c r="F27" s="199"/>
      <c r="G27" s="199"/>
      <c r="H27" s="199"/>
      <c r="I27" s="199"/>
      <c r="J27" s="199"/>
      <c r="K27" s="199"/>
      <c r="L27" s="170"/>
      <c r="M27" s="171"/>
      <c r="N27" s="10"/>
      <c r="O27" s="10"/>
    </row>
    <row r="28" spans="3:23" s="2" customFormat="1" ht="34.5" customHeight="1">
      <c r="C28" s="13"/>
      <c r="E28" s="200" t="s">
        <v>120</v>
      </c>
      <c r="F28" s="200"/>
      <c r="G28" s="200"/>
      <c r="H28" s="200"/>
      <c r="I28" s="200"/>
      <c r="J28" s="200"/>
      <c r="K28" s="200"/>
      <c r="L28" s="200"/>
      <c r="M28" s="200"/>
      <c r="N28" s="10"/>
      <c r="O28" s="10"/>
    </row>
    <row r="29" spans="3:23" s="2" customFormat="1" ht="12.75" customHeight="1">
      <c r="C29" s="8"/>
      <c r="D29" s="8"/>
      <c r="E29" s="198" t="s">
        <v>0</v>
      </c>
      <c r="F29" s="198"/>
      <c r="G29" s="198"/>
      <c r="H29" s="198"/>
      <c r="I29" s="198"/>
      <c r="J29" s="198"/>
      <c r="K29" s="198"/>
      <c r="L29" s="198"/>
      <c r="M29" s="198"/>
      <c r="O29" s="9"/>
    </row>
    <row r="30" spans="3:23" s="7" customFormat="1" ht="12.75" customHeight="1">
      <c r="E30" s="197" t="s">
        <v>88</v>
      </c>
      <c r="F30" s="197"/>
      <c r="G30" s="197"/>
      <c r="H30" s="197"/>
      <c r="I30" s="197"/>
      <c r="J30" s="197"/>
      <c r="K30" s="197"/>
      <c r="L30" s="197"/>
      <c r="M30" s="197"/>
    </row>
    <row r="31" spans="3:23" s="2" customFormat="1" ht="12.75" customHeight="1">
      <c r="C31" s="8"/>
      <c r="D31" s="8"/>
      <c r="E31" s="197" t="s">
        <v>91</v>
      </c>
      <c r="F31" s="197"/>
      <c r="G31" s="197"/>
      <c r="H31" s="197"/>
      <c r="I31" s="197"/>
      <c r="J31" s="197"/>
      <c r="K31" s="197"/>
      <c r="L31" s="197"/>
      <c r="M31" s="197"/>
    </row>
    <row r="32" spans="3:23" ht="12.75" customHeight="1">
      <c r="C32" s="1"/>
      <c r="D32" s="1"/>
      <c r="E32" s="197" t="s">
        <v>92</v>
      </c>
      <c r="F32" s="197"/>
      <c r="G32" s="197"/>
      <c r="H32" s="197"/>
      <c r="I32" s="197"/>
      <c r="J32" s="197"/>
      <c r="K32" s="197"/>
      <c r="L32" s="197"/>
      <c r="M32" s="197"/>
    </row>
    <row r="33" spans="3:13" ht="12.75" customHeight="1">
      <c r="C33" s="1"/>
      <c r="D33" s="1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34" sqref="G34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Marzo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1" t="s">
        <v>31</v>
      </c>
      <c r="D7" s="44"/>
      <c r="E7" s="48"/>
    </row>
    <row r="8" spans="2:12" s="38" customFormat="1" ht="12.75" customHeight="1">
      <c r="B8" s="46"/>
      <c r="C8" s="201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3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1" t="s">
        <v>28</v>
      </c>
      <c r="E24" s="42"/>
      <c r="J24" s="38"/>
      <c r="K24" s="38"/>
    </row>
    <row r="25" spans="2:12">
      <c r="C25" s="201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J20" sqref="J20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Marzo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2" t="s">
        <v>32</v>
      </c>
      <c r="D7" s="64"/>
      <c r="E7" s="68"/>
    </row>
    <row r="8" spans="1:20" s="56" customFormat="1" ht="12.75" customHeight="1">
      <c r="A8" s="67"/>
      <c r="B8" s="66"/>
      <c r="C8" s="202"/>
      <c r="D8" s="64"/>
      <c r="E8" s="68"/>
      <c r="F8" s="63"/>
    </row>
    <row r="9" spans="1:20" s="56" customFormat="1" ht="12.75" customHeight="1">
      <c r="A9" s="67"/>
      <c r="B9" s="66"/>
      <c r="C9" s="202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Marzo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1" t="s">
        <v>35</v>
      </c>
      <c r="D7" s="44"/>
      <c r="E7" s="48"/>
    </row>
    <row r="8" spans="2:12" s="38" customFormat="1" ht="12.75" customHeight="1">
      <c r="B8" s="46"/>
      <c r="C8" s="201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1" t="s">
        <v>49</v>
      </c>
      <c r="E24" s="42"/>
      <c r="J24" s="38"/>
      <c r="K24" s="38"/>
    </row>
    <row r="25" spans="2:12">
      <c r="C25" s="201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E27" sqref="E27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Marzo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2" t="s">
        <v>36</v>
      </c>
      <c r="D7" s="64"/>
      <c r="E7" s="68"/>
    </row>
    <row r="8" spans="1:20" s="56" customFormat="1" ht="12.75" customHeight="1">
      <c r="A8" s="67"/>
      <c r="B8" s="66"/>
      <c r="C8" s="202"/>
      <c r="D8" s="64"/>
      <c r="E8" s="68"/>
      <c r="F8" s="63"/>
    </row>
    <row r="9" spans="1:20" s="56" customFormat="1" ht="12.75" customHeight="1">
      <c r="A9" s="67"/>
      <c r="B9" s="66"/>
      <c r="C9" s="202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2020-04-15T15:23:30Z</dcterms:modified>
</cp:coreProperties>
</file>