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JUN\INF_ELABORADA\"/>
    </mc:Choice>
  </mc:AlternateContent>
  <xr:revisionPtr revIDLastSave="0" documentId="13_ncr:1_{A06A6FF8-B78F-4C11-BD83-5F2329B2755E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Dat_01!$A$85:$U$112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18" l="1"/>
  <c r="G52" i="18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C68" i="18"/>
  <c r="D69" i="18" l="1"/>
  <c r="D75" i="18"/>
  <c r="D70" i="18"/>
  <c r="D76" i="18"/>
  <c r="D71" i="18"/>
  <c r="D73" i="18"/>
  <c r="D77" i="18"/>
  <c r="D68" i="18"/>
  <c r="D74" i="18"/>
  <c r="D78" i="18"/>
  <c r="C80" i="18"/>
  <c r="B73" i="18" s="1"/>
  <c r="B68" i="18" l="1"/>
  <c r="B79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G16" i="22"/>
  <c r="O117" i="18"/>
  <c r="O119" i="18" s="1"/>
  <c r="B47" i="18" l="1"/>
  <c r="C47" i="18"/>
  <c r="M12" i="22" l="1"/>
  <c r="C26" i="18" l="1"/>
  <c r="B26" i="18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K18" i="22" l="1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M18" i="22"/>
  <c r="L18" i="22"/>
  <c r="J18" i="22"/>
  <c r="I18" i="22"/>
  <c r="H18" i="22"/>
  <c r="G18" i="22"/>
  <c r="F18" i="22"/>
  <c r="F20" i="22" s="1"/>
  <c r="M17" i="22"/>
  <c r="L17" i="22"/>
  <c r="K17" i="22"/>
  <c r="J17" i="22"/>
  <c r="J20" i="22" s="1"/>
  <c r="I17" i="22"/>
  <c r="H17" i="22"/>
  <c r="G17" i="22"/>
  <c r="F16" i="22"/>
  <c r="M15" i="22"/>
  <c r="I15" i="22"/>
  <c r="G15" i="22"/>
  <c r="M14" i="22"/>
  <c r="L14" i="22"/>
  <c r="G14" i="22"/>
  <c r="F14" i="22"/>
  <c r="I13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I9" i="22"/>
  <c r="H9" i="22"/>
  <c r="L15" i="22" l="1"/>
  <c r="K20" i="22"/>
  <c r="L20" i="22"/>
  <c r="L24" i="22" s="1"/>
  <c r="H15" i="22"/>
  <c r="F15" i="22"/>
  <c r="F24" i="22"/>
  <c r="H20" i="22"/>
  <c r="I20" i="22" s="1"/>
  <c r="J24" i="22"/>
  <c r="M20" i="22" l="1"/>
  <c r="H24" i="22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6" i="18"/>
  <c r="O140" i="18"/>
  <c r="O135" i="18"/>
  <c r="O139" i="18"/>
  <c r="O143" i="18"/>
  <c r="O138" i="18"/>
  <c r="O137" i="18"/>
  <c r="O141" i="18"/>
  <c r="O142" i="18"/>
  <c r="O144" i="18"/>
  <c r="N117" i="18"/>
  <c r="O121" i="18"/>
  <c r="O122" i="18"/>
  <c r="O124" i="18"/>
  <c r="O125" i="18"/>
  <c r="O126" i="18"/>
  <c r="O127" i="18"/>
  <c r="O128" i="18"/>
  <c r="O129" i="18"/>
  <c r="O130" i="18"/>
  <c r="O131" i="18"/>
  <c r="O132" i="18"/>
  <c r="O133" i="18" l="1"/>
  <c r="N120" i="18"/>
  <c r="N123" i="18"/>
  <c r="N135" i="18"/>
  <c r="N136" i="18"/>
  <c r="N137" i="18"/>
  <c r="N138" i="18"/>
  <c r="N139" i="18"/>
  <c r="N140" i="18"/>
  <c r="N141" i="18"/>
  <c r="N143" i="18"/>
  <c r="N142" i="18"/>
  <c r="N144" i="18"/>
  <c r="M117" i="18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O146" i="18"/>
  <c r="M120" i="18" l="1"/>
  <c r="M123" i="18"/>
  <c r="N133" i="18"/>
  <c r="N146" i="18"/>
  <c r="M135" i="18"/>
  <c r="M136" i="18"/>
  <c r="M137" i="18"/>
  <c r="M138" i="18"/>
  <c r="M139" i="18"/>
  <c r="M140" i="18"/>
  <c r="M141" i="18"/>
  <c r="M142" i="18"/>
  <c r="M143" i="18"/>
  <c r="M144" i="18"/>
  <c r="L117" i="18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23" i="18" l="1"/>
  <c r="L120" i="18"/>
  <c r="M133" i="18"/>
  <c r="M146" i="18"/>
  <c r="L135" i="18"/>
  <c r="L136" i="18"/>
  <c r="L137" i="18"/>
  <c r="L138" i="18"/>
  <c r="L139" i="18"/>
  <c r="L140" i="18"/>
  <c r="L141" i="18"/>
  <c r="L142" i="18"/>
  <c r="L143" i="18"/>
  <c r="L144" i="18"/>
  <c r="K117" i="18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20" i="18" l="1"/>
  <c r="K123" i="18"/>
  <c r="L133" i="18"/>
  <c r="E3" i="13"/>
  <c r="K135" i="18"/>
  <c r="K139" i="18"/>
  <c r="K138" i="18"/>
  <c r="K142" i="18"/>
  <c r="K144" i="18"/>
  <c r="K137" i="18"/>
  <c r="K141" i="18"/>
  <c r="K136" i="18"/>
  <c r="K140" i="18"/>
  <c r="K143" i="18"/>
  <c r="J117" i="18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H55" i="18" l="1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6" i="18"/>
  <c r="J137" i="18"/>
  <c r="J138" i="18"/>
  <c r="J139" i="18"/>
  <c r="J140" i="18"/>
  <c r="J141" i="18"/>
  <c r="J142" i="18"/>
  <c r="J144" i="18"/>
  <c r="J143" i="18"/>
  <c r="I117" i="18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20" i="18" l="1"/>
  <c r="I123" i="18"/>
  <c r="J133" i="18"/>
  <c r="J146" i="18"/>
  <c r="I135" i="18"/>
  <c r="I136" i="18"/>
  <c r="I137" i="18"/>
  <c r="I138" i="18"/>
  <c r="I139" i="18"/>
  <c r="I140" i="18"/>
  <c r="I141" i="18"/>
  <c r="I142" i="18"/>
  <c r="I143" i="18"/>
  <c r="I144" i="18"/>
  <c r="H117" i="18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23" i="18" l="1"/>
  <c r="H120" i="18"/>
  <c r="I133" i="18"/>
  <c r="H135" i="18"/>
  <c r="H136" i="18"/>
  <c r="H137" i="18"/>
  <c r="H138" i="18"/>
  <c r="H139" i="18"/>
  <c r="H140" i="18"/>
  <c r="H141" i="18"/>
  <c r="H142" i="18"/>
  <c r="H143" i="18"/>
  <c r="H144" i="18"/>
  <c r="I146" i="18"/>
  <c r="G117" i="18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23" i="18" l="1"/>
  <c r="G120" i="18"/>
  <c r="H133" i="18"/>
  <c r="H146" i="18"/>
  <c r="G138" i="18"/>
  <c r="G142" i="18"/>
  <c r="G137" i="18"/>
  <c r="G141" i="18"/>
  <c r="G143" i="18"/>
  <c r="G136" i="18"/>
  <c r="G140" i="18"/>
  <c r="G135" i="18"/>
  <c r="G139" i="18"/>
  <c r="G144" i="18"/>
  <c r="F117" i="18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20" i="18" l="1"/>
  <c r="F123" i="18"/>
  <c r="G133" i="18"/>
  <c r="G146" i="18"/>
  <c r="F135" i="18"/>
  <c r="F136" i="18"/>
  <c r="F137" i="18"/>
  <c r="F138" i="18"/>
  <c r="F139" i="18"/>
  <c r="F140" i="18"/>
  <c r="F141" i="18"/>
  <c r="F142" i="18"/>
  <c r="F143" i="18"/>
  <c r="F144" i="18"/>
  <c r="E117" i="18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20" i="18" l="1"/>
  <c r="E123" i="18"/>
  <c r="F133" i="18"/>
  <c r="E135" i="18"/>
  <c r="E136" i="18"/>
  <c r="E137" i="18"/>
  <c r="E138" i="18"/>
  <c r="E139" i="18"/>
  <c r="E140" i="18"/>
  <c r="E141" i="18"/>
  <c r="E142" i="18"/>
  <c r="E143" i="18"/>
  <c r="E144" i="18"/>
  <c r="F146" i="18"/>
  <c r="D117" i="18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23" i="18" l="1"/>
  <c r="D120" i="18"/>
  <c r="E133" i="18"/>
  <c r="E146" i="18"/>
  <c r="D135" i="18"/>
  <c r="D136" i="18"/>
  <c r="D137" i="18"/>
  <c r="D138" i="18"/>
  <c r="D139" i="18"/>
  <c r="D140" i="18"/>
  <c r="D141" i="18"/>
  <c r="D142" i="18"/>
  <c r="D143" i="18"/>
  <c r="D144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D133" i="18" l="1"/>
  <c r="C144" i="18"/>
  <c r="C120" i="18"/>
  <c r="C123" i="18"/>
  <c r="D146" i="18"/>
  <c r="C143" i="18"/>
  <c r="C139" i="18"/>
  <c r="C135" i="18"/>
  <c r="C131" i="18"/>
  <c r="C125" i="18"/>
  <c r="C121" i="18"/>
  <c r="C142" i="18"/>
  <c r="C138" i="18"/>
  <c r="C141" i="18"/>
  <c r="C137" i="18"/>
  <c r="C132" i="18"/>
  <c r="C127" i="18"/>
  <c r="C119" i="18"/>
  <c r="C140" i="18"/>
  <c r="C136" i="18"/>
  <c r="C130" i="18"/>
  <c r="C122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<sst xmlns="http://schemas.openxmlformats.org/spreadsheetml/2006/main" count="424" uniqueCount="132">
  <si>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</si>
  <si>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</si>
  <si>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</si>
  <si>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</si>
  <si>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</si>
  <si>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</si>
  <si>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</si>
  <si>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</si>
  <si>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</si>
  <si>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</si>
  <si>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</si>
  <si>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</si>
  <si>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</si>
  <si>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</si>
  <si>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</si>
  <si>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</si>
  <si>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</si>
  <si>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</si>
  <si>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</si>
  <si>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</si>
  <si>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</si>
  <si>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</si>
  <si>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</si>
  <si>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</si>
  <si>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</si>
  <si>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</si>
  <si>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</si>
  <si>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</si>
  <si>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</si>
  <si>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</si>
  <si>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</si>
  <si>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</si>
  <si>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</si>
  <si>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</si>
  <si>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</si>
  <si>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</si>
  <si>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</si>
  <si>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</si>
  <si>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</si>
  <si>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</si>
  <si>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</si>
  <si>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</si>
  <si>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</si>
  <si>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</si>
  <si>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</si>
  <si>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</si>
  <si>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</si>
  <si>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</si>
  <si>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</si>
  <si>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</si>
  <si>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</si>
  <si>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</si>
  <si>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</si>
  <si>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</si>
  <si>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</si>
  <si>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</si>
  <si>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</si>
  <si>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</si>
  <si>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</si>
  <si>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</si>
  <si>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</si>
  <si>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</si>
  <si>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</si>
  <si>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</si>
  <si>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</si>
  <si>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</si>
  <si>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</si>
  <si>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</si>
  <si>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</si>
  <si>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</si>
  <si>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</si>
  <si>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</si>
  <si>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</si>
  <si>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</si>
  <si>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</si>
  <si>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</si>
  <si>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</si>
  <si>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</si>
  <si>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</si>
  <si>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</si>
  <si>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Enero 2019</t>
  </si>
  <si>
    <t>Febrero 2019</t>
  </si>
  <si>
    <t>Marzo 2019</t>
  </si>
  <si>
    <t>Abril 2019</t>
  </si>
  <si>
    <t>Mayo 2019</t>
  </si>
  <si>
    <t>Junio 2019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</si>
  <si>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</si>
  <si>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</si>
  <si>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</si>
  <si>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</si>
  <si>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</si>
  <si>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</si>
  <si>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</si>
  <si>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</si>
  <si>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t>Julio 2019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</si>
  <si>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</si>
  <si>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</si>
  <si>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Agosto 2019</t>
  </si>
  <si>
    <t>Septiembre 2019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</si>
  <si>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</si>
  <si>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</si>
  <si>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</si>
  <si>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</si>
  <si>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</si>
  <si>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</si>
  <si>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</si>
  <si>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</si>
  <si>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</si>
  <si>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</si>
  <si>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</si>
  <si>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</si>
  <si>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</si>
  <si>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Octubre 2019</t>
  </si>
  <si>
    <t>Noviembre 2019</t>
  </si>
  <si>
    <t>Demanda No Peninsular</t>
  </si>
  <si>
    <t>Diciembre 2019</t>
  </si>
  <si>
    <t>Enero 2020</t>
  </si>
  <si>
    <t>Febrero 2020</t>
  </si>
  <si>
    <t>MWh</t>
  </si>
  <si>
    <t>Marzo 2020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</si>
  <si>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</si>
  <si>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Abril 2020</t>
  </si>
  <si>
    <t>Mayo 2020</t>
  </si>
  <si>
    <t>Junio 2020</t>
  </si>
  <si>
    <t>30/06/2020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</si>
  <si>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ut="07/09/2020 08:04:14" si="2.000000017ce66dc0b590185d88a58d7c929a2abbaf9b3e44a59d08a05759bfb1ccee0da761e6add50c7fcf1b1607d035d3401f215598f5c3f3de28d96fc1833b76bd91686fb6f0ba042716c05a4164dd0cb074aa416465d0a6e1e44fe6ecfdec85cee4fc458d5ed557d1bffa1ab36fd2b1f897e4c7c6eb6beaceb2745b465b515fc9.3082.0.1.Europe/Madrid.upriv*_1*_pidn2*_36*_session*-lat*_1.00000001e4aae22320d184582c573ddf57ef1aeebc6025e09135b878b913f8083dfe28ce1bcdf4b3b6de193682e6e0e8ecab0dfeeb5bfe91.0000000160c7ac864af505877990fb6ff1a87908bc6025e04c54a89ab45f5adb172971989b77f9f9f2c2eb5b1ce4cb0aa577baaf19483f9c.0.1.1.BDEbi.D066E1C611E6257C10D00080EF253B44.0-3082.1.1_-0.1.0_-3082.1.1_5.5.0.*0.00000001ab6a59c2b3f9b40978c84ce00ff94356c911585ac379cba16c457a4af9ebda2fd479c15c.0.10*.25*.15*.214.23.10*.4*.0400*.0074J.e.00000001ee1c0e5efe74149a92d1dbe90a77f58dc911585a28e340f5e6b8d05d326331c2d3ca3977.0" msgID="C278D45B11EAC1BA256C0080EFA5B0F2"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nrr="36"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</si>
  <si>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ut="07/09/2020 08:07:35" si="2.000000017ce66dc0b590185d88a58d7c929a2abbaf9b3e44a59d08a05759bfb1ccee0da761e6add50c7fcf1b1607d035d3401f215598f5c3f3de28d96fc1833b76bd91686fb6f0ba042716c05a4164dd0cb074aa416465d0a6e1e44fe6ecfdec85cee4fc458d5ed557d1bffa1ab36fd2b1f897e4c7c6eb6beaceb2745b465b515fc9.3082.0.1.Europe/Madrid.upriv*_1*_pidn2*_36*_session*-lat*_1.00000001e4aae22320d184582c573ddf57ef1aeebc6025e09135b878b913f8083dfe28ce1bcdf4b3b6de193682e6e0e8ecab0dfeeb5bfe91.0000000160c7ac864af505877990fb6ff1a87908bc6025e04c54a89ab45f5adb172971989b77f9f9f2c2eb5b1ce4cb0aa577baaf19483f9c.0.1.1.BDEbi.D066E1C611E6257C10D00080EF253B44.0-3082.1.1_-0.1.0_-3082.1.1_5.5.0.*0.00000001ab6a59c2b3f9b40978c84ce00ff94356c911585ac379cba16c457a4af9ebda2fd479c15c.0.10*.25*.15*.214.23.10*.4*.0400*.0074J.e.00000001ee1c0e5efe74149a92d1dbe90a77f58dc911585a28e340f5e6b8d05d326331c2d3ca3977.0" msgID="D581B67B11EAC1BA256C0080EF8570F1"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nrr="629" nrc="1184"&gt;&lt;pg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</si>
  <si>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Julio 2020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</si>
  <si>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ut="07/09/2020 08:17:56" si="2.000000017ce66dc0b590185d88a58d7c929a2abbaf9b3e44a59d08a05759bfb1ccee0da761e6add50c7fcf1b1607d035d3401f215598f5c3f3de28d96fc1833b76bd91686fb6f0ba042716c05a4164dd0cb074aa416465d0a6e1e44fe6ecfdec85cee4fc458d5ed557d1bffa1ab36fd2b1f897e4c7c6eb6beaceb2745b465b515fc9.3082.0.1.Europe/Madrid.upriv*_1*_pidn2*_36*_session*-lat*_1.00000001e4aae22320d184582c573ddf57ef1aeebc6025e09135b878b913f8083dfe28ce1bcdf4b3b6de193682e6e0e8ecab0dfeeb5bfe91.0000000160c7ac864af505877990fb6ff1a87908bc6025e04c54a89ab45f5adb172971989b77f9f9f2c2eb5b1ce4cb0aa577baaf19483f9c.0.1.1.BDEbi.D066E1C611E6257C10D00080EF253B44.0-3082.1.1_-0.1.0_-3082.1.1_5.5.0.*0.00000001ab6a59c2b3f9b40978c84ce00ff94356c911585ac379cba16c457a4af9ebda2fd479c15c.0.10*.25*.15*.214.23.10*.4*.0400*.0074J.e.00000001ee1c0e5efe74149a92d1dbe90a77f58dc911585a28e340f5e6b8d05d326331c2d3ca3977.0" msgID="8E4E232311EAC1BC256C0080EF5511F3"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cols="21" /&gt;&lt;esdo ews="" ece="" ptn="" /&gt;&lt;/excel&gt;&lt;pgs&gt;&lt;pg rows="25" cols="19" nrr="877" nrc="679"&gt;&lt;pg /&gt;&lt;bls&gt;&lt;bl sr="1" sc="1" rfetch="25" cfetch="19" posid="1" darows="0" dacols="1"&gt;&lt;excel&gt;&lt;epo ews="Dat_01" ece="A85" enr="MSTR.Serie_Balance_B.C._Mensual_Baleares_y_Canarias" ptn="" qtn="" rows="28" cols="21" /&gt;&lt;esdo ews="" ece="" ptn="" /&gt;&lt;/excel&gt;&lt;gridRng&gt;&lt;sect id="TITLE_AREA" rngprop="1:1:3:2" /&gt;&lt;sect id="ROWHEADERS_AREA" rngprop="4:1:25:2" /&gt;&lt;sect id="COLUMNHEADERS_AREA" rngprop="1:3:3:19" /&gt;&lt;sect id="DATA_AREA" rngprop="4:3:25:19"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</si>
  <si>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ut="07/09/2020 08:18:58" si="2.00000001c63cdebc975513001ec3377f1676004cf87e881dc4eed43abc6ee7565b3da5e758576e4542440ab85f4acb9930093907c02221de13f04a5262f61ed634c15c19245173dd13563d386a82bfde77241c3b497fd9f622ddb698cea63a0b8f8b0bc4dd4db10b3ab96fc6fa80694c861c56b69530fd314c4223c4715bddd6ee14.3082.0.1.Europe/Madrid.upriv*_1*_pidn2*_113*_session*-lat*_1.00000001ff1aaf4c25d673453fd2920b894f2533bc6025e01c2b7f454db722720565f06cbfaccb9c6746c251fef635d598c8ac7b824d7f39.00000001a972a547bc6f3fe78531c9c3827d0462bc6025e04b921ed1cb73bcfe71feeb70675671f0414dd58e91ab438ae8c17268f8554f24.0.1.1.BDEbi.D066E1C611E6257C10D00080EF253B44.0-3082.1.1_-0.1.0_-3082.1.1_5.5.0.*0.000000014b1c2306efbf3a0e5c153cec906d0086c911585a8cc1f9063e9fde749318c18e3e67858a.0.10*.25*.15*.214.23.10*.4*.0400*.0074J.e.000000015fccb79b5b16140a45c064e305eb577dc911585a525cc921f4e69d4e7121ef27e712ff54.0" msgID="CDB60D9B11EAC1BC256C0080EF856FEF"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nrr="11" nrc="144"&gt;&lt;pg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</si>
  <si>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a64219b2481b412caacc5c4611b1144e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</si>
  <si>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ut="07/09/2020 08:22:14" si="2.00000001c63cdebc975513001ec3377f1676004cf87e881dc4eed43abc6ee7565b3da5e758576e4542440ab85f4acb9930093907c02221de13f04a5262f61ed634c15c19245173dd13563d386a82bfde77241c3b497fd9f622ddb698cea63a0b8f8b0bc4dd4db10b3ab96fc6fa80694c861c56b69530fd314c4223c4715bddd6ee14.3082.0.1.Europe/Madrid.upriv*_1*_pidn2*_113*_session*-lat*_1.00000001ff1aaf4c25d673453fd2920b894f2533bc6025e01c2b7f454db722720565f06cbfaccb9c6746c251fef635d598c8ac7b824d7f39.00000001a972a547bc6f3fe78531c9c3827d0462bc6025e04b921ed1cb73bcfe71feeb70675671f0414dd58e91ab438ae8c17268f8554f24.0.1.1.BDEbi.D066E1C611E6257C10D00080EF253B44.0-3082.1.1_-0.1.0_-3082.1.1_5.5.0.*0.000000014b1c2306efbf3a0e5c153cec906d0086c911585a8cc1f9063e9fde749318c18e3e67858a.0.10*.25*.15*.214.23.10*.4*.0400*.0074J.e.000000015fccb79b5b16140a45c064e305eb577dc911585a525cc921f4e69d4e7121ef27e712ff54.0" msgID="449EB19711EAC1BD256C0080EF1591F3"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nrr="17" nrc="216"&gt;&lt;pg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</si>
</sst>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</numFmts>
  <fonts count="51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theme="0"/>
      <name val="Segoe UI"/>
      <family val="2"/>
    </font>
    <font>
      <sz val="9"/>
      <color rgb="FFFF000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4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</cellStyleXfs>
  <cellXfs count="223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0" fontId="2" fillId="10" borderId="0" xfId="6" applyFont="1" applyFill="1" applyBorder="1" applyProtection="1"/>
    <xf numFmtId="165" fontId="3" fillId="0" borderId="0" xfId="4" applyNumberFormat="1" applyFont="1" applyFill="1" applyProtection="1"/>
    <xf numFmtId="165" fontId="2" fillId="0" borderId="0" xfId="6" applyNumberFormat="1" applyFont="1" applyFill="1" applyBorder="1" applyProtection="1"/>
    <xf numFmtId="165" fontId="17" fillId="0" borderId="0" xfId="6" applyNumberFormat="1" applyFont="1" applyFill="1" applyBorder="1" applyProtection="1"/>
    <xf numFmtId="165" fontId="7" fillId="2" borderId="2" xfId="4" applyNumberFormat="1" applyFont="1" applyFill="1" applyBorder="1" applyProtection="1"/>
    <xf numFmtId="3" fontId="7" fillId="0" borderId="0" xfId="3" applyNumberFormat="1" applyFont="1" applyFill="1" applyBorder="1" applyAlignment="1" applyProtection="1">
      <alignment horizontal="right" indent="1"/>
    </xf>
    <xf numFmtId="165" fontId="7" fillId="0" borderId="0" xfId="3" applyNumberFormat="1" applyFont="1" applyFill="1" applyBorder="1" applyAlignment="1" applyProtection="1">
      <alignment horizontal="right" indent="1"/>
    </xf>
    <xf numFmtId="3" fontId="7" fillId="2" borderId="2" xfId="4" applyNumberFormat="1" applyFont="1" applyFill="1" applyBorder="1" applyAlignment="1" applyProtection="1">
      <alignment horizontal="right" indent="1"/>
    </xf>
    <xf numFmtId="165" fontId="7" fillId="2" borderId="2" xfId="4" applyNumberFormat="1" applyFont="1" applyFill="1" applyBorder="1" applyAlignment="1" applyProtection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165" fontId="32" fillId="6" borderId="10" xfId="13" applyNumberFormat="1" applyAlignment="1">
      <alignment horizontal="right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 applyFill="1" applyBorder="1" applyProtection="1"/>
    <xf numFmtId="168" fontId="49" fillId="0" borderId="0" xfId="0" applyNumberFormat="1" applyFont="1"/>
    <xf numFmtId="0" fontId="49" fillId="0" borderId="0" xfId="0" applyFont="1"/>
    <xf numFmtId="0" fontId="50" fillId="0" borderId="0" xfId="0" applyFont="1"/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0" fontId="19" fillId="5" borderId="10" xfId="33" applyAlignment="1">
      <alignment horizontal="right" vertical="center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4" applyNumberFormat="1" applyFont="1" applyBorder="1" applyAlignment="1">
      <alignment horizontal="justify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4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A99BBD"/>
      <color rgb="FF9FA5BD"/>
      <color rgb="FF9A5CBC"/>
      <color rgb="FFF5F5F5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6585365853658537"/>
                  <c:y val="-5.96097730430755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19186991869918699"/>
                  <c:y val="9.15026246719160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3174443377504641"/>
                  <c:y val="3.38235294117646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4160898790090262"/>
                  <c:y val="0.28970588235294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8536585365853658"/>
                  <c:y val="0.151422726570943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940002560655528"/>
                  <c:y val="1.4188281611857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layout>
                <c:manualLayout>
                  <c:x val="-0.17235772357723578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6.8292682926829301E-2"/>
                  <c:y val="-0.253667979002624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20813008130081301"/>
                  <c:y val="-0.12789678863671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4.9435319882674973</c:v>
                </c:pt>
                <c:pt idx="2">
                  <c:v>4.4100948586602815</c:v>
                </c:pt>
                <c:pt idx="3">
                  <c:v>52.805538338098721</c:v>
                </c:pt>
                <c:pt idx="5">
                  <c:v>0.71712323164844161</c:v>
                </c:pt>
                <c:pt idx="6">
                  <c:v>3.9532749977729145</c:v>
                </c:pt>
                <c:pt idx="7">
                  <c:v>3.9532749977729145</c:v>
                </c:pt>
                <c:pt idx="8">
                  <c:v>6.0292855271797507E-2</c:v>
                </c:pt>
                <c:pt idx="9">
                  <c:v>3.3791933482019267</c:v>
                </c:pt>
                <c:pt idx="10">
                  <c:v>1.6499763650019112E-2</c:v>
                </c:pt>
                <c:pt idx="11">
                  <c:v>25.761175620655496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821138211382114"/>
                  <c:y val="-6.86274509803921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9837398373983739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9268292682926828"/>
                  <c:y val="0.26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861788617886179"/>
                  <c:y val="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9918699186991871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21626029063440241"/>
                  <c:y val="-0.14297012505789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0.18048780487804877"/>
                  <c:y val="-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11.965024536745759</c:v>
                </c:pt>
                <c:pt idx="1">
                  <c:v>6.9151095374061322</c:v>
                </c:pt>
                <c:pt idx="2">
                  <c:v>30.031616312379285</c:v>
                </c:pt>
                <c:pt idx="3">
                  <c:v>42.559671647185013</c:v>
                </c:pt>
                <c:pt idx="5">
                  <c:v>0.52022061491232485</c:v>
                </c:pt>
                <c:pt idx="6">
                  <c:v>1.8552732905235965</c:v>
                </c:pt>
                <c:pt idx="7">
                  <c:v>1.8552732905235965</c:v>
                </c:pt>
                <c:pt idx="8">
                  <c:v>0.18044268968661936</c:v>
                </c:pt>
                <c:pt idx="9">
                  <c:v>4.0117067943056899</c:v>
                </c:pt>
                <c:pt idx="10">
                  <c:v>0.10566128633195883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jun.-19</c:v>
                </c:pt>
                <c:pt idx="1">
                  <c:v>jul.-19</c:v>
                </c:pt>
                <c:pt idx="2">
                  <c:v>ago.-19</c:v>
                </c:pt>
                <c:pt idx="3">
                  <c:v>sep.-19</c:v>
                </c:pt>
                <c:pt idx="4">
                  <c:v>oct.-19</c:v>
                </c:pt>
                <c:pt idx="5">
                  <c:v>nov.-19</c:v>
                </c:pt>
                <c:pt idx="6">
                  <c:v>dic.-19</c:v>
                </c:pt>
                <c:pt idx="7">
                  <c:v>ene.-20</c:v>
                </c:pt>
                <c:pt idx="8">
                  <c:v>feb.-20</c:v>
                </c:pt>
                <c:pt idx="9">
                  <c:v>mar.-20</c:v>
                </c:pt>
                <c:pt idx="10">
                  <c:v>abr.-20</c:v>
                </c:pt>
                <c:pt idx="11">
                  <c:v>may.-20</c:v>
                </c:pt>
                <c:pt idx="12">
                  <c:v>jun.-20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98.710933999999995</c:v>
                </c:pt>
                <c:pt idx="1">
                  <c:v>173.44610299999999</c:v>
                </c:pt>
                <c:pt idx="2">
                  <c:v>257.56122599999998</c:v>
                </c:pt>
                <c:pt idx="3">
                  <c:v>239.89604299999999</c:v>
                </c:pt>
                <c:pt idx="4">
                  <c:v>190.859296</c:v>
                </c:pt>
                <c:pt idx="5">
                  <c:v>128.513947</c:v>
                </c:pt>
                <c:pt idx="6">
                  <c:v>137.71730099999999</c:v>
                </c:pt>
                <c:pt idx="7">
                  <c:v>-3.1773479999999998</c:v>
                </c:pt>
                <c:pt idx="8">
                  <c:v>-1.357415</c:v>
                </c:pt>
                <c:pt idx="9">
                  <c:v>-1.7178340000000001</c:v>
                </c:pt>
                <c:pt idx="10">
                  <c:v>-1.673672</c:v>
                </c:pt>
                <c:pt idx="11">
                  <c:v>-1.7940100000000001</c:v>
                </c:pt>
                <c:pt idx="12">
                  <c:v>-1.2808299999999999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jun.-19</c:v>
                </c:pt>
                <c:pt idx="1">
                  <c:v>jul.-19</c:v>
                </c:pt>
                <c:pt idx="2">
                  <c:v>ago.-19</c:v>
                </c:pt>
                <c:pt idx="3">
                  <c:v>sep.-19</c:v>
                </c:pt>
                <c:pt idx="4">
                  <c:v>oct.-19</c:v>
                </c:pt>
                <c:pt idx="5">
                  <c:v>nov.-19</c:v>
                </c:pt>
                <c:pt idx="6">
                  <c:v>dic.-19</c:v>
                </c:pt>
                <c:pt idx="7">
                  <c:v>ene.-20</c:v>
                </c:pt>
                <c:pt idx="8">
                  <c:v>feb.-20</c:v>
                </c:pt>
                <c:pt idx="9">
                  <c:v>mar.-20</c:v>
                </c:pt>
                <c:pt idx="10">
                  <c:v>abr.-20</c:v>
                </c:pt>
                <c:pt idx="11">
                  <c:v>may.-20</c:v>
                </c:pt>
                <c:pt idx="12">
                  <c:v>jun.-20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89.729967000000002</c:v>
                </c:pt>
                <c:pt idx="1">
                  <c:v>140.89836099999999</c:v>
                </c:pt>
                <c:pt idx="2">
                  <c:v>139.42335</c:v>
                </c:pt>
                <c:pt idx="3">
                  <c:v>100.854845</c:v>
                </c:pt>
                <c:pt idx="4">
                  <c:v>70.492742000000007</c:v>
                </c:pt>
                <c:pt idx="5">
                  <c:v>55.934950000000001</c:v>
                </c:pt>
                <c:pt idx="6">
                  <c:v>39.850644000000003</c:v>
                </c:pt>
                <c:pt idx="7">
                  <c:v>46.988411999999997</c:v>
                </c:pt>
                <c:pt idx="8">
                  <c:v>37.597881999999998</c:v>
                </c:pt>
                <c:pt idx="9">
                  <c:v>34.745249000000001</c:v>
                </c:pt>
                <c:pt idx="10">
                  <c:v>28.608295999999999</c:v>
                </c:pt>
                <c:pt idx="11">
                  <c:v>29.693214999999999</c:v>
                </c:pt>
                <c:pt idx="12">
                  <c:v>33.872518999999997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jun.-19</c:v>
                </c:pt>
                <c:pt idx="1">
                  <c:v>jul.-19</c:v>
                </c:pt>
                <c:pt idx="2">
                  <c:v>ago.-19</c:v>
                </c:pt>
                <c:pt idx="3">
                  <c:v>sep.-19</c:v>
                </c:pt>
                <c:pt idx="4">
                  <c:v>oct.-19</c:v>
                </c:pt>
                <c:pt idx="5">
                  <c:v>nov.-19</c:v>
                </c:pt>
                <c:pt idx="6">
                  <c:v>dic.-19</c:v>
                </c:pt>
                <c:pt idx="7">
                  <c:v>ene.-20</c:v>
                </c:pt>
                <c:pt idx="8">
                  <c:v>feb.-20</c:v>
                </c:pt>
                <c:pt idx="9">
                  <c:v>mar.-20</c:v>
                </c:pt>
                <c:pt idx="10">
                  <c:v>abr.-20</c:v>
                </c:pt>
                <c:pt idx="11">
                  <c:v>may.-20</c:v>
                </c:pt>
                <c:pt idx="12">
                  <c:v>jun.-20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148.873491</c:v>
                </c:pt>
                <c:pt idx="1">
                  <c:v>160.980031</c:v>
                </c:pt>
                <c:pt idx="2">
                  <c:v>81.694967000000005</c:v>
                </c:pt>
                <c:pt idx="3">
                  <c:v>37.844405000000002</c:v>
                </c:pt>
                <c:pt idx="4">
                  <c:v>49.054825999999998</c:v>
                </c:pt>
                <c:pt idx="5">
                  <c:v>98.891853999999995</c:v>
                </c:pt>
                <c:pt idx="6">
                  <c:v>97.225685999999996</c:v>
                </c:pt>
                <c:pt idx="7">
                  <c:v>247.42845600000001</c:v>
                </c:pt>
                <c:pt idx="8">
                  <c:v>226.17381</c:v>
                </c:pt>
                <c:pt idx="9">
                  <c:v>223.68889899999999</c:v>
                </c:pt>
                <c:pt idx="10">
                  <c:v>190.73178300000001</c:v>
                </c:pt>
                <c:pt idx="11">
                  <c:v>192.66073600000001</c:v>
                </c:pt>
                <c:pt idx="12">
                  <c:v>191.22599500000001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jun.-19</c:v>
                </c:pt>
                <c:pt idx="1">
                  <c:v>jul.-19</c:v>
                </c:pt>
                <c:pt idx="2">
                  <c:v>ago.-19</c:v>
                </c:pt>
                <c:pt idx="3">
                  <c:v>sep.-19</c:v>
                </c:pt>
                <c:pt idx="4">
                  <c:v>oct.-19</c:v>
                </c:pt>
                <c:pt idx="5">
                  <c:v>nov.-19</c:v>
                </c:pt>
                <c:pt idx="6">
                  <c:v>dic.-19</c:v>
                </c:pt>
                <c:pt idx="7">
                  <c:v>ene.-20</c:v>
                </c:pt>
                <c:pt idx="8">
                  <c:v>feb.-20</c:v>
                </c:pt>
                <c:pt idx="9">
                  <c:v>mar.-20</c:v>
                </c:pt>
                <c:pt idx="10">
                  <c:v>abr.-20</c:v>
                </c:pt>
                <c:pt idx="11">
                  <c:v>may.-20</c:v>
                </c:pt>
                <c:pt idx="12">
                  <c:v>jun.-20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0.34985300000000003</c:v>
                </c:pt>
                <c:pt idx="1">
                  <c:v>0.23036599999999999</c:v>
                </c:pt>
                <c:pt idx="2">
                  <c:v>0.347945</c:v>
                </c:pt>
                <c:pt idx="3">
                  <c:v>0.51373500000000005</c:v>
                </c:pt>
                <c:pt idx="4">
                  <c:v>0.402117</c:v>
                </c:pt>
                <c:pt idx="5">
                  <c:v>0.49518299999999998</c:v>
                </c:pt>
                <c:pt idx="6">
                  <c:v>0.44528499999999999</c:v>
                </c:pt>
                <c:pt idx="7">
                  <c:v>0.37082599999999999</c:v>
                </c:pt>
                <c:pt idx="8">
                  <c:v>0.33927600000000002</c:v>
                </c:pt>
                <c:pt idx="9">
                  <c:v>0.53315400000000002</c:v>
                </c:pt>
                <c:pt idx="10">
                  <c:v>0.24332000000000001</c:v>
                </c:pt>
                <c:pt idx="11">
                  <c:v>0.35056999999999999</c:v>
                </c:pt>
                <c:pt idx="12">
                  <c:v>0.21834000000000001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jun.-19</c:v>
                </c:pt>
                <c:pt idx="1">
                  <c:v>jul.-19</c:v>
                </c:pt>
                <c:pt idx="2">
                  <c:v>ago.-19</c:v>
                </c:pt>
                <c:pt idx="3">
                  <c:v>sep.-19</c:v>
                </c:pt>
                <c:pt idx="4">
                  <c:v>oct.-19</c:v>
                </c:pt>
                <c:pt idx="5">
                  <c:v>nov.-19</c:v>
                </c:pt>
                <c:pt idx="6">
                  <c:v>dic.-19</c:v>
                </c:pt>
                <c:pt idx="7">
                  <c:v>ene.-20</c:v>
                </c:pt>
                <c:pt idx="8">
                  <c:v>feb.-20</c:v>
                </c:pt>
                <c:pt idx="9">
                  <c:v>mar.-20</c:v>
                </c:pt>
                <c:pt idx="10">
                  <c:v>abr.-20</c:v>
                </c:pt>
                <c:pt idx="11">
                  <c:v>may.-20</c:v>
                </c:pt>
                <c:pt idx="12">
                  <c:v>jun.-20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13.303602</c:v>
                </c:pt>
                <c:pt idx="1">
                  <c:v>12.477155</c:v>
                </c:pt>
                <c:pt idx="2">
                  <c:v>12.245136</c:v>
                </c:pt>
                <c:pt idx="3">
                  <c:v>10.044699</c:v>
                </c:pt>
                <c:pt idx="4">
                  <c:v>9.1120260000000002</c:v>
                </c:pt>
                <c:pt idx="5">
                  <c:v>6.2902100000000001</c:v>
                </c:pt>
                <c:pt idx="6">
                  <c:v>5.905538</c:v>
                </c:pt>
                <c:pt idx="7">
                  <c:v>5.931076</c:v>
                </c:pt>
                <c:pt idx="8">
                  <c:v>8.7357479999999992</c:v>
                </c:pt>
                <c:pt idx="9">
                  <c:v>9.1979059999999997</c:v>
                </c:pt>
                <c:pt idx="10">
                  <c:v>10.812875</c:v>
                </c:pt>
                <c:pt idx="11">
                  <c:v>12.879177</c:v>
                </c:pt>
                <c:pt idx="12">
                  <c:v>12.237156000000001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jun.-19</c:v>
                </c:pt>
                <c:pt idx="1">
                  <c:v>jul.-19</c:v>
                </c:pt>
                <c:pt idx="2">
                  <c:v>ago.-19</c:v>
                </c:pt>
                <c:pt idx="3">
                  <c:v>sep.-19</c:v>
                </c:pt>
                <c:pt idx="4">
                  <c:v>oct.-19</c:v>
                </c:pt>
                <c:pt idx="5">
                  <c:v>nov.-19</c:v>
                </c:pt>
                <c:pt idx="6">
                  <c:v>dic.-19</c:v>
                </c:pt>
                <c:pt idx="7">
                  <c:v>ene.-20</c:v>
                </c:pt>
                <c:pt idx="8">
                  <c:v>feb.-20</c:v>
                </c:pt>
                <c:pt idx="9">
                  <c:v>mar.-20</c:v>
                </c:pt>
                <c:pt idx="10">
                  <c:v>abr.-20</c:v>
                </c:pt>
                <c:pt idx="11">
                  <c:v>may.-20</c:v>
                </c:pt>
                <c:pt idx="12">
                  <c:v>jun.-20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0.12551699999999999</c:v>
                </c:pt>
                <c:pt idx="1">
                  <c:v>9.8985000000000004E-2</c:v>
                </c:pt>
                <c:pt idx="2">
                  <c:v>8.3479999999999999E-2</c:v>
                </c:pt>
                <c:pt idx="3">
                  <c:v>1.2656000000000001E-2</c:v>
                </c:pt>
                <c:pt idx="4">
                  <c:v>9.9426E-2</c:v>
                </c:pt>
                <c:pt idx="5">
                  <c:v>9.2591999999999994E-2</c:v>
                </c:pt>
                <c:pt idx="6">
                  <c:v>0.18124699999999999</c:v>
                </c:pt>
                <c:pt idx="7">
                  <c:v>0.20147399999999999</c:v>
                </c:pt>
                <c:pt idx="8">
                  <c:v>8.1622E-2</c:v>
                </c:pt>
                <c:pt idx="9">
                  <c:v>2.6786999999999998E-2</c:v>
                </c:pt>
                <c:pt idx="10">
                  <c:v>1.5415999999999999E-2</c:v>
                </c:pt>
                <c:pt idx="11">
                  <c:v>2.3830000000000001E-3</c:v>
                </c:pt>
                <c:pt idx="12">
                  <c:v>5.9750999999999999E-2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jun.-19</c:v>
                </c:pt>
                <c:pt idx="1">
                  <c:v>jul.-19</c:v>
                </c:pt>
                <c:pt idx="2">
                  <c:v>ago.-19</c:v>
                </c:pt>
                <c:pt idx="3">
                  <c:v>sep.-19</c:v>
                </c:pt>
                <c:pt idx="4">
                  <c:v>oct.-19</c:v>
                </c:pt>
                <c:pt idx="5">
                  <c:v>nov.-19</c:v>
                </c:pt>
                <c:pt idx="6">
                  <c:v>dic.-19</c:v>
                </c:pt>
                <c:pt idx="7">
                  <c:v>ene.-20</c:v>
                </c:pt>
                <c:pt idx="8">
                  <c:v>feb.-20</c:v>
                </c:pt>
                <c:pt idx="9">
                  <c:v>mar.-20</c:v>
                </c:pt>
                <c:pt idx="10">
                  <c:v>abr.-20</c:v>
                </c:pt>
                <c:pt idx="11">
                  <c:v>may.-20</c:v>
                </c:pt>
                <c:pt idx="12">
                  <c:v>jun.-20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2.3003499999999999</c:v>
                </c:pt>
                <c:pt idx="1">
                  <c:v>1.194464</c:v>
                </c:pt>
                <c:pt idx="2">
                  <c:v>2.848757</c:v>
                </c:pt>
                <c:pt idx="3">
                  <c:v>2.8740579999999998</c:v>
                </c:pt>
                <c:pt idx="4">
                  <c:v>2.8082799999999999</c:v>
                </c:pt>
                <c:pt idx="5">
                  <c:v>3.3302809999999998</c:v>
                </c:pt>
                <c:pt idx="6">
                  <c:v>3.7760859999999998</c:v>
                </c:pt>
                <c:pt idx="7">
                  <c:v>4.0380969999999996</c:v>
                </c:pt>
                <c:pt idx="8">
                  <c:v>3.7449910000000002</c:v>
                </c:pt>
                <c:pt idx="9">
                  <c:v>3.4759910000000001</c:v>
                </c:pt>
                <c:pt idx="10">
                  <c:v>2.759617</c:v>
                </c:pt>
                <c:pt idx="11">
                  <c:v>2.681413</c:v>
                </c:pt>
                <c:pt idx="12">
                  <c:v>2.5969359999999999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jun.-19</c:v>
                </c:pt>
                <c:pt idx="1">
                  <c:v>jul.-19</c:v>
                </c:pt>
                <c:pt idx="2">
                  <c:v>ago.-19</c:v>
                </c:pt>
                <c:pt idx="3">
                  <c:v>sep.-19</c:v>
                </c:pt>
                <c:pt idx="4">
                  <c:v>oct.-19</c:v>
                </c:pt>
                <c:pt idx="5">
                  <c:v>nov.-19</c:v>
                </c:pt>
                <c:pt idx="6">
                  <c:v>dic.-19</c:v>
                </c:pt>
                <c:pt idx="7">
                  <c:v>ene.-20</c:v>
                </c:pt>
                <c:pt idx="8">
                  <c:v>feb.-20</c:v>
                </c:pt>
                <c:pt idx="9">
                  <c:v>mar.-20</c:v>
                </c:pt>
                <c:pt idx="10">
                  <c:v>abr.-20</c:v>
                </c:pt>
                <c:pt idx="11">
                  <c:v>may.-20</c:v>
                </c:pt>
                <c:pt idx="12">
                  <c:v>jun.-20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13.341946</c:v>
                </c:pt>
                <c:pt idx="1">
                  <c:v>14.4424645</c:v>
                </c:pt>
                <c:pt idx="2">
                  <c:v>12.562136000000001</c:v>
                </c:pt>
                <c:pt idx="3">
                  <c:v>13.691565000000001</c:v>
                </c:pt>
                <c:pt idx="4">
                  <c:v>14.954476</c:v>
                </c:pt>
                <c:pt idx="5">
                  <c:v>13.874806</c:v>
                </c:pt>
                <c:pt idx="6">
                  <c:v>8.5480964999999998</c:v>
                </c:pt>
                <c:pt idx="7">
                  <c:v>9.2619229999999995</c:v>
                </c:pt>
                <c:pt idx="8">
                  <c:v>6.0955329999999996</c:v>
                </c:pt>
                <c:pt idx="9">
                  <c:v>10.531687</c:v>
                </c:pt>
                <c:pt idx="10">
                  <c:v>4.8152900000000001</c:v>
                </c:pt>
                <c:pt idx="11">
                  <c:v>5.3655939999999998</c:v>
                </c:pt>
                <c:pt idx="12">
                  <c:v>14.316091999999999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13.341946</c:v>
                </c:pt>
                <c:pt idx="1">
                  <c:v>14.4424645</c:v>
                </c:pt>
                <c:pt idx="2">
                  <c:v>12.562136000000001</c:v>
                </c:pt>
                <c:pt idx="3">
                  <c:v>13.691565000000001</c:v>
                </c:pt>
                <c:pt idx="4">
                  <c:v>14.954476</c:v>
                </c:pt>
                <c:pt idx="5">
                  <c:v>13.874806</c:v>
                </c:pt>
                <c:pt idx="6">
                  <c:v>8.5480964999999998</c:v>
                </c:pt>
                <c:pt idx="7">
                  <c:v>9.2619229999999995</c:v>
                </c:pt>
                <c:pt idx="8">
                  <c:v>6.0955329999999996</c:v>
                </c:pt>
                <c:pt idx="9">
                  <c:v>10.531687</c:v>
                </c:pt>
                <c:pt idx="10">
                  <c:v>4.8152900000000001</c:v>
                </c:pt>
                <c:pt idx="11">
                  <c:v>5.3655939999999998</c:v>
                </c:pt>
                <c:pt idx="12">
                  <c:v>14.316091999999999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jun.-19</c:v>
                </c:pt>
                <c:pt idx="1">
                  <c:v>jul.-19</c:v>
                </c:pt>
                <c:pt idx="2">
                  <c:v>ago.-19</c:v>
                </c:pt>
                <c:pt idx="3">
                  <c:v>sep.-19</c:v>
                </c:pt>
                <c:pt idx="4">
                  <c:v>oct.-19</c:v>
                </c:pt>
                <c:pt idx="5">
                  <c:v>nov.-19</c:v>
                </c:pt>
                <c:pt idx="6">
                  <c:v>dic.-19</c:v>
                </c:pt>
                <c:pt idx="7">
                  <c:v>ene.-20</c:v>
                </c:pt>
                <c:pt idx="8">
                  <c:v>feb.-20</c:v>
                </c:pt>
                <c:pt idx="9">
                  <c:v>mar.-20</c:v>
                </c:pt>
                <c:pt idx="10">
                  <c:v>abr.-20</c:v>
                </c:pt>
                <c:pt idx="11">
                  <c:v>may.-20</c:v>
                </c:pt>
                <c:pt idx="12">
                  <c:v>jun.-20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159.634671</c:v>
                </c:pt>
                <c:pt idx="1">
                  <c:v>201.16611399999999</c:v>
                </c:pt>
                <c:pt idx="2">
                  <c:v>185.76976199999999</c:v>
                </c:pt>
                <c:pt idx="3">
                  <c:v>153.19726600000001</c:v>
                </c:pt>
                <c:pt idx="4">
                  <c:v>137.66557</c:v>
                </c:pt>
                <c:pt idx="5">
                  <c:v>91.396833999999998</c:v>
                </c:pt>
                <c:pt idx="6">
                  <c:v>119.614278</c:v>
                </c:pt>
                <c:pt idx="7">
                  <c:v>136.155901</c:v>
                </c:pt>
                <c:pt idx="8">
                  <c:v>115.92849699999999</c:v>
                </c:pt>
                <c:pt idx="9">
                  <c:v>112.780382</c:v>
                </c:pt>
                <c:pt idx="10">
                  <c:v>80.581305999999998</c:v>
                </c:pt>
                <c:pt idx="11">
                  <c:v>79.946523999999997</c:v>
                </c:pt>
                <c:pt idx="12">
                  <c:v>93.289579000000003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6260162601626016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5821985487108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20487804878048779"/>
                  <c:y val="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layout>
                <c:manualLayout>
                  <c:x val="-0.19837398373983742"/>
                  <c:y val="7.3529411764705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9.7560975609756101E-2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16.451544908196844</c:v>
                </c:pt>
                <c:pt idx="1">
                  <c:v>18.482444205018531</c:v>
                </c:pt>
                <c:pt idx="2">
                  <c:v>16.010997004541306</c:v>
                </c:pt>
                <c:pt idx="3">
                  <c:v>28.668787525535794</c:v>
                </c:pt>
                <c:pt idx="4">
                  <c:v>0</c:v>
                </c:pt>
                <c:pt idx="5">
                  <c:v>6.7011051610254932E-2</c:v>
                </c:pt>
                <c:pt idx="6">
                  <c:v>0.37784944447564534</c:v>
                </c:pt>
                <c:pt idx="7">
                  <c:v>14.275178551320222</c:v>
                </c:pt>
                <c:pt idx="8">
                  <c:v>5.5435769891273914</c:v>
                </c:pt>
                <c:pt idx="9">
                  <c:v>0.12261032017401099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18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8211394917098778"/>
                  <c:y val="0.107843137254901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5934959349593497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5934959349593497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0.16097573778887395"/>
                  <c:y val="-0.1348039215686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0731707317073171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20.383992207123896</c:v>
                </c:pt>
                <c:pt idx="1">
                  <c:v>1.4414745708853729</c:v>
                </c:pt>
                <c:pt idx="2">
                  <c:v>13.820920238936383</c:v>
                </c:pt>
                <c:pt idx="3">
                  <c:v>42.967261237756112</c:v>
                </c:pt>
                <c:pt idx="4">
                  <c:v>0</c:v>
                </c:pt>
                <c:pt idx="5">
                  <c:v>4.5187330674651346E-2</c:v>
                </c:pt>
                <c:pt idx="6">
                  <c:v>0.12322185340834559</c:v>
                </c:pt>
                <c:pt idx="7">
                  <c:v>17.150553162298117</c:v>
                </c:pt>
                <c:pt idx="8">
                  <c:v>3.9371272733400553</c:v>
                </c:pt>
                <c:pt idx="9">
                  <c:v>0.13026212557707084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jun.-19</c:v>
                </c:pt>
                <c:pt idx="1">
                  <c:v>jul.-19</c:v>
                </c:pt>
                <c:pt idx="2">
                  <c:v>ago.-19</c:v>
                </c:pt>
                <c:pt idx="3">
                  <c:v>sep.-19</c:v>
                </c:pt>
                <c:pt idx="4">
                  <c:v>oct.-19</c:v>
                </c:pt>
                <c:pt idx="5">
                  <c:v>nov.-19</c:v>
                </c:pt>
                <c:pt idx="6">
                  <c:v>dic.-19</c:v>
                </c:pt>
                <c:pt idx="7">
                  <c:v>ene.-20</c:v>
                </c:pt>
                <c:pt idx="8">
                  <c:v>feb.-20</c:v>
                </c:pt>
                <c:pt idx="9">
                  <c:v>mar.-20</c:v>
                </c:pt>
                <c:pt idx="10">
                  <c:v>abr.-20</c:v>
                </c:pt>
                <c:pt idx="11">
                  <c:v>may.-20</c:v>
                </c:pt>
                <c:pt idx="12">
                  <c:v>jun.-20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0.27668100000000001</c:v>
                </c:pt>
                <c:pt idx="1">
                  <c:v>0.29841899999999999</c:v>
                </c:pt>
                <c:pt idx="2">
                  <c:v>0.29929</c:v>
                </c:pt>
                <c:pt idx="3">
                  <c:v>0.28253899999999998</c:v>
                </c:pt>
                <c:pt idx="4">
                  <c:v>0.297543</c:v>
                </c:pt>
                <c:pt idx="5">
                  <c:v>0.29652299999999998</c:v>
                </c:pt>
                <c:pt idx="6">
                  <c:v>0.29914499999999999</c:v>
                </c:pt>
                <c:pt idx="7">
                  <c:v>0.30431399999999997</c:v>
                </c:pt>
                <c:pt idx="8">
                  <c:v>0.26768999999999998</c:v>
                </c:pt>
                <c:pt idx="9">
                  <c:v>0.29889900000000003</c:v>
                </c:pt>
                <c:pt idx="10">
                  <c:v>0.288387</c:v>
                </c:pt>
                <c:pt idx="11">
                  <c:v>0.28846300000000002</c:v>
                </c:pt>
                <c:pt idx="12">
                  <c:v>0.27233299999999999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jun.-19</c:v>
                </c:pt>
                <c:pt idx="1">
                  <c:v>jul.-19</c:v>
                </c:pt>
                <c:pt idx="2">
                  <c:v>ago.-19</c:v>
                </c:pt>
                <c:pt idx="3">
                  <c:v>sep.-19</c:v>
                </c:pt>
                <c:pt idx="4">
                  <c:v>oct.-19</c:v>
                </c:pt>
                <c:pt idx="5">
                  <c:v>nov.-19</c:v>
                </c:pt>
                <c:pt idx="6">
                  <c:v>dic.-19</c:v>
                </c:pt>
                <c:pt idx="7">
                  <c:v>ene.-20</c:v>
                </c:pt>
                <c:pt idx="8">
                  <c:v>feb.-20</c:v>
                </c:pt>
                <c:pt idx="9">
                  <c:v>mar.-20</c:v>
                </c:pt>
                <c:pt idx="10">
                  <c:v>abr.-20</c:v>
                </c:pt>
                <c:pt idx="11">
                  <c:v>may.-20</c:v>
                </c:pt>
                <c:pt idx="12">
                  <c:v>jun.-20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392.00518099999999</c:v>
                </c:pt>
                <c:pt idx="1">
                  <c:v>310.36124699999999</c:v>
                </c:pt>
                <c:pt idx="2">
                  <c:v>307.670436</c:v>
                </c:pt>
                <c:pt idx="3">
                  <c:v>349.34223900000001</c:v>
                </c:pt>
                <c:pt idx="4">
                  <c:v>355.37539000000004</c:v>
                </c:pt>
                <c:pt idx="5">
                  <c:v>354.636663</c:v>
                </c:pt>
                <c:pt idx="6">
                  <c:v>357.24838199999999</c:v>
                </c:pt>
                <c:pt idx="7">
                  <c:v>339.84719799999999</c:v>
                </c:pt>
                <c:pt idx="8">
                  <c:v>310.92523399999999</c:v>
                </c:pt>
                <c:pt idx="9">
                  <c:v>260.14058899999998</c:v>
                </c:pt>
                <c:pt idx="10">
                  <c:v>222.93640199999999</c:v>
                </c:pt>
                <c:pt idx="11">
                  <c:v>252.956976</c:v>
                </c:pt>
                <c:pt idx="12">
                  <c:v>214.832064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jun.-19</c:v>
                </c:pt>
                <c:pt idx="1">
                  <c:v>jul.-19</c:v>
                </c:pt>
                <c:pt idx="2">
                  <c:v>ago.-19</c:v>
                </c:pt>
                <c:pt idx="3">
                  <c:v>sep.-19</c:v>
                </c:pt>
                <c:pt idx="4">
                  <c:v>oct.-19</c:v>
                </c:pt>
                <c:pt idx="5">
                  <c:v>nov.-19</c:v>
                </c:pt>
                <c:pt idx="6">
                  <c:v>dic.-19</c:v>
                </c:pt>
                <c:pt idx="7">
                  <c:v>ene.-20</c:v>
                </c:pt>
                <c:pt idx="8">
                  <c:v>feb.-20</c:v>
                </c:pt>
                <c:pt idx="9">
                  <c:v>mar.-20</c:v>
                </c:pt>
                <c:pt idx="10">
                  <c:v>abr.-20</c:v>
                </c:pt>
                <c:pt idx="11">
                  <c:v>may.-20</c:v>
                </c:pt>
                <c:pt idx="12">
                  <c:v>jun.-20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222.51747599999999</c:v>
                </c:pt>
                <c:pt idx="1">
                  <c:v>262.048877</c:v>
                </c:pt>
                <c:pt idx="2">
                  <c:v>290.23648900000001</c:v>
                </c:pt>
                <c:pt idx="3">
                  <c:v>276.37973799999997</c:v>
                </c:pt>
                <c:pt idx="4">
                  <c:v>305.83225499999998</c:v>
                </c:pt>
                <c:pt idx="5">
                  <c:v>233.08126999999999</c:v>
                </c:pt>
                <c:pt idx="6">
                  <c:v>301.90038800000002</c:v>
                </c:pt>
                <c:pt idx="7">
                  <c:v>336.41169600000001</c:v>
                </c:pt>
                <c:pt idx="8">
                  <c:v>279.07848200000001</c:v>
                </c:pt>
                <c:pt idx="9">
                  <c:v>300.75480199999998</c:v>
                </c:pt>
                <c:pt idx="10">
                  <c:v>246.048203</c:v>
                </c:pt>
                <c:pt idx="11">
                  <c:v>229.928777</c:v>
                </c:pt>
                <c:pt idx="12">
                  <c:v>258.95318400000002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jun.-19</c:v>
                </c:pt>
                <c:pt idx="1">
                  <c:v>jul.-19</c:v>
                </c:pt>
                <c:pt idx="2">
                  <c:v>ago.-19</c:v>
                </c:pt>
                <c:pt idx="3">
                  <c:v>sep.-19</c:v>
                </c:pt>
                <c:pt idx="4">
                  <c:v>oct.-19</c:v>
                </c:pt>
                <c:pt idx="5">
                  <c:v>nov.-19</c:v>
                </c:pt>
                <c:pt idx="6">
                  <c:v>dic.-19</c:v>
                </c:pt>
                <c:pt idx="7">
                  <c:v>ene.-20</c:v>
                </c:pt>
                <c:pt idx="8">
                  <c:v>feb.-20</c:v>
                </c:pt>
                <c:pt idx="9">
                  <c:v>mar.-20</c:v>
                </c:pt>
                <c:pt idx="10">
                  <c:v>abr.-20</c:v>
                </c:pt>
                <c:pt idx="11">
                  <c:v>may.-20</c:v>
                </c:pt>
                <c:pt idx="12">
                  <c:v>jun.-20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1.3721410000000001</c:v>
                </c:pt>
                <c:pt idx="1">
                  <c:v>3.727338</c:v>
                </c:pt>
                <c:pt idx="2">
                  <c:v>3.4751189999999998</c:v>
                </c:pt>
                <c:pt idx="3">
                  <c:v>2.2183510000000002</c:v>
                </c:pt>
                <c:pt idx="4">
                  <c:v>1.582837</c:v>
                </c:pt>
                <c:pt idx="5">
                  <c:v>2.0965220000000002</c:v>
                </c:pt>
                <c:pt idx="6">
                  <c:v>1.15967</c:v>
                </c:pt>
                <c:pt idx="7">
                  <c:v>0.82455000000000001</c:v>
                </c:pt>
                <c:pt idx="8">
                  <c:v>1.3385149999999999</c:v>
                </c:pt>
                <c:pt idx="9">
                  <c:v>1.8236140000000001</c:v>
                </c:pt>
                <c:pt idx="10">
                  <c:v>0.99112500000000003</c:v>
                </c:pt>
                <c:pt idx="11">
                  <c:v>1.4427080000000001</c:v>
                </c:pt>
                <c:pt idx="12">
                  <c:v>0.74262799999999995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jun.-19</c:v>
                </c:pt>
                <c:pt idx="1">
                  <c:v>jul.-19</c:v>
                </c:pt>
                <c:pt idx="2">
                  <c:v>ago.-19</c:v>
                </c:pt>
                <c:pt idx="3">
                  <c:v>sep.-19</c:v>
                </c:pt>
                <c:pt idx="4">
                  <c:v>oct.-19</c:v>
                </c:pt>
                <c:pt idx="5">
                  <c:v>nov.-19</c:v>
                </c:pt>
                <c:pt idx="6">
                  <c:v>dic.-19</c:v>
                </c:pt>
                <c:pt idx="7">
                  <c:v>ene.-20</c:v>
                </c:pt>
                <c:pt idx="8">
                  <c:v>feb.-20</c:v>
                </c:pt>
                <c:pt idx="9">
                  <c:v>mar.-20</c:v>
                </c:pt>
                <c:pt idx="10">
                  <c:v>abr.-20</c:v>
                </c:pt>
                <c:pt idx="11">
                  <c:v>may.-20</c:v>
                </c:pt>
                <c:pt idx="12">
                  <c:v>jun.-20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74.330708999999999</c:v>
                </c:pt>
                <c:pt idx="1">
                  <c:v>158.18352999999999</c:v>
                </c:pt>
                <c:pt idx="2">
                  <c:v>158.502759</c:v>
                </c:pt>
                <c:pt idx="3">
                  <c:v>100.47458899999999</c:v>
                </c:pt>
                <c:pt idx="4">
                  <c:v>89.262077000000005</c:v>
                </c:pt>
                <c:pt idx="5">
                  <c:v>125.115903</c:v>
                </c:pt>
                <c:pt idx="6">
                  <c:v>68.820522999999994</c:v>
                </c:pt>
                <c:pt idx="7">
                  <c:v>60.201912999999998</c:v>
                </c:pt>
                <c:pt idx="8">
                  <c:v>93.150577999999996</c:v>
                </c:pt>
                <c:pt idx="9">
                  <c:v>97.165876999999995</c:v>
                </c:pt>
                <c:pt idx="10">
                  <c:v>54.499831999999998</c:v>
                </c:pt>
                <c:pt idx="11">
                  <c:v>69.748904999999993</c:v>
                </c:pt>
                <c:pt idx="12">
                  <c:v>103.362193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jun.-19</c:v>
                </c:pt>
                <c:pt idx="1">
                  <c:v>jul.-19</c:v>
                </c:pt>
                <c:pt idx="2">
                  <c:v>ago.-19</c:v>
                </c:pt>
                <c:pt idx="3">
                  <c:v>sep.-19</c:v>
                </c:pt>
                <c:pt idx="4">
                  <c:v>oct.-19</c:v>
                </c:pt>
                <c:pt idx="5">
                  <c:v>nov.-19</c:v>
                </c:pt>
                <c:pt idx="6">
                  <c:v>dic.-19</c:v>
                </c:pt>
                <c:pt idx="7">
                  <c:v>ene.-20</c:v>
                </c:pt>
                <c:pt idx="8">
                  <c:v>feb.-20</c:v>
                </c:pt>
                <c:pt idx="9">
                  <c:v>mar.-20</c:v>
                </c:pt>
                <c:pt idx="10">
                  <c:v>abr.-20</c:v>
                </c:pt>
                <c:pt idx="11">
                  <c:v>may.-20</c:v>
                </c:pt>
                <c:pt idx="12">
                  <c:v>jun.-20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23.361749</c:v>
                </c:pt>
                <c:pt idx="1">
                  <c:v>29.608312000000002</c:v>
                </c:pt>
                <c:pt idx="2">
                  <c:v>27.737331000000001</c:v>
                </c:pt>
                <c:pt idx="3">
                  <c:v>23.467742000000001</c:v>
                </c:pt>
                <c:pt idx="4">
                  <c:v>20.840191999999998</c:v>
                </c:pt>
                <c:pt idx="5">
                  <c:v>18.276879999999998</c:v>
                </c:pt>
                <c:pt idx="6">
                  <c:v>17.266753999999999</c:v>
                </c:pt>
                <c:pt idx="7">
                  <c:v>18.497091000000001</c:v>
                </c:pt>
                <c:pt idx="8">
                  <c:v>20.25189</c:v>
                </c:pt>
                <c:pt idx="9">
                  <c:v>21.169239000000001</c:v>
                </c:pt>
                <c:pt idx="10">
                  <c:v>22.557507999999999</c:v>
                </c:pt>
                <c:pt idx="11">
                  <c:v>26.001139999999999</c:v>
                </c:pt>
                <c:pt idx="12">
                  <c:v>23.728103999999998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jun.-19</c:v>
                </c:pt>
                <c:pt idx="1">
                  <c:v>jul.-19</c:v>
                </c:pt>
                <c:pt idx="2">
                  <c:v>ago.-19</c:v>
                </c:pt>
                <c:pt idx="3">
                  <c:v>sep.-19</c:v>
                </c:pt>
                <c:pt idx="4">
                  <c:v>oct.-19</c:v>
                </c:pt>
                <c:pt idx="5">
                  <c:v>nov.-19</c:v>
                </c:pt>
                <c:pt idx="6">
                  <c:v>dic.-19</c:v>
                </c:pt>
                <c:pt idx="7">
                  <c:v>ene.-20</c:v>
                </c:pt>
                <c:pt idx="8">
                  <c:v>feb.-20</c:v>
                </c:pt>
                <c:pt idx="9">
                  <c:v>mar.-20</c:v>
                </c:pt>
                <c:pt idx="10">
                  <c:v>abr.-20</c:v>
                </c:pt>
                <c:pt idx="11">
                  <c:v>may.-20</c:v>
                </c:pt>
                <c:pt idx="12">
                  <c:v>jun.-20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0.82330000000000003</c:v>
                </c:pt>
                <c:pt idx="1">
                  <c:v>0.917458</c:v>
                </c:pt>
                <c:pt idx="2">
                  <c:v>0.71267199999999997</c:v>
                </c:pt>
                <c:pt idx="3">
                  <c:v>0.43661899999999998</c:v>
                </c:pt>
                <c:pt idx="4">
                  <c:v>0.57729399999999997</c:v>
                </c:pt>
                <c:pt idx="5">
                  <c:v>0.87303399999999998</c:v>
                </c:pt>
                <c:pt idx="6">
                  <c:v>0.90510599999999997</c:v>
                </c:pt>
                <c:pt idx="7">
                  <c:v>0.87627999999999995</c:v>
                </c:pt>
                <c:pt idx="8">
                  <c:v>0.84570599999999996</c:v>
                </c:pt>
                <c:pt idx="9">
                  <c:v>0.82166799999999995</c:v>
                </c:pt>
                <c:pt idx="10">
                  <c:v>0.83979599999999999</c:v>
                </c:pt>
                <c:pt idx="11">
                  <c:v>0.70590200000000003</c:v>
                </c:pt>
                <c:pt idx="12">
                  <c:v>0.78505800000000003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>
          <a:extLst>
            <a:ext uri="{FF2B5EF4-FFF2-40B4-BE49-F238E27FC236}">
              <a16:creationId xmlns:a16="http://schemas.microsoft.com/office/drawing/2014/main" id="{72975A15-5FCC-4FF9-923B-0FDB5E8E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92" customWidth="1"/>
    <col min="2" max="2" width="2.7109375" style="92" customWidth="1"/>
    <col min="3" max="3" width="16.42578125" style="92" customWidth="1"/>
    <col min="4" max="4" width="4.7109375" style="92" customWidth="1"/>
    <col min="5" max="5" width="95.7109375" style="92" customWidth="1"/>
    <col min="6" max="16384" width="11.42578125" style="92"/>
  </cols>
  <sheetData>
    <row r="1" spans="2:15" ht="0.75" customHeight="1"/>
    <row r="2" spans="2:15" ht="21" customHeight="1">
      <c r="B2" s="92" t="s">
        <v>50</v>
      </c>
      <c r="C2" s="93"/>
      <c r="D2" s="93"/>
      <c r="E2" s="34" t="s">
        <v>19</v>
      </c>
    </row>
    <row r="3" spans="2:15" ht="15" customHeight="1">
      <c r="C3" s="93"/>
      <c r="D3" s="93"/>
      <c r="E3" s="51" t="str">
        <f>Dat_01!A2</f>
        <v>Junio 2020</v>
      </c>
    </row>
    <row r="4" spans="2:15" s="95" customFormat="1" ht="20.25" customHeight="1">
      <c r="B4" s="94"/>
      <c r="C4" s="32" t="s">
        <v>46</v>
      </c>
    </row>
    <row r="5" spans="2:15" s="95" customFormat="1" ht="8.25" customHeight="1">
      <c r="B5" s="94"/>
      <c r="C5" s="96"/>
    </row>
    <row r="6" spans="2:15" s="95" customFormat="1" ht="3" customHeight="1">
      <c r="B6" s="94"/>
      <c r="C6" s="96"/>
    </row>
    <row r="7" spans="2:15" s="95" customFormat="1" ht="7.5" customHeight="1">
      <c r="B7" s="94"/>
      <c r="C7" s="97"/>
      <c r="D7" s="98"/>
      <c r="E7" s="98"/>
    </row>
    <row r="8" spans="2:15" ht="12.6" customHeight="1">
      <c r="D8" s="99" t="s">
        <v>51</v>
      </c>
      <c r="E8" s="100" t="str">
        <f>'SN1'!C7</f>
        <v>Componentes de la variación de la demanda Islas Baleares</v>
      </c>
    </row>
    <row r="9" spans="2:15" s="95" customFormat="1" ht="12.6" customHeight="1">
      <c r="B9" s="94"/>
      <c r="C9" s="101"/>
      <c r="D9" s="99" t="s">
        <v>51</v>
      </c>
      <c r="E9" s="100" t="str">
        <f>'SN2'!C7</f>
        <v>Componentes de la variación de la demanda Islas Canarias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s="95" customFormat="1" ht="12.6" customHeight="1">
      <c r="B10" s="94"/>
      <c r="C10" s="101"/>
      <c r="D10" s="99" t="s">
        <v>51</v>
      </c>
      <c r="E10" s="100" t="s">
        <v>53</v>
      </c>
      <c r="F10" s="9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2.6" customHeight="1">
      <c r="D11" s="99" t="s">
        <v>51</v>
      </c>
      <c r="E11" s="100" t="str">
        <f>'SN4'!C7</f>
        <v>Estructura de potencia instalada Islas Baleares</v>
      </c>
      <c r="F11" s="102"/>
    </row>
    <row r="12" spans="2:15" ht="12.6" customHeight="1">
      <c r="D12" s="99" t="s">
        <v>51</v>
      </c>
      <c r="E12" s="100" t="str">
        <f>'SN4'!C24</f>
        <v>Cobertura de la demanda mensual Islas Baleares</v>
      </c>
      <c r="F12" s="102"/>
    </row>
    <row r="13" spans="2:15" ht="12.6" customHeight="1">
      <c r="D13" s="99" t="s">
        <v>51</v>
      </c>
      <c r="E13" s="100" t="str">
        <f>'SN5'!C7</f>
        <v xml:space="preserve">Evolución de la cobertura de la demanda de las Islas Baleares
</v>
      </c>
    </row>
    <row r="14" spans="2:15" ht="12.6" customHeight="1">
      <c r="D14" s="99" t="s">
        <v>51</v>
      </c>
      <c r="E14" s="100" t="str">
        <f>'SN6'!C7</f>
        <v>Estructura de potencia instalada Islas Canarias</v>
      </c>
    </row>
    <row r="15" spans="2:15" ht="12.6" customHeight="1">
      <c r="D15" s="99" t="s">
        <v>51</v>
      </c>
      <c r="E15" s="100" t="str">
        <f>'SN6'!C24</f>
        <v>Cobertura de la demanda mensual Islas Canarias</v>
      </c>
    </row>
    <row r="16" spans="2:15" ht="12.75" customHeight="1">
      <c r="D16" s="99" t="s">
        <v>51</v>
      </c>
      <c r="E16" s="100" t="str">
        <f>'SN7'!C7</f>
        <v xml:space="preserve">Evolución de la cobertura de la demanda de las Islas Canarias
</v>
      </c>
      <c r="F16" s="102"/>
    </row>
    <row r="17" spans="2:5" s="95" customFormat="1" ht="7.5" customHeight="1">
      <c r="B17" s="94"/>
      <c r="C17" s="97"/>
      <c r="D17" s="98"/>
      <c r="E17" s="98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58"/>
  <sheetViews>
    <sheetView topLeftCell="F58" zoomScaleNormal="100" workbookViewId="0">
      <selection activeCell="G77" sqref="G77"/>
    </sheetView>
  </sheetViews>
  <sheetFormatPr baseColWidth="10" defaultColWidth="11.42578125" defaultRowHeight="12"/>
  <cols>
    <col min="1" max="1" width="21.85546875" style="111" customWidth="1"/>
    <col min="2" max="2" width="14.5703125" style="111" bestFit="1" customWidth="1"/>
    <col min="3" max="3" width="26.5703125" style="111" bestFit="1" customWidth="1"/>
    <col min="4" max="4" width="22.42578125" style="111" bestFit="1" customWidth="1"/>
    <col min="5" max="5" width="23.5703125" style="111" bestFit="1" customWidth="1"/>
    <col min="6" max="6" width="36.140625" style="111" bestFit="1" customWidth="1"/>
    <col min="7" max="7" width="26.140625" style="111" bestFit="1" customWidth="1"/>
    <col min="8" max="8" width="22.140625" style="111" bestFit="1" customWidth="1"/>
    <col min="9" max="9" width="23.28515625" style="111" bestFit="1" customWidth="1"/>
    <col min="10" max="10" width="31.140625" style="111" bestFit="1" customWidth="1"/>
    <col min="11" max="11" width="30.85546875" style="111" bestFit="1" customWidth="1"/>
    <col min="12" max="12" width="26.85546875" style="111" bestFit="1" customWidth="1"/>
    <col min="13" max="13" width="28" style="111" bestFit="1" customWidth="1"/>
    <col min="14" max="14" width="35.85546875" style="111" bestFit="1" customWidth="1"/>
    <col min="15" max="33" width="14.7109375" style="111" customWidth="1"/>
    <col min="34" max="16384" width="11.42578125" style="111"/>
  </cols>
  <sheetData>
    <row r="1" spans="1:33">
      <c r="A1" s="143" t="s">
        <v>67</v>
      </c>
      <c r="B1" s="143" t="s">
        <v>71</v>
      </c>
    </row>
    <row r="2" spans="1:33">
      <c r="A2" s="144" t="s">
        <v>123</v>
      </c>
      <c r="B2" s="144" t="s">
        <v>124</v>
      </c>
    </row>
    <row r="4" spans="1:33" ht="15">
      <c r="A4" s="145" t="s">
        <v>67</v>
      </c>
      <c r="B4" s="204" t="s">
        <v>123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</row>
    <row r="5" spans="1:33" ht="15">
      <c r="A5" s="145" t="s">
        <v>68</v>
      </c>
      <c r="B5" s="206" t="s">
        <v>15</v>
      </c>
      <c r="C5" s="207"/>
      <c r="D5" s="207"/>
      <c r="E5" s="207"/>
      <c r="F5" s="207"/>
      <c r="G5" s="207"/>
      <c r="H5" s="207"/>
      <c r="I5" s="208"/>
      <c r="J5" s="206" t="s">
        <v>14</v>
      </c>
      <c r="K5" s="207"/>
      <c r="L5" s="207"/>
      <c r="M5" s="207"/>
      <c r="N5" s="207"/>
      <c r="O5" s="207"/>
      <c r="P5" s="207"/>
      <c r="Q5" s="208"/>
      <c r="R5" s="206" t="s">
        <v>57</v>
      </c>
      <c r="S5" s="207"/>
      <c r="T5" s="207"/>
      <c r="U5" s="207"/>
      <c r="V5" s="207"/>
      <c r="W5" s="207"/>
      <c r="X5" s="207"/>
      <c r="Y5" s="208"/>
      <c r="Z5" s="206" t="s">
        <v>58</v>
      </c>
      <c r="AA5" s="207"/>
      <c r="AB5" s="207"/>
      <c r="AC5" s="207"/>
      <c r="AD5" s="207"/>
      <c r="AE5" s="207"/>
      <c r="AF5" s="207"/>
      <c r="AG5" s="207"/>
    </row>
    <row r="6" spans="1:33">
      <c r="A6" s="145" t="s">
        <v>69</v>
      </c>
      <c r="B6" s="188" t="s">
        <v>59</v>
      </c>
      <c r="C6" s="188" t="s">
        <v>60</v>
      </c>
      <c r="D6" s="188" t="s">
        <v>61</v>
      </c>
      <c r="E6" s="188" t="s">
        <v>62</v>
      </c>
      <c r="F6" s="188" t="s">
        <v>63</v>
      </c>
      <c r="G6" s="188" t="s">
        <v>64</v>
      </c>
      <c r="H6" s="188" t="s">
        <v>65</v>
      </c>
      <c r="I6" s="188" t="s">
        <v>66</v>
      </c>
      <c r="J6" s="188" t="s">
        <v>59</v>
      </c>
      <c r="K6" s="188" t="s">
        <v>60</v>
      </c>
      <c r="L6" s="188" t="s">
        <v>61</v>
      </c>
      <c r="M6" s="188" t="s">
        <v>62</v>
      </c>
      <c r="N6" s="188" t="s">
        <v>63</v>
      </c>
      <c r="O6" s="188" t="s">
        <v>64</v>
      </c>
      <c r="P6" s="188" t="s">
        <v>65</v>
      </c>
      <c r="Q6" s="188" t="s">
        <v>66</v>
      </c>
      <c r="R6" s="188" t="s">
        <v>59</v>
      </c>
      <c r="S6" s="188" t="s">
        <v>60</v>
      </c>
      <c r="T6" s="188" t="s">
        <v>61</v>
      </c>
      <c r="U6" s="188" t="s">
        <v>62</v>
      </c>
      <c r="V6" s="188" t="s">
        <v>63</v>
      </c>
      <c r="W6" s="188" t="s">
        <v>64</v>
      </c>
      <c r="X6" s="188" t="s">
        <v>65</v>
      </c>
      <c r="Y6" s="188" t="s">
        <v>66</v>
      </c>
      <c r="Z6" s="188" t="s">
        <v>59</v>
      </c>
      <c r="AA6" s="188" t="s">
        <v>60</v>
      </c>
      <c r="AB6" s="188" t="s">
        <v>61</v>
      </c>
      <c r="AC6" s="188" t="s">
        <v>62</v>
      </c>
      <c r="AD6" s="188" t="s">
        <v>63</v>
      </c>
      <c r="AE6" s="188" t="s">
        <v>64</v>
      </c>
      <c r="AF6" s="188" t="s">
        <v>65</v>
      </c>
      <c r="AG6" s="188" t="s">
        <v>66</v>
      </c>
    </row>
    <row r="7" spans="1:33">
      <c r="A7" s="145" t="s">
        <v>70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>
      <c r="A8" s="144" t="s">
        <v>12</v>
      </c>
      <c r="B8" s="158">
        <v>0</v>
      </c>
      <c r="C8" s="158">
        <v>0</v>
      </c>
      <c r="D8" s="151">
        <v>0</v>
      </c>
      <c r="E8" s="158">
        <v>0</v>
      </c>
      <c r="F8" s="158">
        <v>0</v>
      </c>
      <c r="G8" s="151">
        <v>0</v>
      </c>
      <c r="H8" s="158">
        <v>0</v>
      </c>
      <c r="I8" s="151">
        <v>0</v>
      </c>
      <c r="J8" s="158">
        <v>0</v>
      </c>
      <c r="K8" s="158">
        <v>0</v>
      </c>
      <c r="L8" s="151">
        <v>0</v>
      </c>
      <c r="M8" s="158">
        <v>0</v>
      </c>
      <c r="N8" s="158">
        <v>0</v>
      </c>
      <c r="O8" s="151">
        <v>0</v>
      </c>
      <c r="P8" s="158">
        <v>0</v>
      </c>
      <c r="Q8" s="151">
        <v>0</v>
      </c>
      <c r="R8" s="158">
        <v>0</v>
      </c>
      <c r="S8" s="158">
        <v>0</v>
      </c>
      <c r="T8" s="151">
        <v>0</v>
      </c>
      <c r="U8" s="158">
        <v>0</v>
      </c>
      <c r="V8" s="158">
        <v>0</v>
      </c>
      <c r="W8" s="151">
        <v>0</v>
      </c>
      <c r="X8" s="158">
        <v>0</v>
      </c>
      <c r="Y8" s="151">
        <v>0</v>
      </c>
      <c r="Z8" s="158">
        <v>272.33300000000003</v>
      </c>
      <c r="AA8" s="158">
        <v>276.68099999999998</v>
      </c>
      <c r="AB8" s="151">
        <v>-1.57148485E-2</v>
      </c>
      <c r="AC8" s="158">
        <v>1720.086</v>
      </c>
      <c r="AD8" s="158">
        <v>1735.6559999999999</v>
      </c>
      <c r="AE8" s="151">
        <v>-8.9706716000000006E-3</v>
      </c>
      <c r="AF8" s="158">
        <v>3493.5450000000001</v>
      </c>
      <c r="AG8" s="151">
        <v>-4.7668589000000004E-3</v>
      </c>
    </row>
    <row r="9" spans="1:33">
      <c r="A9" s="144" t="s">
        <v>11</v>
      </c>
      <c r="B9" s="158">
        <v>0</v>
      </c>
      <c r="C9" s="158">
        <v>0</v>
      </c>
      <c r="D9" s="151">
        <v>0</v>
      </c>
      <c r="E9" s="158">
        <v>0</v>
      </c>
      <c r="F9" s="158">
        <v>0</v>
      </c>
      <c r="G9" s="151">
        <v>0</v>
      </c>
      <c r="H9" s="158">
        <v>0</v>
      </c>
      <c r="I9" s="151">
        <v>0</v>
      </c>
      <c r="J9" s="158">
        <v>0</v>
      </c>
      <c r="K9" s="158">
        <v>0</v>
      </c>
      <c r="L9" s="151">
        <v>0</v>
      </c>
      <c r="M9" s="158">
        <v>0</v>
      </c>
      <c r="N9" s="158">
        <v>0</v>
      </c>
      <c r="O9" s="151">
        <v>0</v>
      </c>
      <c r="P9" s="158">
        <v>0</v>
      </c>
      <c r="Q9" s="151">
        <v>0</v>
      </c>
      <c r="R9" s="158">
        <v>-1280.83</v>
      </c>
      <c r="S9" s="158">
        <v>98710.933999999994</v>
      </c>
      <c r="T9" s="151" t="s">
        <v>3</v>
      </c>
      <c r="U9" s="158">
        <v>-11001.109</v>
      </c>
      <c r="V9" s="158">
        <v>871946.04200000002</v>
      </c>
      <c r="W9" s="151">
        <v>-1.0126167314000001</v>
      </c>
      <c r="X9" s="158">
        <v>1116992.807</v>
      </c>
      <c r="Y9" s="151">
        <v>-0.46777661240000001</v>
      </c>
      <c r="Z9" s="158">
        <v>0</v>
      </c>
      <c r="AA9" s="158">
        <v>0</v>
      </c>
      <c r="AB9" s="151">
        <v>0</v>
      </c>
      <c r="AC9" s="158">
        <v>0</v>
      </c>
      <c r="AD9" s="158">
        <v>0</v>
      </c>
      <c r="AE9" s="151">
        <v>0</v>
      </c>
      <c r="AF9" s="158">
        <v>0</v>
      </c>
      <c r="AG9" s="151">
        <v>0</v>
      </c>
    </row>
    <row r="10" spans="1:33">
      <c r="A10" s="144" t="s">
        <v>78</v>
      </c>
      <c r="B10" s="158">
        <v>15829.014999999999</v>
      </c>
      <c r="C10" s="158">
        <v>16641.809000000001</v>
      </c>
      <c r="D10" s="151">
        <v>-4.8840483599999998E-2</v>
      </c>
      <c r="E10" s="158">
        <v>97390.475999999995</v>
      </c>
      <c r="F10" s="158">
        <v>99060.543999999994</v>
      </c>
      <c r="G10" s="151">
        <v>-1.68590635E-2</v>
      </c>
      <c r="H10" s="158">
        <v>204294.158</v>
      </c>
      <c r="I10" s="151">
        <v>-7.3282179999999998E-4</v>
      </c>
      <c r="J10" s="158">
        <v>15619.282999999999</v>
      </c>
      <c r="K10" s="158">
        <v>16147.513000000001</v>
      </c>
      <c r="L10" s="151">
        <v>-3.2712777499999998E-2</v>
      </c>
      <c r="M10" s="158">
        <v>91221.293999999994</v>
      </c>
      <c r="N10" s="158">
        <v>94434.747000000003</v>
      </c>
      <c r="O10" s="151">
        <v>-3.4028290500000002E-2</v>
      </c>
      <c r="P10" s="158">
        <v>196795.79500000001</v>
      </c>
      <c r="Q10" s="151">
        <v>-2.1489090700000001E-2</v>
      </c>
      <c r="R10" s="158">
        <v>17902.133999999998</v>
      </c>
      <c r="S10" s="158">
        <v>49833.764000000003</v>
      </c>
      <c r="T10" s="151">
        <v>-0.6407629574</v>
      </c>
      <c r="U10" s="158">
        <v>117989.298</v>
      </c>
      <c r="V10" s="158">
        <v>196669.318</v>
      </c>
      <c r="W10" s="151">
        <v>-0.4000625049</v>
      </c>
      <c r="X10" s="158">
        <v>384558.88799999998</v>
      </c>
      <c r="Y10" s="151">
        <v>-0.3296413728</v>
      </c>
      <c r="Z10" s="158">
        <v>122849.34</v>
      </c>
      <c r="AA10" s="158">
        <v>167349.78899999999</v>
      </c>
      <c r="AB10" s="151">
        <v>-0.26591278820000003</v>
      </c>
      <c r="AC10" s="158">
        <v>838930.15</v>
      </c>
      <c r="AD10" s="158">
        <v>962907.37</v>
      </c>
      <c r="AE10" s="151">
        <v>-0.12875300770000001</v>
      </c>
      <c r="AF10" s="158">
        <v>1825967.8959999999</v>
      </c>
      <c r="AG10" s="151">
        <v>-0.10991393050000001</v>
      </c>
    </row>
    <row r="11" spans="1:33">
      <c r="A11" s="144" t="s">
        <v>9</v>
      </c>
      <c r="B11" s="158">
        <v>10.407</v>
      </c>
      <c r="C11" s="158">
        <v>0.43</v>
      </c>
      <c r="D11" s="151">
        <v>23.2023255814</v>
      </c>
      <c r="E11" s="158">
        <v>20.847999999999999</v>
      </c>
      <c r="F11" s="158">
        <v>4.33</v>
      </c>
      <c r="G11" s="151">
        <v>3.8147806004999998</v>
      </c>
      <c r="H11" s="158">
        <v>100.532</v>
      </c>
      <c r="I11" s="151">
        <v>-5.8001161900000001E-2</v>
      </c>
      <c r="J11" s="158">
        <v>1.974</v>
      </c>
      <c r="K11" s="158">
        <v>6.2789999999999999</v>
      </c>
      <c r="L11" s="151">
        <v>-0.68561872909999999</v>
      </c>
      <c r="M11" s="158">
        <v>7.7450000000000001</v>
      </c>
      <c r="N11" s="158">
        <v>14.176</v>
      </c>
      <c r="O11" s="151">
        <v>-0.45365406320000001</v>
      </c>
      <c r="P11" s="158">
        <v>14.576000000000001</v>
      </c>
      <c r="Q11" s="151">
        <v>-0.42720163480000001</v>
      </c>
      <c r="R11" s="158">
        <v>15970.385</v>
      </c>
      <c r="S11" s="158">
        <v>38491.146999999997</v>
      </c>
      <c r="T11" s="151">
        <v>-0.58508939729999998</v>
      </c>
      <c r="U11" s="158">
        <v>93516.274999999994</v>
      </c>
      <c r="V11" s="158">
        <v>175842.01800000001</v>
      </c>
      <c r="W11" s="151">
        <v>-0.46818015359999998</v>
      </c>
      <c r="X11" s="158">
        <v>359164.99800000002</v>
      </c>
      <c r="Y11" s="151">
        <v>-0.35830684509999999</v>
      </c>
      <c r="Z11" s="158">
        <v>8687.4150000000009</v>
      </c>
      <c r="AA11" s="158">
        <v>14744.834000000001</v>
      </c>
      <c r="AB11" s="151">
        <v>-0.41081635779999998</v>
      </c>
      <c r="AC11" s="158">
        <v>75106.45</v>
      </c>
      <c r="AD11" s="158">
        <v>118078.16099999999</v>
      </c>
      <c r="AE11" s="151">
        <v>-0.36392598459999997</v>
      </c>
      <c r="AF11" s="158">
        <v>185964.60399999999</v>
      </c>
      <c r="AG11" s="151">
        <v>-0.27802441839999997</v>
      </c>
    </row>
    <row r="12" spans="1:33">
      <c r="A12" s="144" t="s">
        <v>8</v>
      </c>
      <c r="B12" s="158">
        <v>0</v>
      </c>
      <c r="C12" s="158">
        <v>0</v>
      </c>
      <c r="D12" s="151">
        <v>0</v>
      </c>
      <c r="E12" s="158">
        <v>0</v>
      </c>
      <c r="F12" s="158">
        <v>0</v>
      </c>
      <c r="G12" s="151">
        <v>0</v>
      </c>
      <c r="H12" s="158">
        <v>0</v>
      </c>
      <c r="I12" s="151">
        <v>0</v>
      </c>
      <c r="J12" s="158">
        <v>0</v>
      </c>
      <c r="K12" s="158">
        <v>0</v>
      </c>
      <c r="L12" s="151">
        <v>0</v>
      </c>
      <c r="M12" s="158">
        <v>0</v>
      </c>
      <c r="N12" s="158">
        <v>0</v>
      </c>
      <c r="O12" s="151">
        <v>0</v>
      </c>
      <c r="P12" s="158">
        <v>0</v>
      </c>
      <c r="Q12" s="151">
        <v>0</v>
      </c>
      <c r="R12" s="158">
        <v>0</v>
      </c>
      <c r="S12" s="158">
        <v>0</v>
      </c>
      <c r="T12" s="151">
        <v>0</v>
      </c>
      <c r="U12" s="158">
        <v>0</v>
      </c>
      <c r="V12" s="158">
        <v>0</v>
      </c>
      <c r="W12" s="151">
        <v>0</v>
      </c>
      <c r="X12" s="158">
        <v>0</v>
      </c>
      <c r="Y12" s="151">
        <v>0</v>
      </c>
      <c r="Z12" s="158">
        <v>83295.308999999994</v>
      </c>
      <c r="AA12" s="158">
        <v>209910.55799999999</v>
      </c>
      <c r="AB12" s="151">
        <v>-0.60318666300000001</v>
      </c>
      <c r="AC12" s="158">
        <v>687601.86300000001</v>
      </c>
      <c r="AD12" s="158">
        <v>1252272.2109999999</v>
      </c>
      <c r="AE12" s="151">
        <v>-0.45091661620000001</v>
      </c>
      <c r="AF12" s="158">
        <v>1624340.32</v>
      </c>
      <c r="AG12" s="151">
        <v>-0.3491467123</v>
      </c>
    </row>
    <row r="13" spans="1:33">
      <c r="A13" s="144" t="s">
        <v>25</v>
      </c>
      <c r="B13" s="158">
        <v>0</v>
      </c>
      <c r="C13" s="158">
        <v>0</v>
      </c>
      <c r="D13" s="151">
        <v>0</v>
      </c>
      <c r="E13" s="158">
        <v>0</v>
      </c>
      <c r="F13" s="158">
        <v>0</v>
      </c>
      <c r="G13" s="151">
        <v>0</v>
      </c>
      <c r="H13" s="158">
        <v>0</v>
      </c>
      <c r="I13" s="151">
        <v>0</v>
      </c>
      <c r="J13" s="158">
        <v>0</v>
      </c>
      <c r="K13" s="158">
        <v>0</v>
      </c>
      <c r="L13" s="151">
        <v>0</v>
      </c>
      <c r="M13" s="158">
        <v>0</v>
      </c>
      <c r="N13" s="158">
        <v>0</v>
      </c>
      <c r="O13" s="151">
        <v>0</v>
      </c>
      <c r="P13" s="158">
        <v>0</v>
      </c>
      <c r="Q13" s="151">
        <v>0</v>
      </c>
      <c r="R13" s="158">
        <v>191225.995</v>
      </c>
      <c r="S13" s="158">
        <v>148873.49100000001</v>
      </c>
      <c r="T13" s="151">
        <v>0.28448653759999998</v>
      </c>
      <c r="U13" s="158">
        <v>1271909.679</v>
      </c>
      <c r="V13" s="158">
        <v>519499.80800000002</v>
      </c>
      <c r="W13" s="151">
        <v>1.4483352244000001</v>
      </c>
      <c r="X13" s="158">
        <v>1797601.4480000001</v>
      </c>
      <c r="Y13" s="151">
        <v>1.0884804913999999</v>
      </c>
      <c r="Z13" s="158">
        <v>258953.18400000001</v>
      </c>
      <c r="AA13" s="158">
        <v>222517.476</v>
      </c>
      <c r="AB13" s="151">
        <v>0.16374312999999999</v>
      </c>
      <c r="AC13" s="158">
        <v>1651175.1440000001</v>
      </c>
      <c r="AD13" s="158">
        <v>1384038.5330000001</v>
      </c>
      <c r="AE13" s="151">
        <v>0.1930124087</v>
      </c>
      <c r="AF13" s="158">
        <v>3320654.1609999998</v>
      </c>
      <c r="AG13" s="151">
        <v>0.1086586277</v>
      </c>
    </row>
    <row r="14" spans="1:33">
      <c r="A14" s="144" t="s">
        <v>24</v>
      </c>
      <c r="B14" s="158">
        <v>0</v>
      </c>
      <c r="C14" s="158">
        <v>0</v>
      </c>
      <c r="D14" s="151">
        <v>0</v>
      </c>
      <c r="E14" s="158">
        <v>0</v>
      </c>
      <c r="F14" s="158">
        <v>0</v>
      </c>
      <c r="G14" s="151">
        <v>0</v>
      </c>
      <c r="H14" s="158">
        <v>0</v>
      </c>
      <c r="I14" s="151">
        <v>0</v>
      </c>
      <c r="J14" s="158">
        <v>0</v>
      </c>
      <c r="K14" s="158">
        <v>0</v>
      </c>
      <c r="L14" s="151">
        <v>0</v>
      </c>
      <c r="M14" s="158">
        <v>0</v>
      </c>
      <c r="N14" s="158">
        <v>0</v>
      </c>
      <c r="O14" s="151">
        <v>0</v>
      </c>
      <c r="P14" s="158">
        <v>0</v>
      </c>
      <c r="Q14" s="151">
        <v>0</v>
      </c>
      <c r="R14" s="158">
        <v>0</v>
      </c>
      <c r="S14" s="158">
        <v>1405.056</v>
      </c>
      <c r="T14" s="151">
        <v>-1</v>
      </c>
      <c r="U14" s="158">
        <v>0</v>
      </c>
      <c r="V14" s="158">
        <v>1587.2249999999999</v>
      </c>
      <c r="W14" s="151">
        <v>-1</v>
      </c>
      <c r="X14" s="158">
        <v>15236.579</v>
      </c>
      <c r="Y14" s="151">
        <v>0.1963479796</v>
      </c>
      <c r="Z14" s="158">
        <v>0</v>
      </c>
      <c r="AA14" s="158">
        <v>0</v>
      </c>
      <c r="AB14" s="151">
        <v>0</v>
      </c>
      <c r="AC14" s="158">
        <v>0</v>
      </c>
      <c r="AD14" s="158">
        <v>0</v>
      </c>
      <c r="AE14" s="151">
        <v>0</v>
      </c>
      <c r="AF14" s="158">
        <v>0</v>
      </c>
      <c r="AG14" s="151">
        <v>0</v>
      </c>
    </row>
    <row r="15" spans="1:33">
      <c r="A15" s="144" t="s">
        <v>6</v>
      </c>
      <c r="B15" s="158">
        <v>0</v>
      </c>
      <c r="C15" s="158">
        <v>0</v>
      </c>
      <c r="D15" s="151">
        <v>0</v>
      </c>
      <c r="E15" s="158">
        <v>0</v>
      </c>
      <c r="F15" s="158">
        <v>0</v>
      </c>
      <c r="G15" s="151">
        <v>0</v>
      </c>
      <c r="H15" s="158">
        <v>0</v>
      </c>
      <c r="I15" s="151">
        <v>0</v>
      </c>
      <c r="J15" s="158">
        <v>0</v>
      </c>
      <c r="K15" s="158">
        <v>0</v>
      </c>
      <c r="L15" s="151">
        <v>0</v>
      </c>
      <c r="M15" s="158">
        <v>0</v>
      </c>
      <c r="N15" s="158">
        <v>0</v>
      </c>
      <c r="O15" s="151">
        <v>0</v>
      </c>
      <c r="P15" s="158">
        <v>0</v>
      </c>
      <c r="Q15" s="151">
        <v>0</v>
      </c>
      <c r="R15" s="158">
        <v>0</v>
      </c>
      <c r="S15" s="158">
        <v>0</v>
      </c>
      <c r="T15" s="151">
        <v>0</v>
      </c>
      <c r="U15" s="158">
        <v>0</v>
      </c>
      <c r="V15" s="158">
        <v>0</v>
      </c>
      <c r="W15" s="151">
        <v>0</v>
      </c>
      <c r="X15" s="158">
        <v>0</v>
      </c>
      <c r="Y15" s="151">
        <v>0</v>
      </c>
      <c r="Z15" s="158">
        <v>742.62800000000004</v>
      </c>
      <c r="AA15" s="158">
        <v>1372.1410000000001</v>
      </c>
      <c r="AB15" s="151">
        <v>-0.45878156840000001</v>
      </c>
      <c r="AC15" s="158">
        <v>7163.14</v>
      </c>
      <c r="AD15" s="158">
        <v>8988.8809999999994</v>
      </c>
      <c r="AE15" s="151">
        <v>-0.2031110435</v>
      </c>
      <c r="AF15" s="158">
        <v>21422.976999999999</v>
      </c>
      <c r="AG15" s="151">
        <v>4.9416586800000002E-2</v>
      </c>
    </row>
    <row r="16" spans="1:33">
      <c r="A16" s="144" t="s">
        <v>5</v>
      </c>
      <c r="B16" s="158">
        <v>0</v>
      </c>
      <c r="C16" s="158">
        <v>0</v>
      </c>
      <c r="D16" s="151">
        <v>0</v>
      </c>
      <c r="E16" s="158">
        <v>0</v>
      </c>
      <c r="F16" s="158">
        <v>0</v>
      </c>
      <c r="G16" s="151">
        <v>0</v>
      </c>
      <c r="H16" s="158">
        <v>0</v>
      </c>
      <c r="I16" s="151">
        <v>0</v>
      </c>
      <c r="J16" s="158">
        <v>0</v>
      </c>
      <c r="K16" s="158">
        <v>0</v>
      </c>
      <c r="L16" s="151">
        <v>0</v>
      </c>
      <c r="M16" s="158">
        <v>0</v>
      </c>
      <c r="N16" s="158">
        <v>0</v>
      </c>
      <c r="O16" s="151">
        <v>0</v>
      </c>
      <c r="P16" s="158">
        <v>0</v>
      </c>
      <c r="Q16" s="151">
        <v>0</v>
      </c>
      <c r="R16" s="158">
        <v>218.34</v>
      </c>
      <c r="S16" s="158">
        <v>349.85300000000001</v>
      </c>
      <c r="T16" s="151">
        <v>-0.37590931049999998</v>
      </c>
      <c r="U16" s="158">
        <v>2055.4859999999999</v>
      </c>
      <c r="V16" s="158">
        <v>3650.1889999999999</v>
      </c>
      <c r="W16" s="151">
        <v>-0.4368823094</v>
      </c>
      <c r="X16" s="158">
        <v>4490.1170000000002</v>
      </c>
      <c r="Y16" s="151">
        <v>-0.22243118479999999</v>
      </c>
      <c r="Z16" s="158">
        <v>103362.193</v>
      </c>
      <c r="AA16" s="158">
        <v>74330.709000000003</v>
      </c>
      <c r="AB16" s="151">
        <v>0.39057186980000003</v>
      </c>
      <c r="AC16" s="158">
        <v>478129.29800000001</v>
      </c>
      <c r="AD16" s="158">
        <v>437847.93</v>
      </c>
      <c r="AE16" s="151">
        <v>9.1998534699999995E-2</v>
      </c>
      <c r="AF16" s="158">
        <v>1178488.679</v>
      </c>
      <c r="AG16" s="151">
        <v>0.57358773190000001</v>
      </c>
    </row>
    <row r="17" spans="1:33">
      <c r="A17" s="144" t="s">
        <v>4</v>
      </c>
      <c r="B17" s="158">
        <v>0</v>
      </c>
      <c r="C17" s="158">
        <v>0</v>
      </c>
      <c r="D17" s="151">
        <v>0</v>
      </c>
      <c r="E17" s="158">
        <v>0</v>
      </c>
      <c r="F17" s="158">
        <v>0</v>
      </c>
      <c r="G17" s="151">
        <v>0</v>
      </c>
      <c r="H17" s="158">
        <v>0</v>
      </c>
      <c r="I17" s="151">
        <v>0</v>
      </c>
      <c r="J17" s="158">
        <v>8.75</v>
      </c>
      <c r="K17" s="158">
        <v>8.6630000000000003</v>
      </c>
      <c r="L17" s="151">
        <v>1.00427104E-2</v>
      </c>
      <c r="M17" s="158">
        <v>38.92</v>
      </c>
      <c r="N17" s="158">
        <v>42.411000000000001</v>
      </c>
      <c r="O17" s="151">
        <v>-8.2313550700000002E-2</v>
      </c>
      <c r="P17" s="158">
        <v>76.882000000000005</v>
      </c>
      <c r="Q17" s="151">
        <v>-2.0873396900000001E-2</v>
      </c>
      <c r="R17" s="158">
        <v>12237.156000000001</v>
      </c>
      <c r="S17" s="158">
        <v>13303.602000000001</v>
      </c>
      <c r="T17" s="151">
        <v>-8.0162199700000006E-2</v>
      </c>
      <c r="U17" s="158">
        <v>59793.938000000002</v>
      </c>
      <c r="V17" s="158">
        <v>64917.190999999999</v>
      </c>
      <c r="W17" s="151">
        <v>-7.8919819599999996E-2</v>
      </c>
      <c r="X17" s="158">
        <v>115868.702</v>
      </c>
      <c r="Y17" s="151">
        <v>-3.5142691900000002E-2</v>
      </c>
      <c r="Z17" s="158">
        <v>23728.103999999999</v>
      </c>
      <c r="AA17" s="158">
        <v>23361.749</v>
      </c>
      <c r="AB17" s="151">
        <v>1.5681831E-2</v>
      </c>
      <c r="AC17" s="158">
        <v>132204.97200000001</v>
      </c>
      <c r="AD17" s="158">
        <v>141582.28099999999</v>
      </c>
      <c r="AE17" s="151">
        <v>-6.6232221499999994E-2</v>
      </c>
      <c r="AF17" s="158">
        <v>269402.18300000002</v>
      </c>
      <c r="AG17" s="151">
        <v>-2.83833434E-2</v>
      </c>
    </row>
    <row r="18" spans="1:33">
      <c r="A18" s="144" t="s">
        <v>22</v>
      </c>
      <c r="B18" s="158">
        <v>0</v>
      </c>
      <c r="C18" s="158">
        <v>0</v>
      </c>
      <c r="D18" s="151">
        <v>0</v>
      </c>
      <c r="E18" s="158">
        <v>0</v>
      </c>
      <c r="F18" s="158">
        <v>0</v>
      </c>
      <c r="G18" s="151">
        <v>0</v>
      </c>
      <c r="H18" s="158">
        <v>0</v>
      </c>
      <c r="I18" s="151">
        <v>0</v>
      </c>
      <c r="J18" s="158">
        <v>0</v>
      </c>
      <c r="K18" s="158">
        <v>0</v>
      </c>
      <c r="L18" s="151">
        <v>0</v>
      </c>
      <c r="M18" s="158">
        <v>0</v>
      </c>
      <c r="N18" s="158">
        <v>0</v>
      </c>
      <c r="O18" s="151">
        <v>0</v>
      </c>
      <c r="P18" s="158">
        <v>0</v>
      </c>
      <c r="Q18" s="151">
        <v>0</v>
      </c>
      <c r="R18" s="158">
        <v>59.750999999999998</v>
      </c>
      <c r="S18" s="158">
        <v>125.517</v>
      </c>
      <c r="T18" s="151">
        <v>-0.52396089769999998</v>
      </c>
      <c r="U18" s="158">
        <v>387.43299999999999</v>
      </c>
      <c r="V18" s="158">
        <v>570.98099999999999</v>
      </c>
      <c r="W18" s="151">
        <v>-0.32146078420000002</v>
      </c>
      <c r="X18" s="158">
        <v>955.81899999999996</v>
      </c>
      <c r="Y18" s="151">
        <v>-9.8207912999999994E-3</v>
      </c>
      <c r="Z18" s="158">
        <v>785.05799999999999</v>
      </c>
      <c r="AA18" s="158">
        <v>823.3</v>
      </c>
      <c r="AB18" s="151">
        <v>-4.6449653799999997E-2</v>
      </c>
      <c r="AC18" s="158">
        <v>4874.41</v>
      </c>
      <c r="AD18" s="158">
        <v>5351.3860000000004</v>
      </c>
      <c r="AE18" s="151">
        <v>-8.9131301699999999E-2</v>
      </c>
      <c r="AF18" s="158">
        <v>9296.5930000000008</v>
      </c>
      <c r="AG18" s="151">
        <v>-9.0012803200000005E-2</v>
      </c>
    </row>
    <row r="19" spans="1:33">
      <c r="A19" s="144" t="s">
        <v>23</v>
      </c>
      <c r="B19" s="158">
        <v>0</v>
      </c>
      <c r="C19" s="158">
        <v>0</v>
      </c>
      <c r="D19" s="151">
        <v>0</v>
      </c>
      <c r="E19" s="158">
        <v>0</v>
      </c>
      <c r="F19" s="158">
        <v>0</v>
      </c>
      <c r="G19" s="151">
        <v>0</v>
      </c>
      <c r="H19" s="158">
        <v>0</v>
      </c>
      <c r="I19" s="151">
        <v>0</v>
      </c>
      <c r="J19" s="158">
        <v>0</v>
      </c>
      <c r="K19" s="158">
        <v>0</v>
      </c>
      <c r="L19" s="151">
        <v>0</v>
      </c>
      <c r="M19" s="158">
        <v>0</v>
      </c>
      <c r="N19" s="158">
        <v>0</v>
      </c>
      <c r="O19" s="151">
        <v>0</v>
      </c>
      <c r="P19" s="158">
        <v>0</v>
      </c>
      <c r="Q19" s="151">
        <v>0</v>
      </c>
      <c r="R19" s="158">
        <v>2596.9360000000001</v>
      </c>
      <c r="S19" s="158">
        <v>2300.35</v>
      </c>
      <c r="T19" s="151">
        <v>0.1289308149</v>
      </c>
      <c r="U19" s="158">
        <v>19297.044999999998</v>
      </c>
      <c r="V19" s="158">
        <v>17593.958999999999</v>
      </c>
      <c r="W19" s="151">
        <v>9.6799475300000007E-2</v>
      </c>
      <c r="X19" s="158">
        <v>36128.970999999998</v>
      </c>
      <c r="Y19" s="151">
        <v>1.1049044E-3</v>
      </c>
      <c r="Z19" s="158">
        <v>0</v>
      </c>
      <c r="AA19" s="158">
        <v>0</v>
      </c>
      <c r="AB19" s="151">
        <v>0</v>
      </c>
      <c r="AC19" s="158">
        <v>0</v>
      </c>
      <c r="AD19" s="158">
        <v>0</v>
      </c>
      <c r="AE19" s="151">
        <v>0</v>
      </c>
      <c r="AF19" s="158">
        <v>0</v>
      </c>
      <c r="AG19" s="151">
        <v>0</v>
      </c>
    </row>
    <row r="20" spans="1:33">
      <c r="A20" s="144" t="s">
        <v>54</v>
      </c>
      <c r="B20" s="158">
        <v>0</v>
      </c>
      <c r="C20" s="158">
        <v>0</v>
      </c>
      <c r="D20" s="151">
        <v>0</v>
      </c>
      <c r="E20" s="158">
        <v>0</v>
      </c>
      <c r="F20" s="158">
        <v>0</v>
      </c>
      <c r="G20" s="151">
        <v>0</v>
      </c>
      <c r="H20" s="158">
        <v>0</v>
      </c>
      <c r="I20" s="151">
        <v>0</v>
      </c>
      <c r="J20" s="158">
        <v>539.18650000000002</v>
      </c>
      <c r="K20" s="158">
        <v>453.58850000000001</v>
      </c>
      <c r="L20" s="151">
        <v>0.18871289729999999</v>
      </c>
      <c r="M20" s="158">
        <v>2558.7945</v>
      </c>
      <c r="N20" s="158">
        <v>3017.2930000000001</v>
      </c>
      <c r="O20" s="151">
        <v>-0.15195690310000001</v>
      </c>
      <c r="P20" s="158">
        <v>4938.5</v>
      </c>
      <c r="Q20" s="151">
        <v>-9.9036725500000006E-2</v>
      </c>
      <c r="R20" s="158">
        <v>14316.092000000001</v>
      </c>
      <c r="S20" s="158">
        <v>13341.946</v>
      </c>
      <c r="T20" s="151">
        <v>7.30137867E-2</v>
      </c>
      <c r="U20" s="158">
        <v>50386.118999999999</v>
      </c>
      <c r="V20" s="158">
        <v>67389.717000000004</v>
      </c>
      <c r="W20" s="151">
        <v>-0.25231739730000002</v>
      </c>
      <c r="X20" s="158">
        <v>128459.663</v>
      </c>
      <c r="Y20" s="151">
        <v>-0.1097103809</v>
      </c>
      <c r="Z20" s="158">
        <v>0</v>
      </c>
      <c r="AA20" s="158">
        <v>0</v>
      </c>
      <c r="AB20" s="151">
        <v>0</v>
      </c>
      <c r="AC20" s="158">
        <v>0</v>
      </c>
      <c r="AD20" s="158">
        <v>0</v>
      </c>
      <c r="AE20" s="151">
        <v>0</v>
      </c>
      <c r="AF20" s="158">
        <v>0</v>
      </c>
      <c r="AG20" s="151">
        <v>0</v>
      </c>
    </row>
    <row r="21" spans="1:33">
      <c r="A21" s="144" t="s">
        <v>55</v>
      </c>
      <c r="B21" s="158">
        <v>0</v>
      </c>
      <c r="C21" s="158">
        <v>0</v>
      </c>
      <c r="D21" s="151">
        <v>0</v>
      </c>
      <c r="E21" s="158">
        <v>0</v>
      </c>
      <c r="F21" s="158">
        <v>0</v>
      </c>
      <c r="G21" s="151">
        <v>0</v>
      </c>
      <c r="H21" s="158">
        <v>0</v>
      </c>
      <c r="I21" s="151">
        <v>0</v>
      </c>
      <c r="J21" s="158">
        <v>539.18650000000002</v>
      </c>
      <c r="K21" s="158">
        <v>453.58850000000001</v>
      </c>
      <c r="L21" s="151">
        <v>0.18871289729999999</v>
      </c>
      <c r="M21" s="158">
        <v>2558.7945</v>
      </c>
      <c r="N21" s="158">
        <v>3017.2930000000001</v>
      </c>
      <c r="O21" s="151">
        <v>-0.15195690310000001</v>
      </c>
      <c r="P21" s="158">
        <v>4938.5</v>
      </c>
      <c r="Q21" s="151">
        <v>-9.9036725500000006E-2</v>
      </c>
      <c r="R21" s="158">
        <v>14316.092000000001</v>
      </c>
      <c r="S21" s="158">
        <v>13341.946</v>
      </c>
      <c r="T21" s="151">
        <v>7.30137867E-2</v>
      </c>
      <c r="U21" s="158">
        <v>50386.118999999999</v>
      </c>
      <c r="V21" s="158">
        <v>67389.717000000004</v>
      </c>
      <c r="W21" s="151">
        <v>-0.25231739730000002</v>
      </c>
      <c r="X21" s="158">
        <v>128459.663</v>
      </c>
      <c r="Y21" s="151">
        <v>-0.1097103809</v>
      </c>
      <c r="Z21" s="158">
        <v>0</v>
      </c>
      <c r="AA21" s="158">
        <v>0</v>
      </c>
      <c r="AB21" s="151">
        <v>0</v>
      </c>
      <c r="AC21" s="158">
        <v>0</v>
      </c>
      <c r="AD21" s="158">
        <v>0</v>
      </c>
      <c r="AE21" s="151">
        <v>0</v>
      </c>
      <c r="AF21" s="158">
        <v>0</v>
      </c>
      <c r="AG21" s="151">
        <v>0</v>
      </c>
    </row>
    <row r="22" spans="1:33">
      <c r="A22" s="149" t="s">
        <v>2</v>
      </c>
      <c r="B22" s="159">
        <v>15839.422</v>
      </c>
      <c r="C22" s="159">
        <v>16642.239000000001</v>
      </c>
      <c r="D22" s="152">
        <v>-4.8239722999999998E-2</v>
      </c>
      <c r="E22" s="159">
        <v>97411.323999999993</v>
      </c>
      <c r="F22" s="159">
        <v>99064.873999999996</v>
      </c>
      <c r="G22" s="152">
        <v>-1.6691587399999999E-2</v>
      </c>
      <c r="H22" s="159">
        <v>204394.69</v>
      </c>
      <c r="I22" s="152">
        <v>-7.6270090000000003E-4</v>
      </c>
      <c r="J22" s="159">
        <v>16708.38</v>
      </c>
      <c r="K22" s="159">
        <v>17069.632000000001</v>
      </c>
      <c r="L22" s="152">
        <v>-2.1163432199999999E-2</v>
      </c>
      <c r="M22" s="159">
        <v>96385.547999999995</v>
      </c>
      <c r="N22" s="159">
        <v>100525.92</v>
      </c>
      <c r="O22" s="152">
        <v>-4.1187108799999997E-2</v>
      </c>
      <c r="P22" s="159">
        <v>206764.253</v>
      </c>
      <c r="Q22" s="152">
        <v>-2.55440943E-2</v>
      </c>
      <c r="R22" s="159">
        <v>267562.05099999998</v>
      </c>
      <c r="S22" s="159">
        <v>380077.60600000003</v>
      </c>
      <c r="T22" s="152">
        <v>-0.29603310799999999</v>
      </c>
      <c r="U22" s="159">
        <v>1654720.2830000001</v>
      </c>
      <c r="V22" s="159">
        <v>1987056.165</v>
      </c>
      <c r="W22" s="152">
        <v>-0.1672503716</v>
      </c>
      <c r="X22" s="159">
        <v>4087917.6549999998</v>
      </c>
      <c r="Y22" s="152">
        <v>-0.1029486122</v>
      </c>
      <c r="Z22" s="159">
        <v>602675.56400000001</v>
      </c>
      <c r="AA22" s="159">
        <v>714687.23699999996</v>
      </c>
      <c r="AB22" s="152">
        <v>-0.15672824029999999</v>
      </c>
      <c r="AC22" s="159">
        <v>3876905.5129999998</v>
      </c>
      <c r="AD22" s="159">
        <v>4312802.409</v>
      </c>
      <c r="AE22" s="152">
        <v>-0.10107045369999999</v>
      </c>
      <c r="AF22" s="159">
        <v>8439030.9580000006</v>
      </c>
      <c r="AG22" s="152">
        <v>-4.7542258300000001E-2</v>
      </c>
    </row>
    <row r="23" spans="1:33">
      <c r="A23" s="144" t="s">
        <v>21</v>
      </c>
      <c r="B23" s="158">
        <v>0</v>
      </c>
      <c r="C23" s="158">
        <v>0</v>
      </c>
      <c r="D23" s="151">
        <v>0</v>
      </c>
      <c r="E23" s="158">
        <v>0</v>
      </c>
      <c r="F23" s="158">
        <v>0</v>
      </c>
      <c r="G23" s="151">
        <v>0</v>
      </c>
      <c r="H23" s="158">
        <v>0</v>
      </c>
      <c r="I23" s="151">
        <v>0</v>
      </c>
      <c r="J23" s="158">
        <v>0</v>
      </c>
      <c r="K23" s="158">
        <v>0</v>
      </c>
      <c r="L23" s="151">
        <v>0</v>
      </c>
      <c r="M23" s="158">
        <v>0</v>
      </c>
      <c r="N23" s="158">
        <v>0</v>
      </c>
      <c r="O23" s="151">
        <v>0</v>
      </c>
      <c r="P23" s="158">
        <v>0</v>
      </c>
      <c r="Q23" s="151">
        <v>0</v>
      </c>
      <c r="R23" s="158">
        <v>93289.578999999998</v>
      </c>
      <c r="S23" s="158">
        <v>159634.671</v>
      </c>
      <c r="T23" s="151">
        <v>-0.41560578030000001</v>
      </c>
      <c r="U23" s="158">
        <v>618682.18900000001</v>
      </c>
      <c r="V23" s="158">
        <v>806030.69799999997</v>
      </c>
      <c r="W23" s="151">
        <v>-0.23243346619999999</v>
      </c>
      <c r="X23" s="158">
        <v>1507492.013</v>
      </c>
      <c r="Y23" s="151">
        <v>5.9748361999999999E-3</v>
      </c>
      <c r="Z23" s="158">
        <v>0</v>
      </c>
      <c r="AA23" s="158">
        <v>0</v>
      </c>
      <c r="AB23" s="151">
        <v>0</v>
      </c>
      <c r="AC23" s="158">
        <v>0</v>
      </c>
      <c r="AD23" s="158">
        <v>0</v>
      </c>
      <c r="AE23" s="151">
        <v>0</v>
      </c>
      <c r="AF23" s="158">
        <v>0</v>
      </c>
      <c r="AG23" s="151">
        <v>0</v>
      </c>
    </row>
    <row r="24" spans="1:33">
      <c r="A24" s="149" t="s">
        <v>79</v>
      </c>
      <c r="B24" s="159">
        <v>15839.422</v>
      </c>
      <c r="C24" s="159">
        <v>16642.239000000001</v>
      </c>
      <c r="D24" s="152">
        <v>-4.8239722999999998E-2</v>
      </c>
      <c r="E24" s="159">
        <v>97411.323999999993</v>
      </c>
      <c r="F24" s="159">
        <v>99064.873999999996</v>
      </c>
      <c r="G24" s="152">
        <v>-1.6691587399999999E-2</v>
      </c>
      <c r="H24" s="159">
        <v>204394.69</v>
      </c>
      <c r="I24" s="152">
        <v>-7.6270090000000003E-4</v>
      </c>
      <c r="J24" s="159">
        <v>16708.38</v>
      </c>
      <c r="K24" s="159">
        <v>17069.632000000001</v>
      </c>
      <c r="L24" s="152">
        <v>-2.1163432199999999E-2</v>
      </c>
      <c r="M24" s="159">
        <v>96385.547999999995</v>
      </c>
      <c r="N24" s="159">
        <v>100525.92</v>
      </c>
      <c r="O24" s="152">
        <v>-4.1187108799999997E-2</v>
      </c>
      <c r="P24" s="159">
        <v>206764.253</v>
      </c>
      <c r="Q24" s="152">
        <v>-2.55440943E-2</v>
      </c>
      <c r="R24" s="159">
        <v>360851.63</v>
      </c>
      <c r="S24" s="159">
        <v>539712.277</v>
      </c>
      <c r="T24" s="152">
        <v>-0.331399997</v>
      </c>
      <c r="U24" s="159">
        <v>2273402.4720000001</v>
      </c>
      <c r="V24" s="159">
        <v>2793086.8629999999</v>
      </c>
      <c r="W24" s="152">
        <v>-0.18606094849999999</v>
      </c>
      <c r="X24" s="159">
        <v>5595409.6679999996</v>
      </c>
      <c r="Y24" s="152">
        <v>-7.5994057599999998E-2</v>
      </c>
      <c r="Z24" s="159">
        <v>602675.56400000001</v>
      </c>
      <c r="AA24" s="159">
        <v>714687.23699999996</v>
      </c>
      <c r="AB24" s="152">
        <v>-0.15672824029999999</v>
      </c>
      <c r="AC24" s="159">
        <v>3876905.5129999998</v>
      </c>
      <c r="AD24" s="159">
        <v>4312802.409</v>
      </c>
      <c r="AE24" s="152">
        <v>-0.10107045369999999</v>
      </c>
      <c r="AF24" s="159">
        <v>8439030.9580000006</v>
      </c>
      <c r="AG24" s="152">
        <v>-4.7542258300000001E-2</v>
      </c>
    </row>
    <row r="26" spans="1:33">
      <c r="A26" s="111" t="s">
        <v>114</v>
      </c>
      <c r="B26" s="180">
        <f>SUM(B24,J24,R24,Z24)</f>
        <v>996074.99600000004</v>
      </c>
      <c r="C26" s="180">
        <f>SUM(C24,K24,S24,AA24)</f>
        <v>1288111.385</v>
      </c>
      <c r="D26" s="181">
        <f>((B26/C26)-1)*100</f>
        <v>-22.671672061962244</v>
      </c>
      <c r="R26" s="181"/>
    </row>
    <row r="29" spans="1:33" ht="15">
      <c r="A29" s="145" t="s">
        <v>67</v>
      </c>
      <c r="B29" s="204" t="str">
        <f>A2</f>
        <v>Junio 2020</v>
      </c>
      <c r="C29" s="205"/>
    </row>
    <row r="30" spans="1:33" ht="15">
      <c r="A30" s="145" t="s">
        <v>69</v>
      </c>
      <c r="B30" s="219" t="s">
        <v>72</v>
      </c>
      <c r="C30" s="220"/>
    </row>
    <row r="31" spans="1:33">
      <c r="A31" s="143" t="s">
        <v>68</v>
      </c>
      <c r="B31" s="178" t="s">
        <v>57</v>
      </c>
      <c r="C31" s="178" t="s">
        <v>58</v>
      </c>
    </row>
    <row r="32" spans="1:33">
      <c r="A32" s="145" t="s">
        <v>70</v>
      </c>
      <c r="B32" s="146"/>
      <c r="C32" s="146"/>
    </row>
    <row r="33" spans="1:3">
      <c r="A33" s="144" t="s">
        <v>12</v>
      </c>
      <c r="B33" s="147"/>
      <c r="C33" s="147">
        <v>2.02</v>
      </c>
    </row>
    <row r="34" spans="1:3">
      <c r="A34" s="144" t="s">
        <v>11</v>
      </c>
      <c r="B34" s="147">
        <v>241.19999999999996</v>
      </c>
      <c r="C34" s="147"/>
    </row>
    <row r="35" spans="1:3">
      <c r="A35" s="144" t="s">
        <v>78</v>
      </c>
      <c r="B35" s="147">
        <v>139.4</v>
      </c>
      <c r="C35" s="147">
        <v>495.92</v>
      </c>
    </row>
    <row r="36" spans="1:3">
      <c r="A36" s="144" t="s">
        <v>9</v>
      </c>
      <c r="B36" s="147">
        <v>605.4</v>
      </c>
      <c r="C36" s="147">
        <v>557.1400000000001</v>
      </c>
    </row>
    <row r="37" spans="1:3">
      <c r="A37" s="144" t="s">
        <v>8</v>
      </c>
      <c r="B37" s="147"/>
      <c r="C37" s="147">
        <v>482.64</v>
      </c>
    </row>
    <row r="38" spans="1:3">
      <c r="A38" s="144" t="s">
        <v>25</v>
      </c>
      <c r="B38" s="147">
        <v>857.95</v>
      </c>
      <c r="C38" s="147">
        <v>864.2</v>
      </c>
    </row>
    <row r="39" spans="1:3">
      <c r="A39" s="144" t="s">
        <v>24</v>
      </c>
      <c r="B39" s="147"/>
      <c r="C39" s="147"/>
    </row>
    <row r="40" spans="1:3">
      <c r="A40" s="144" t="s">
        <v>6</v>
      </c>
      <c r="B40" s="147"/>
      <c r="C40" s="147">
        <v>11.39</v>
      </c>
    </row>
    <row r="41" spans="1:3">
      <c r="A41" s="144" t="s">
        <v>5</v>
      </c>
      <c r="B41" s="147">
        <v>3.6374999999999909</v>
      </c>
      <c r="C41" s="147">
        <v>430.315</v>
      </c>
    </row>
    <row r="42" spans="1:3">
      <c r="A42" s="144" t="s">
        <v>4</v>
      </c>
      <c r="B42" s="147">
        <v>80.871014999999844</v>
      </c>
      <c r="C42" s="147">
        <v>167.10714499999966</v>
      </c>
    </row>
    <row r="43" spans="1:3">
      <c r="A43" s="144" t="s">
        <v>22</v>
      </c>
      <c r="B43" s="147">
        <v>2.13</v>
      </c>
      <c r="C43" s="147">
        <v>3.6960000000000002</v>
      </c>
    </row>
    <row r="44" spans="1:3">
      <c r="A44" s="144" t="s">
        <v>23</v>
      </c>
      <c r="B44" s="147">
        <v>10.486999999999998</v>
      </c>
      <c r="C44" s="147"/>
    </row>
    <row r="45" spans="1:3">
      <c r="A45" s="144" t="s">
        <v>54</v>
      </c>
      <c r="B45" s="147">
        <v>37.400000000000006</v>
      </c>
      <c r="C45" s="147"/>
    </row>
    <row r="46" spans="1:3">
      <c r="A46" s="144" t="s">
        <v>55</v>
      </c>
      <c r="B46" s="147">
        <v>37.400000000000006</v>
      </c>
      <c r="C46" s="147"/>
    </row>
    <row r="47" spans="1:3">
      <c r="A47" s="149" t="s">
        <v>2</v>
      </c>
      <c r="B47" s="150">
        <f>SUM(B33:B46)</f>
        <v>2015.8755150000004</v>
      </c>
      <c r="C47" s="179">
        <f>SUM(C33:C46)</f>
        <v>3014.4281449999994</v>
      </c>
    </row>
    <row r="48" spans="1:3" ht="15">
      <c r="A48"/>
      <c r="B48"/>
      <c r="C48"/>
    </row>
    <row r="49" spans="1:8" ht="15">
      <c r="A49"/>
      <c r="B49"/>
      <c r="C49"/>
    </row>
    <row r="50" spans="1:8">
      <c r="A50" s="109" t="s">
        <v>30</v>
      </c>
      <c r="B50" s="110"/>
      <c r="C50" s="110"/>
      <c r="F50" s="109" t="s">
        <v>34</v>
      </c>
      <c r="G50" s="110"/>
      <c r="H50" s="110"/>
    </row>
    <row r="51" spans="1:8">
      <c r="A51" s="112"/>
      <c r="B51" s="113" t="s">
        <v>29</v>
      </c>
      <c r="C51" s="113" t="s">
        <v>26</v>
      </c>
      <c r="F51" s="112"/>
      <c r="G51" s="113" t="s">
        <v>29</v>
      </c>
      <c r="H51" s="113" t="s">
        <v>26</v>
      </c>
    </row>
    <row r="52" spans="1:8">
      <c r="A52" s="114" t="s">
        <v>11</v>
      </c>
      <c r="B52" s="115">
        <f>B34</f>
        <v>241.19999999999996</v>
      </c>
      <c r="C52" s="116">
        <f>B52/$B$63*100</f>
        <v>11.965024536745759</v>
      </c>
      <c r="F52" s="114" t="s">
        <v>10</v>
      </c>
      <c r="G52" s="115">
        <f>C35</f>
        <v>495.92</v>
      </c>
      <c r="H52" s="116">
        <f>G52/$G$62*100</f>
        <v>16.451544908196844</v>
      </c>
    </row>
    <row r="53" spans="1:8">
      <c r="A53" s="114" t="s">
        <v>10</v>
      </c>
      <c r="B53" s="115">
        <f t="shared" ref="B53:B54" si="0">B35</f>
        <v>139.4</v>
      </c>
      <c r="C53" s="116">
        <f>B53/$B$63*100</f>
        <v>6.9151095374061322</v>
      </c>
      <c r="F53" s="114" t="s">
        <v>9</v>
      </c>
      <c r="G53" s="115">
        <f>C36</f>
        <v>557.1400000000001</v>
      </c>
      <c r="H53" s="116">
        <f t="shared" ref="H53:H61" si="1">G53/$G$62*100</f>
        <v>18.482444205018531</v>
      </c>
    </row>
    <row r="54" spans="1:8">
      <c r="A54" s="114" t="s">
        <v>9</v>
      </c>
      <c r="B54" s="115">
        <f t="shared" si="0"/>
        <v>605.4</v>
      </c>
      <c r="C54" s="116">
        <f>B54/$B$63*100</f>
        <v>30.031616312379285</v>
      </c>
      <c r="F54" s="114" t="s">
        <v>8</v>
      </c>
      <c r="G54" s="115">
        <f>C37</f>
        <v>482.64</v>
      </c>
      <c r="H54" s="116">
        <f t="shared" si="1"/>
        <v>16.010997004541306</v>
      </c>
    </row>
    <row r="55" spans="1:8">
      <c r="A55" s="114" t="s">
        <v>25</v>
      </c>
      <c r="B55" s="115">
        <f>B38</f>
        <v>857.95</v>
      </c>
      <c r="C55" s="116">
        <f>B55/$B$63*100</f>
        <v>42.559671647185013</v>
      </c>
      <c r="F55" s="114" t="s">
        <v>25</v>
      </c>
      <c r="G55" s="115">
        <f>C38</f>
        <v>864.2</v>
      </c>
      <c r="H55" s="116">
        <f t="shared" si="1"/>
        <v>28.668787525535794</v>
      </c>
    </row>
    <row r="56" spans="1:8">
      <c r="A56" s="114"/>
      <c r="B56" s="115"/>
      <c r="C56" s="116"/>
      <c r="F56" s="114" t="s">
        <v>23</v>
      </c>
      <c r="G56" s="115">
        <f>C44</f>
        <v>0</v>
      </c>
      <c r="H56" s="116">
        <f t="shared" si="1"/>
        <v>0</v>
      </c>
    </row>
    <row r="57" spans="1:8">
      <c r="A57" s="114" t="s">
        <v>23</v>
      </c>
      <c r="B57" s="115">
        <f>B44</f>
        <v>10.486999999999998</v>
      </c>
      <c r="C57" s="116">
        <f>B57/$B$63*100</f>
        <v>0.52022061491232485</v>
      </c>
      <c r="F57" s="114" t="s">
        <v>12</v>
      </c>
      <c r="G57" s="116">
        <f>C33</f>
        <v>2.02</v>
      </c>
      <c r="H57" s="116">
        <f t="shared" si="1"/>
        <v>6.7011051610254932E-2</v>
      </c>
    </row>
    <row r="58" spans="1:8">
      <c r="A58" s="114" t="s">
        <v>55</v>
      </c>
      <c r="B58" s="115">
        <f>B46</f>
        <v>37.400000000000006</v>
      </c>
      <c r="C58" s="116">
        <f t="shared" ref="C58:C62" si="2">B58/$B$63*100</f>
        <v>1.8552732905235965</v>
      </c>
      <c r="F58" s="114" t="s">
        <v>6</v>
      </c>
      <c r="G58" s="115">
        <f>C40</f>
        <v>11.39</v>
      </c>
      <c r="H58" s="116">
        <f t="shared" si="1"/>
        <v>0.37784944447564534</v>
      </c>
    </row>
    <row r="59" spans="1:8">
      <c r="A59" s="114" t="s">
        <v>54</v>
      </c>
      <c r="B59" s="115">
        <f>B45</f>
        <v>37.400000000000006</v>
      </c>
      <c r="C59" s="116">
        <f t="shared" si="2"/>
        <v>1.8552732905235965</v>
      </c>
      <c r="F59" s="114" t="s">
        <v>5</v>
      </c>
      <c r="G59" s="115">
        <f>C41</f>
        <v>430.315</v>
      </c>
      <c r="H59" s="116">
        <f t="shared" si="1"/>
        <v>14.275178551320222</v>
      </c>
    </row>
    <row r="60" spans="1:8">
      <c r="A60" s="114" t="s">
        <v>5</v>
      </c>
      <c r="B60" s="115">
        <f>B41</f>
        <v>3.6374999999999909</v>
      </c>
      <c r="C60" s="116">
        <f t="shared" si="2"/>
        <v>0.18044268968661936</v>
      </c>
      <c r="F60" s="114" t="s">
        <v>4</v>
      </c>
      <c r="G60" s="115">
        <f>C42</f>
        <v>167.10714499999966</v>
      </c>
      <c r="H60" s="116">
        <f t="shared" si="1"/>
        <v>5.5435769891273914</v>
      </c>
    </row>
    <row r="61" spans="1:8">
      <c r="A61" s="114" t="s">
        <v>4</v>
      </c>
      <c r="B61" s="115">
        <f>B42</f>
        <v>80.871014999999844</v>
      </c>
      <c r="C61" s="116">
        <f t="shared" si="2"/>
        <v>4.0117067943056899</v>
      </c>
      <c r="F61" s="114" t="s">
        <v>22</v>
      </c>
      <c r="G61" s="115">
        <f>C43</f>
        <v>3.6960000000000002</v>
      </c>
      <c r="H61" s="116">
        <f t="shared" si="1"/>
        <v>0.12261032017401099</v>
      </c>
    </row>
    <row r="62" spans="1:8">
      <c r="A62" s="114" t="s">
        <v>22</v>
      </c>
      <c r="B62" s="115">
        <f>B43</f>
        <v>2.13</v>
      </c>
      <c r="C62" s="116">
        <f t="shared" si="2"/>
        <v>0.10566128633195883</v>
      </c>
      <c r="F62" s="117" t="s">
        <v>20</v>
      </c>
      <c r="G62" s="118">
        <f>SUM(G52:G61)</f>
        <v>3014.4281449999999</v>
      </c>
      <c r="H62" s="119">
        <f>SUM(H52:H61)</f>
        <v>99.999999999999986</v>
      </c>
    </row>
    <row r="63" spans="1:8">
      <c r="A63" s="117" t="s">
        <v>20</v>
      </c>
      <c r="B63" s="118">
        <f>SUM(B52:B62)</f>
        <v>2015.8755150000004</v>
      </c>
      <c r="C63" s="119">
        <f>SUM(C52:C62)</f>
        <v>99.999999999999972</v>
      </c>
    </row>
    <row r="66" spans="1:7">
      <c r="A66" s="109" t="s">
        <v>27</v>
      </c>
      <c r="B66" s="110"/>
      <c r="F66" s="109" t="s">
        <v>33</v>
      </c>
      <c r="G66" s="110"/>
    </row>
    <row r="67" spans="1:7">
      <c r="A67" s="112"/>
      <c r="B67" s="113" t="s">
        <v>26</v>
      </c>
      <c r="C67" s="113" t="s">
        <v>118</v>
      </c>
      <c r="F67" s="112"/>
      <c r="G67" s="113" t="s">
        <v>26</v>
      </c>
    </row>
    <row r="68" spans="1:7">
      <c r="A68" s="114" t="s">
        <v>11</v>
      </c>
      <c r="B68" s="116">
        <f>C68/$C$80*100</f>
        <v>0</v>
      </c>
      <c r="C68" s="115">
        <f>IF(R9&lt;0,0)</f>
        <v>0</v>
      </c>
      <c r="D68" s="183">
        <f>(C68/SUM($C$68:$C$78))*100</f>
        <v>0</v>
      </c>
      <c r="F68" s="114" t="s">
        <v>10</v>
      </c>
      <c r="G68" s="116">
        <f>Z10/Z$24*100</f>
        <v>20.383992207123896</v>
      </c>
    </row>
    <row r="69" spans="1:7">
      <c r="A69" s="114" t="s">
        <v>10</v>
      </c>
      <c r="B69" s="116">
        <f t="shared" ref="B69:B79" si="3">C69/$C$80*100</f>
        <v>4.9435319882674973</v>
      </c>
      <c r="C69" s="115">
        <f>R10</f>
        <v>17902.133999999998</v>
      </c>
      <c r="D69" s="183">
        <f t="shared" ref="D69:D78" si="4">(C69/SUM($C$68:$C$78))*100</f>
        <v>6.658957802196741</v>
      </c>
      <c r="F69" s="114" t="s">
        <v>9</v>
      </c>
      <c r="G69" s="116">
        <f>Z11/Z$24*100</f>
        <v>1.4414745708853729</v>
      </c>
    </row>
    <row r="70" spans="1:7">
      <c r="A70" s="114" t="s">
        <v>9</v>
      </c>
      <c r="B70" s="116">
        <f t="shared" si="3"/>
        <v>4.4100948586602815</v>
      </c>
      <c r="C70" s="115">
        <f>R11</f>
        <v>15970.385</v>
      </c>
      <c r="D70" s="183">
        <f t="shared" si="4"/>
        <v>5.9404158074023918</v>
      </c>
      <c r="F70" s="114" t="s">
        <v>8</v>
      </c>
      <c r="G70" s="116">
        <f>Z12/Z$24*100</f>
        <v>13.820920238936383</v>
      </c>
    </row>
    <row r="71" spans="1:7">
      <c r="A71" s="114" t="s">
        <v>25</v>
      </c>
      <c r="B71" s="116">
        <f t="shared" si="3"/>
        <v>52.805538338098721</v>
      </c>
      <c r="C71" s="115">
        <f>R13</f>
        <v>191225.995</v>
      </c>
      <c r="D71" s="183">
        <f>(C71/SUM($C$68:$C$78))*100</f>
        <v>71.129276062176999</v>
      </c>
      <c r="F71" s="114" t="s">
        <v>25</v>
      </c>
      <c r="G71" s="116">
        <f>Z13/Z$24*100</f>
        <v>42.967261237756112</v>
      </c>
    </row>
    <row r="72" spans="1:7">
      <c r="A72" s="114"/>
      <c r="B72" s="116"/>
      <c r="C72" s="115"/>
      <c r="D72" s="184"/>
      <c r="F72" s="114" t="s">
        <v>23</v>
      </c>
      <c r="G72" s="116">
        <f>Z19/Z$24*100</f>
        <v>0</v>
      </c>
    </row>
    <row r="73" spans="1:7">
      <c r="A73" s="114" t="s">
        <v>23</v>
      </c>
      <c r="B73" s="116">
        <f t="shared" si="3"/>
        <v>0.71712323164844161</v>
      </c>
      <c r="C73" s="115">
        <f>R19</f>
        <v>2596.9360000000001</v>
      </c>
      <c r="D73" s="183">
        <f t="shared" si="4"/>
        <v>0.96596792533256637</v>
      </c>
      <c r="F73" s="114" t="s">
        <v>12</v>
      </c>
      <c r="G73" s="116">
        <f>Z8/Z$24*100</f>
        <v>4.5187330674651346E-2</v>
      </c>
    </row>
    <row r="74" spans="1:7">
      <c r="A74" s="114" t="s">
        <v>55</v>
      </c>
      <c r="B74" s="116">
        <f t="shared" si="3"/>
        <v>3.9532749977729145</v>
      </c>
      <c r="C74" s="115">
        <f>R21</f>
        <v>14316.092000000001</v>
      </c>
      <c r="D74" s="183">
        <f t="shared" si="4"/>
        <v>5.3250775868601119</v>
      </c>
      <c r="F74" s="114" t="s">
        <v>6</v>
      </c>
      <c r="G74" s="116">
        <f>Z15/Z$24*100</f>
        <v>0.12322185340834559</v>
      </c>
    </row>
    <row r="75" spans="1:7">
      <c r="A75" s="114" t="s">
        <v>54</v>
      </c>
      <c r="B75" s="116">
        <f t="shared" si="3"/>
        <v>3.9532749977729145</v>
      </c>
      <c r="C75" s="115">
        <f>R20</f>
        <v>14316.092000000001</v>
      </c>
      <c r="D75" s="183">
        <f t="shared" si="4"/>
        <v>5.3250775868601119</v>
      </c>
      <c r="F75" s="114" t="s">
        <v>5</v>
      </c>
      <c r="G75" s="116">
        <f>Z16/Z$24*100</f>
        <v>17.150553162298117</v>
      </c>
    </row>
    <row r="76" spans="1:7">
      <c r="A76" s="114" t="s">
        <v>5</v>
      </c>
      <c r="B76" s="116">
        <f t="shared" si="3"/>
        <v>6.0292855271797507E-2</v>
      </c>
      <c r="C76" s="115">
        <f>R16</f>
        <v>218.34</v>
      </c>
      <c r="D76" s="183">
        <f t="shared" si="4"/>
        <v>8.1214722587353919E-2</v>
      </c>
      <c r="F76" s="114" t="s">
        <v>4</v>
      </c>
      <c r="G76" s="116">
        <f>Z17/Z$24*100</f>
        <v>3.9371272733400553</v>
      </c>
    </row>
    <row r="77" spans="1:7">
      <c r="A77" s="114" t="s">
        <v>4</v>
      </c>
      <c r="B77" s="116">
        <f t="shared" si="3"/>
        <v>3.3791933482019267</v>
      </c>
      <c r="C77" s="115">
        <f>R17</f>
        <v>12237.156000000001</v>
      </c>
      <c r="D77" s="183">
        <f t="shared" si="4"/>
        <v>4.5517872574799556</v>
      </c>
      <c r="F77" s="114" t="s">
        <v>22</v>
      </c>
      <c r="G77" s="116">
        <f>Z18/Z$24*100</f>
        <v>0.13026212557707084</v>
      </c>
    </row>
    <row r="78" spans="1:7">
      <c r="A78" s="114" t="s">
        <v>22</v>
      </c>
      <c r="B78" s="116">
        <f t="shared" si="3"/>
        <v>1.6499763650019112E-2</v>
      </c>
      <c r="C78" s="115">
        <f>R18</f>
        <v>59.750999999999998</v>
      </c>
      <c r="D78" s="183">
        <f t="shared" si="4"/>
        <v>2.2225249103769273E-2</v>
      </c>
      <c r="F78" s="117" t="s">
        <v>20</v>
      </c>
      <c r="G78" s="119">
        <f>SUM(G68:G77)</f>
        <v>100</v>
      </c>
    </row>
    <row r="79" spans="1:7">
      <c r="A79" s="114" t="s">
        <v>21</v>
      </c>
      <c r="B79" s="116">
        <f t="shared" si="3"/>
        <v>25.761175620655496</v>
      </c>
      <c r="C79" s="115">
        <f>R23</f>
        <v>93289.578999999998</v>
      </c>
      <c r="D79" s="185"/>
    </row>
    <row r="80" spans="1:7">
      <c r="A80" s="117" t="s">
        <v>20</v>
      </c>
      <c r="B80" s="119">
        <f>SUM(B68:B79)</f>
        <v>99.999999999999986</v>
      </c>
      <c r="C80" s="118">
        <f>SUM(C68:C79)</f>
        <v>362132.45999999996</v>
      </c>
      <c r="D80" s="185"/>
    </row>
    <row r="85" spans="1:26" ht="15">
      <c r="A85" s="145"/>
      <c r="B85" s="145" t="s">
        <v>69</v>
      </c>
      <c r="C85" s="221" t="s">
        <v>13</v>
      </c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/>
      <c r="W85"/>
      <c r="X85"/>
      <c r="Y85"/>
      <c r="Z85"/>
    </row>
    <row r="86" spans="1:26" ht="15">
      <c r="A86" s="145"/>
      <c r="B86" s="143" t="s">
        <v>67</v>
      </c>
      <c r="C86" s="186" t="s">
        <v>80</v>
      </c>
      <c r="D86" s="186" t="s">
        <v>81</v>
      </c>
      <c r="E86" s="186" t="s">
        <v>82</v>
      </c>
      <c r="F86" s="186" t="s">
        <v>83</v>
      </c>
      <c r="G86" s="186" t="s">
        <v>84</v>
      </c>
      <c r="H86" s="186" t="s">
        <v>85</v>
      </c>
      <c r="I86" s="186" t="s">
        <v>94</v>
      </c>
      <c r="J86" s="186" t="s">
        <v>97</v>
      </c>
      <c r="K86" s="186" t="s">
        <v>98</v>
      </c>
      <c r="L86" s="186" t="s">
        <v>112</v>
      </c>
      <c r="M86" s="186" t="s">
        <v>113</v>
      </c>
      <c r="N86" s="186" t="s">
        <v>115</v>
      </c>
      <c r="O86" s="186" t="s">
        <v>116</v>
      </c>
      <c r="P86" s="186" t="s">
        <v>117</v>
      </c>
      <c r="Q86" s="186" t="s">
        <v>119</v>
      </c>
      <c r="R86" s="186" t="s">
        <v>121</v>
      </c>
      <c r="S86" s="186" t="s">
        <v>122</v>
      </c>
      <c r="T86" s="186" t="s">
        <v>123</v>
      </c>
      <c r="U86" s="186" t="s">
        <v>127</v>
      </c>
      <c r="V86"/>
      <c r="W86"/>
      <c r="X86"/>
      <c r="Y86"/>
      <c r="Z86"/>
    </row>
    <row r="87" spans="1:26" ht="15">
      <c r="A87" s="145" t="s">
        <v>68</v>
      </c>
      <c r="B87" s="145" t="s">
        <v>70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/>
      <c r="W87"/>
      <c r="X87"/>
      <c r="Y87"/>
      <c r="Z87"/>
    </row>
    <row r="88" spans="1:26" ht="15">
      <c r="A88" s="218" t="s">
        <v>57</v>
      </c>
      <c r="B88" s="144" t="s">
        <v>11</v>
      </c>
      <c r="C88" s="147">
        <v>217.72528600000001</v>
      </c>
      <c r="D88" s="147">
        <v>164.40237099999999</v>
      </c>
      <c r="E88" s="147">
        <v>141.74739099999999</v>
      </c>
      <c r="F88" s="147">
        <v>127.06355499999999</v>
      </c>
      <c r="G88" s="147">
        <v>122.296505</v>
      </c>
      <c r="H88" s="147">
        <v>98.710933999999995</v>
      </c>
      <c r="I88" s="147">
        <v>173.44610299999999</v>
      </c>
      <c r="J88" s="147">
        <v>257.56122599999998</v>
      </c>
      <c r="K88" s="147">
        <v>239.89604299999999</v>
      </c>
      <c r="L88" s="147">
        <v>190.859296</v>
      </c>
      <c r="M88" s="147">
        <v>128.513947</v>
      </c>
      <c r="N88" s="147">
        <v>137.71730099999999</v>
      </c>
      <c r="O88" s="147">
        <v>-3.1773479999999998</v>
      </c>
      <c r="P88" s="147">
        <v>-1.357415</v>
      </c>
      <c r="Q88" s="147">
        <v>-1.7178340000000001</v>
      </c>
      <c r="R88" s="147">
        <v>-1.673672</v>
      </c>
      <c r="S88" s="147">
        <v>-1.7940100000000001</v>
      </c>
      <c r="T88" s="147">
        <v>-1.2808299999999999</v>
      </c>
      <c r="U88" s="147">
        <v>0</v>
      </c>
      <c r="V88"/>
      <c r="W88"/>
      <c r="X88"/>
      <c r="Y88"/>
      <c r="Z88"/>
    </row>
    <row r="89" spans="1:26" ht="15">
      <c r="A89" s="216"/>
      <c r="B89" s="144" t="s">
        <v>78</v>
      </c>
      <c r="C89" s="147">
        <v>35.212248000000002</v>
      </c>
      <c r="D89" s="147">
        <v>26.576927000000001</v>
      </c>
      <c r="E89" s="147">
        <v>16.635784999999998</v>
      </c>
      <c r="F89" s="147">
        <v>30.202653000000002</v>
      </c>
      <c r="G89" s="147">
        <v>38.207940999999998</v>
      </c>
      <c r="H89" s="147">
        <v>49.833764000000002</v>
      </c>
      <c r="I89" s="147">
        <v>64.359393999999995</v>
      </c>
      <c r="J89" s="147">
        <v>64.194573000000005</v>
      </c>
      <c r="K89" s="147">
        <v>50.613649000000002</v>
      </c>
      <c r="L89" s="147">
        <v>40.788257999999999</v>
      </c>
      <c r="M89" s="147">
        <v>27.174427999999999</v>
      </c>
      <c r="N89" s="147">
        <v>19.439288000000001</v>
      </c>
      <c r="O89" s="147">
        <v>25.163323999999999</v>
      </c>
      <c r="P89" s="147">
        <v>20.211247</v>
      </c>
      <c r="Q89" s="147">
        <v>15.845757000000001</v>
      </c>
      <c r="R89" s="147">
        <v>18.686546</v>
      </c>
      <c r="S89" s="147">
        <v>20.180289999999999</v>
      </c>
      <c r="T89" s="147">
        <v>17.902134</v>
      </c>
      <c r="U89" s="147">
        <v>5.5868419999999999</v>
      </c>
      <c r="V89"/>
      <c r="W89"/>
      <c r="X89"/>
      <c r="Y89"/>
      <c r="Z89"/>
    </row>
    <row r="90" spans="1:26" ht="15">
      <c r="A90" s="216"/>
      <c r="B90" s="144" t="s">
        <v>9</v>
      </c>
      <c r="C90" s="147">
        <v>22.524488000000002</v>
      </c>
      <c r="D90" s="147">
        <v>22.600860000000001</v>
      </c>
      <c r="E90" s="147">
        <v>34.548490999999999</v>
      </c>
      <c r="F90" s="147">
        <v>30.171469999999999</v>
      </c>
      <c r="G90" s="147">
        <v>27.505562000000001</v>
      </c>
      <c r="H90" s="147">
        <v>38.491146999999998</v>
      </c>
      <c r="I90" s="147">
        <v>72.469969000000006</v>
      </c>
      <c r="J90" s="147">
        <v>70.419168999999997</v>
      </c>
      <c r="K90" s="147">
        <v>45.651693999999999</v>
      </c>
      <c r="L90" s="147">
        <v>27.936012999999999</v>
      </c>
      <c r="M90" s="147">
        <v>28.760522000000002</v>
      </c>
      <c r="N90" s="147">
        <v>20.411356000000001</v>
      </c>
      <c r="O90" s="147">
        <v>21.825088000000001</v>
      </c>
      <c r="P90" s="147">
        <v>17.386634999999998</v>
      </c>
      <c r="Q90" s="147">
        <v>18.899491999999999</v>
      </c>
      <c r="R90" s="147">
        <v>9.9217499999999994</v>
      </c>
      <c r="S90" s="147">
        <v>9.5129249999999992</v>
      </c>
      <c r="T90" s="147">
        <v>15.970385</v>
      </c>
      <c r="U90" s="147">
        <v>5.7635630000000004</v>
      </c>
      <c r="V90"/>
      <c r="W90"/>
      <c r="X90"/>
      <c r="Y90"/>
      <c r="Z90"/>
    </row>
    <row r="91" spans="1:26" ht="15">
      <c r="A91" s="216"/>
      <c r="B91" s="144" t="s">
        <v>25</v>
      </c>
      <c r="C91" s="147">
        <v>34.412135999999997</v>
      </c>
      <c r="D91" s="147">
        <v>55.402149000000001</v>
      </c>
      <c r="E91" s="147">
        <v>83.928335000000004</v>
      </c>
      <c r="F91" s="147">
        <v>93.323053000000002</v>
      </c>
      <c r="G91" s="147">
        <v>103.560644</v>
      </c>
      <c r="H91" s="147">
        <v>148.873491</v>
      </c>
      <c r="I91" s="147">
        <v>160.980031</v>
      </c>
      <c r="J91" s="147">
        <v>81.694967000000005</v>
      </c>
      <c r="K91" s="147">
        <v>37.844405000000002</v>
      </c>
      <c r="L91" s="147">
        <v>49.054825999999998</v>
      </c>
      <c r="M91" s="147">
        <v>98.891853999999995</v>
      </c>
      <c r="N91" s="147">
        <v>97.225685999999996</v>
      </c>
      <c r="O91" s="147">
        <v>247.42845600000001</v>
      </c>
      <c r="P91" s="147">
        <v>226.17381</v>
      </c>
      <c r="Q91" s="147">
        <v>223.68889899999999</v>
      </c>
      <c r="R91" s="147">
        <v>190.73178300000001</v>
      </c>
      <c r="S91" s="147">
        <v>192.66073600000001</v>
      </c>
      <c r="T91" s="147">
        <v>191.22599500000001</v>
      </c>
      <c r="U91" s="147">
        <v>74.196904000000004</v>
      </c>
      <c r="V91"/>
      <c r="W91"/>
      <c r="X91"/>
      <c r="Y91"/>
      <c r="Z91"/>
    </row>
    <row r="92" spans="1:26" ht="15">
      <c r="A92" s="216"/>
      <c r="B92" s="144" t="s">
        <v>24</v>
      </c>
      <c r="C92" s="147">
        <v>0</v>
      </c>
      <c r="D92" s="147">
        <v>0</v>
      </c>
      <c r="E92" s="147">
        <v>0</v>
      </c>
      <c r="F92" s="147">
        <v>0</v>
      </c>
      <c r="G92" s="147">
        <v>0.182169</v>
      </c>
      <c r="H92" s="147">
        <v>1.4050560000000001</v>
      </c>
      <c r="I92" s="147">
        <v>4.0689979999999997</v>
      </c>
      <c r="J92" s="147">
        <v>4.8096079999999999</v>
      </c>
      <c r="K92" s="147">
        <v>4.5895020000000004</v>
      </c>
      <c r="L92" s="147">
        <v>1.7684709999999999</v>
      </c>
      <c r="M92" s="147">
        <v>0</v>
      </c>
      <c r="N92" s="147">
        <v>0</v>
      </c>
      <c r="O92" s="147">
        <v>0</v>
      </c>
      <c r="P92" s="147">
        <v>0</v>
      </c>
      <c r="Q92" s="147">
        <v>0</v>
      </c>
      <c r="R92" s="147">
        <v>0</v>
      </c>
      <c r="S92" s="147">
        <v>0</v>
      </c>
      <c r="T92" s="147">
        <v>0</v>
      </c>
      <c r="U92" s="147">
        <v>0</v>
      </c>
      <c r="V92"/>
      <c r="W92"/>
      <c r="X92"/>
      <c r="Y92"/>
      <c r="Z92"/>
    </row>
    <row r="93" spans="1:26" ht="15">
      <c r="A93" s="216"/>
      <c r="B93" s="144" t="s">
        <v>5</v>
      </c>
      <c r="C93" s="147">
        <v>0.805427</v>
      </c>
      <c r="D93" s="147">
        <v>0.49932900000000002</v>
      </c>
      <c r="E93" s="147">
        <v>0.70238800000000001</v>
      </c>
      <c r="F93" s="147">
        <v>0.63947100000000001</v>
      </c>
      <c r="G93" s="147">
        <v>0.653721</v>
      </c>
      <c r="H93" s="147">
        <v>0.34985300000000003</v>
      </c>
      <c r="I93" s="147">
        <v>0.23036599999999999</v>
      </c>
      <c r="J93" s="147">
        <v>0.347945</v>
      </c>
      <c r="K93" s="147">
        <v>0.51373500000000005</v>
      </c>
      <c r="L93" s="147">
        <v>0.402117</v>
      </c>
      <c r="M93" s="147">
        <v>0.49518299999999998</v>
      </c>
      <c r="N93" s="147">
        <v>0.44528499999999999</v>
      </c>
      <c r="O93" s="147">
        <v>0.37082599999999999</v>
      </c>
      <c r="P93" s="147">
        <v>0.33927600000000002</v>
      </c>
      <c r="Q93" s="147">
        <v>0.53315400000000002</v>
      </c>
      <c r="R93" s="147">
        <v>0.24332000000000001</v>
      </c>
      <c r="S93" s="147">
        <v>0.35056999999999999</v>
      </c>
      <c r="T93" s="147">
        <v>0.21834000000000001</v>
      </c>
      <c r="U93" s="147">
        <v>0.11937</v>
      </c>
      <c r="V93"/>
      <c r="W93"/>
      <c r="X93"/>
      <c r="Y93"/>
      <c r="Z93"/>
    </row>
    <row r="94" spans="1:26" ht="15">
      <c r="A94" s="216"/>
      <c r="B94" s="144" t="s">
        <v>4</v>
      </c>
      <c r="C94" s="147">
        <v>7.290851</v>
      </c>
      <c r="D94" s="147">
        <v>9.3532069999999994</v>
      </c>
      <c r="E94" s="147">
        <v>11.382342</v>
      </c>
      <c r="F94" s="147">
        <v>10.659026000000001</v>
      </c>
      <c r="G94" s="147">
        <v>12.928163</v>
      </c>
      <c r="H94" s="147">
        <v>13.303602</v>
      </c>
      <c r="I94" s="147">
        <v>12.477155</v>
      </c>
      <c r="J94" s="147">
        <v>12.245136</v>
      </c>
      <c r="K94" s="147">
        <v>10.044699</v>
      </c>
      <c r="L94" s="147">
        <v>9.1120260000000002</v>
      </c>
      <c r="M94" s="147">
        <v>6.2902100000000001</v>
      </c>
      <c r="N94" s="147">
        <v>5.905538</v>
      </c>
      <c r="O94" s="147">
        <v>5.931076</v>
      </c>
      <c r="P94" s="147">
        <v>8.7357479999999992</v>
      </c>
      <c r="Q94" s="147">
        <v>9.1979059999999997</v>
      </c>
      <c r="R94" s="147">
        <v>10.812875</v>
      </c>
      <c r="S94" s="147">
        <v>12.879177</v>
      </c>
      <c r="T94" s="147">
        <v>12.237156000000001</v>
      </c>
      <c r="U94" s="147">
        <v>4.0439800000000004</v>
      </c>
      <c r="V94"/>
      <c r="W94"/>
      <c r="X94"/>
      <c r="Y94"/>
      <c r="Z94"/>
    </row>
    <row r="95" spans="1:26" ht="15">
      <c r="A95" s="216"/>
      <c r="B95" s="144" t="s">
        <v>22</v>
      </c>
      <c r="C95" s="147">
        <v>0.107643</v>
      </c>
      <c r="D95" s="147">
        <v>8.2346000000000003E-2</v>
      </c>
      <c r="E95" s="147">
        <v>0.111343</v>
      </c>
      <c r="F95" s="147">
        <v>8.9931999999999998E-2</v>
      </c>
      <c r="G95" s="147">
        <v>5.4199999999999998E-2</v>
      </c>
      <c r="H95" s="147">
        <v>0.12551699999999999</v>
      </c>
      <c r="I95" s="147">
        <v>9.8985000000000004E-2</v>
      </c>
      <c r="J95" s="147">
        <v>8.3479999999999999E-2</v>
      </c>
      <c r="K95" s="147">
        <v>1.2656000000000001E-2</v>
      </c>
      <c r="L95" s="147">
        <v>9.9426E-2</v>
      </c>
      <c r="M95" s="147">
        <v>9.2591999999999994E-2</v>
      </c>
      <c r="N95" s="147">
        <v>0.18124699999999999</v>
      </c>
      <c r="O95" s="147">
        <v>0.20147399999999999</v>
      </c>
      <c r="P95" s="147">
        <v>8.1622E-2</v>
      </c>
      <c r="Q95" s="147">
        <v>2.6786999999999998E-2</v>
      </c>
      <c r="R95" s="147">
        <v>1.5415999999999999E-2</v>
      </c>
      <c r="S95" s="147">
        <v>2.3830000000000001E-3</v>
      </c>
      <c r="T95" s="147">
        <v>5.9750999999999999E-2</v>
      </c>
      <c r="U95" s="147">
        <v>5.13E-3</v>
      </c>
      <c r="V95"/>
      <c r="W95"/>
      <c r="X95"/>
      <c r="Y95"/>
      <c r="Z95"/>
    </row>
    <row r="96" spans="1:26" ht="15">
      <c r="A96" s="216"/>
      <c r="B96" s="144" t="s">
        <v>23</v>
      </c>
      <c r="C96" s="147">
        <v>3.3415469999999998</v>
      </c>
      <c r="D96" s="147">
        <v>3.483536</v>
      </c>
      <c r="E96" s="147">
        <v>3.2674569999999998</v>
      </c>
      <c r="F96" s="147">
        <v>2.9153180000000001</v>
      </c>
      <c r="G96" s="147">
        <v>2.2857509999999999</v>
      </c>
      <c r="H96" s="147">
        <v>2.3003499999999999</v>
      </c>
      <c r="I96" s="147">
        <v>1.194464</v>
      </c>
      <c r="J96" s="147">
        <v>2.848757</v>
      </c>
      <c r="K96" s="147">
        <v>2.8740579999999998</v>
      </c>
      <c r="L96" s="147">
        <v>2.8082799999999999</v>
      </c>
      <c r="M96" s="147">
        <v>3.3302809999999998</v>
      </c>
      <c r="N96" s="147">
        <v>3.7760859999999998</v>
      </c>
      <c r="O96" s="147">
        <v>4.0380969999999996</v>
      </c>
      <c r="P96" s="147">
        <v>3.7449910000000002</v>
      </c>
      <c r="Q96" s="147">
        <v>3.4759910000000001</v>
      </c>
      <c r="R96" s="147">
        <v>2.759617</v>
      </c>
      <c r="S96" s="147">
        <v>2.681413</v>
      </c>
      <c r="T96" s="147">
        <v>2.5969359999999999</v>
      </c>
      <c r="U96" s="147">
        <v>0.68130000000000002</v>
      </c>
      <c r="V96"/>
      <c r="W96"/>
      <c r="X96"/>
      <c r="Y96"/>
      <c r="Z96"/>
    </row>
    <row r="97" spans="1:26" ht="15">
      <c r="A97" s="216"/>
      <c r="B97" s="144" t="s">
        <v>54</v>
      </c>
      <c r="C97" s="147">
        <v>9.5605395000000009</v>
      </c>
      <c r="D97" s="147">
        <v>6.8600294999999996</v>
      </c>
      <c r="E97" s="147">
        <v>11.083662500000001</v>
      </c>
      <c r="F97" s="147">
        <v>13.4563305</v>
      </c>
      <c r="G97" s="147">
        <v>13.087209</v>
      </c>
      <c r="H97" s="147">
        <v>13.341946</v>
      </c>
      <c r="I97" s="147">
        <v>14.4424645</v>
      </c>
      <c r="J97" s="147">
        <v>12.562136000000001</v>
      </c>
      <c r="K97" s="147">
        <v>13.691565000000001</v>
      </c>
      <c r="L97" s="147">
        <v>14.954476</v>
      </c>
      <c r="M97" s="147">
        <v>13.874806</v>
      </c>
      <c r="N97" s="147">
        <v>8.5480964999999998</v>
      </c>
      <c r="O97" s="147">
        <v>9.2619229999999995</v>
      </c>
      <c r="P97" s="147">
        <v>6.0955329999999996</v>
      </c>
      <c r="Q97" s="147">
        <v>10.531687</v>
      </c>
      <c r="R97" s="147">
        <v>4.8152900000000001</v>
      </c>
      <c r="S97" s="147">
        <v>5.3655939999999998</v>
      </c>
      <c r="T97" s="147">
        <v>14.316091999999999</v>
      </c>
      <c r="U97" s="147">
        <v>2.9159999999999999</v>
      </c>
      <c r="V97"/>
      <c r="W97"/>
      <c r="X97"/>
      <c r="Y97"/>
      <c r="Z97"/>
    </row>
    <row r="98" spans="1:26" ht="15">
      <c r="A98" s="216"/>
      <c r="B98" s="144" t="s">
        <v>55</v>
      </c>
      <c r="C98" s="147">
        <v>9.5605395000000009</v>
      </c>
      <c r="D98" s="147">
        <v>6.8600294999999996</v>
      </c>
      <c r="E98" s="147">
        <v>11.083662500000001</v>
      </c>
      <c r="F98" s="147">
        <v>13.4563305</v>
      </c>
      <c r="G98" s="147">
        <v>13.087209</v>
      </c>
      <c r="H98" s="147">
        <v>13.341946</v>
      </c>
      <c r="I98" s="147">
        <v>14.4424645</v>
      </c>
      <c r="J98" s="147">
        <v>12.562136000000001</v>
      </c>
      <c r="K98" s="147">
        <v>13.691565000000001</v>
      </c>
      <c r="L98" s="147">
        <v>14.954476</v>
      </c>
      <c r="M98" s="147">
        <v>13.874806</v>
      </c>
      <c r="N98" s="147">
        <v>8.5480964999999998</v>
      </c>
      <c r="O98" s="147">
        <v>9.2619229999999995</v>
      </c>
      <c r="P98" s="147">
        <v>6.0955329999999996</v>
      </c>
      <c r="Q98" s="147">
        <v>10.531687</v>
      </c>
      <c r="R98" s="147">
        <v>4.8152900000000001</v>
      </c>
      <c r="S98" s="147">
        <v>5.3655939999999998</v>
      </c>
      <c r="T98" s="147">
        <v>14.316091999999999</v>
      </c>
      <c r="U98" s="147">
        <v>2.9159999999999999</v>
      </c>
      <c r="V98"/>
      <c r="W98"/>
      <c r="X98"/>
      <c r="Y98"/>
      <c r="Z98"/>
    </row>
    <row r="99" spans="1:26" ht="15">
      <c r="A99" s="216"/>
      <c r="B99" s="149" t="s">
        <v>2</v>
      </c>
      <c r="C99" s="150">
        <v>340.540705</v>
      </c>
      <c r="D99" s="150">
        <v>296.12078400000001</v>
      </c>
      <c r="E99" s="150">
        <v>314.49085700000001</v>
      </c>
      <c r="F99" s="150">
        <v>321.97713900000002</v>
      </c>
      <c r="G99" s="150">
        <v>333.84907399999997</v>
      </c>
      <c r="H99" s="150">
        <v>380.077606</v>
      </c>
      <c r="I99" s="150">
        <v>518.21039399999995</v>
      </c>
      <c r="J99" s="150">
        <v>519.32913299999996</v>
      </c>
      <c r="K99" s="150">
        <v>419.42357099999998</v>
      </c>
      <c r="L99" s="150">
        <v>352.73766499999999</v>
      </c>
      <c r="M99" s="150">
        <v>321.29862900000001</v>
      </c>
      <c r="N99" s="150">
        <v>302.19797999999997</v>
      </c>
      <c r="O99" s="150">
        <v>320.30483900000002</v>
      </c>
      <c r="P99" s="150">
        <v>287.50698</v>
      </c>
      <c r="Q99" s="150">
        <v>291.01352600000001</v>
      </c>
      <c r="R99" s="150">
        <v>241.12821500000001</v>
      </c>
      <c r="S99" s="150">
        <v>247.20467199999999</v>
      </c>
      <c r="T99" s="150">
        <v>267.562051</v>
      </c>
      <c r="U99" s="150">
        <v>96.229089000000002</v>
      </c>
      <c r="V99"/>
      <c r="W99"/>
      <c r="X99"/>
      <c r="Y99"/>
      <c r="Z99"/>
    </row>
    <row r="100" spans="1:26" ht="15">
      <c r="A100" s="216"/>
      <c r="B100" s="144" t="s">
        <v>21</v>
      </c>
      <c r="C100" s="147">
        <v>137.254998</v>
      </c>
      <c r="D100" s="147">
        <v>119.223619</v>
      </c>
      <c r="E100" s="147">
        <v>122.32533599999999</v>
      </c>
      <c r="F100" s="147">
        <v>124.430774</v>
      </c>
      <c r="G100" s="147">
        <v>143.16130000000001</v>
      </c>
      <c r="H100" s="147">
        <v>159.634671</v>
      </c>
      <c r="I100" s="147">
        <v>201.16611399999999</v>
      </c>
      <c r="J100" s="147">
        <v>185.76976199999999</v>
      </c>
      <c r="K100" s="147">
        <v>153.19726600000001</v>
      </c>
      <c r="L100" s="147">
        <v>137.66557</v>
      </c>
      <c r="M100" s="147">
        <v>91.396833999999998</v>
      </c>
      <c r="N100" s="147">
        <v>119.614278</v>
      </c>
      <c r="O100" s="147">
        <v>136.155901</v>
      </c>
      <c r="P100" s="147">
        <v>115.92849699999999</v>
      </c>
      <c r="Q100" s="147">
        <v>112.780382</v>
      </c>
      <c r="R100" s="147">
        <v>80.581305999999998</v>
      </c>
      <c r="S100" s="147">
        <v>79.946523999999997</v>
      </c>
      <c r="T100" s="147">
        <v>93.289579000000003</v>
      </c>
      <c r="U100" s="147">
        <v>44.036999999999999</v>
      </c>
      <c r="V100"/>
      <c r="W100"/>
      <c r="X100"/>
      <c r="Y100"/>
      <c r="Z100"/>
    </row>
    <row r="101" spans="1:26" ht="15">
      <c r="A101" s="217"/>
      <c r="B101" s="149" t="s">
        <v>79</v>
      </c>
      <c r="C101" s="150">
        <v>477.795703</v>
      </c>
      <c r="D101" s="150">
        <v>415.344403</v>
      </c>
      <c r="E101" s="150">
        <v>436.816193</v>
      </c>
      <c r="F101" s="150">
        <v>446.40791300000001</v>
      </c>
      <c r="G101" s="150">
        <v>477.01037400000001</v>
      </c>
      <c r="H101" s="150">
        <v>539.71227699999997</v>
      </c>
      <c r="I101" s="150">
        <v>719.37650799999994</v>
      </c>
      <c r="J101" s="150">
        <v>705.09889499999997</v>
      </c>
      <c r="K101" s="150">
        <v>572.62083700000005</v>
      </c>
      <c r="L101" s="150">
        <v>490.403235</v>
      </c>
      <c r="M101" s="150">
        <v>412.69546300000002</v>
      </c>
      <c r="N101" s="150">
        <v>421.81225799999999</v>
      </c>
      <c r="O101" s="150">
        <v>456.46073999999999</v>
      </c>
      <c r="P101" s="150">
        <v>403.43547699999999</v>
      </c>
      <c r="Q101" s="150">
        <v>403.79390799999999</v>
      </c>
      <c r="R101" s="150">
        <v>321.709521</v>
      </c>
      <c r="S101" s="150">
        <v>327.15119600000003</v>
      </c>
      <c r="T101" s="150">
        <v>360.85163</v>
      </c>
      <c r="U101" s="150">
        <v>140.26608899999999</v>
      </c>
      <c r="V101"/>
      <c r="W101"/>
      <c r="X101"/>
      <c r="Y101"/>
      <c r="Z101"/>
    </row>
    <row r="102" spans="1:26" ht="15">
      <c r="A102" s="215" t="s">
        <v>58</v>
      </c>
      <c r="B102" s="144" t="s">
        <v>12</v>
      </c>
      <c r="C102" s="147">
        <v>0.29291600000000001</v>
      </c>
      <c r="D102" s="147">
        <v>0.26504899999999998</v>
      </c>
      <c r="E102" s="147">
        <v>0.298315</v>
      </c>
      <c r="F102" s="147">
        <v>0.29675299999999999</v>
      </c>
      <c r="G102" s="147">
        <v>0.30594199999999999</v>
      </c>
      <c r="H102" s="147">
        <v>0.27668100000000001</v>
      </c>
      <c r="I102" s="147">
        <v>0.29841899999999999</v>
      </c>
      <c r="J102" s="147">
        <v>0.29929</v>
      </c>
      <c r="K102" s="147">
        <v>0.28253899999999998</v>
      </c>
      <c r="L102" s="147">
        <v>0.297543</v>
      </c>
      <c r="M102" s="147">
        <v>0.29652299999999998</v>
      </c>
      <c r="N102" s="147">
        <v>0.29914499999999999</v>
      </c>
      <c r="O102" s="147">
        <v>0.30431399999999997</v>
      </c>
      <c r="P102" s="147">
        <v>0.26768999999999998</v>
      </c>
      <c r="Q102" s="147">
        <v>0.29889900000000003</v>
      </c>
      <c r="R102" s="147">
        <v>0.288387</v>
      </c>
      <c r="S102" s="147">
        <v>0.28846300000000002</v>
      </c>
      <c r="T102" s="147">
        <v>0.27233299999999999</v>
      </c>
      <c r="U102" s="147">
        <v>0</v>
      </c>
      <c r="V102"/>
      <c r="W102"/>
      <c r="X102"/>
      <c r="Y102"/>
      <c r="Z102"/>
    </row>
    <row r="103" spans="1:26" ht="15">
      <c r="A103" s="216"/>
      <c r="B103" s="144" t="s">
        <v>78</v>
      </c>
      <c r="C103" s="147">
        <v>174.26427200000001</v>
      </c>
      <c r="D103" s="147">
        <v>152.846857</v>
      </c>
      <c r="E103" s="147">
        <v>161.02722900000001</v>
      </c>
      <c r="F103" s="147">
        <v>157.061271</v>
      </c>
      <c r="G103" s="147">
        <v>150.35795200000001</v>
      </c>
      <c r="H103" s="147">
        <v>167.34978899999999</v>
      </c>
      <c r="I103" s="147">
        <v>155.88908699999999</v>
      </c>
      <c r="J103" s="147">
        <v>173.50264200000001</v>
      </c>
      <c r="K103" s="147">
        <v>167.04003</v>
      </c>
      <c r="L103" s="147">
        <v>168.13456400000001</v>
      </c>
      <c r="M103" s="147">
        <v>151.11739399999999</v>
      </c>
      <c r="N103" s="147">
        <v>171.354029</v>
      </c>
      <c r="O103" s="147">
        <v>175.82359</v>
      </c>
      <c r="P103" s="147">
        <v>160.705896</v>
      </c>
      <c r="Q103" s="147">
        <v>133.86502100000001</v>
      </c>
      <c r="R103" s="147">
        <v>118.219841</v>
      </c>
      <c r="S103" s="147">
        <v>127.46646200000001</v>
      </c>
      <c r="T103" s="147">
        <v>122.84934</v>
      </c>
      <c r="U103" s="147">
        <v>39.266013999999998</v>
      </c>
      <c r="V103"/>
      <c r="W103"/>
      <c r="X103"/>
      <c r="Y103"/>
      <c r="Z103"/>
    </row>
    <row r="104" spans="1:26" ht="15">
      <c r="A104" s="216"/>
      <c r="B104" s="144" t="s">
        <v>9</v>
      </c>
      <c r="C104" s="147">
        <v>21.945627999999999</v>
      </c>
      <c r="D104" s="147">
        <v>18.942269</v>
      </c>
      <c r="E104" s="147">
        <v>19.078325</v>
      </c>
      <c r="F104" s="147">
        <v>20.008217999999999</v>
      </c>
      <c r="G104" s="147">
        <v>23.358886999999999</v>
      </c>
      <c r="H104" s="147">
        <v>14.744834000000001</v>
      </c>
      <c r="I104" s="147">
        <v>16.517122000000001</v>
      </c>
      <c r="J104" s="147">
        <v>17.472964999999999</v>
      </c>
      <c r="K104" s="147">
        <v>24.793182999999999</v>
      </c>
      <c r="L104" s="147">
        <v>16.664884000000001</v>
      </c>
      <c r="M104" s="147">
        <v>18.703745999999999</v>
      </c>
      <c r="N104" s="147">
        <v>16.706254000000001</v>
      </c>
      <c r="O104" s="147">
        <v>17.105090000000001</v>
      </c>
      <c r="P104" s="147">
        <v>21.870190999999998</v>
      </c>
      <c r="Q104" s="147">
        <v>12.226845000000001</v>
      </c>
      <c r="R104" s="147">
        <v>5.7932370000000004</v>
      </c>
      <c r="S104" s="147">
        <v>9.4236719999999998</v>
      </c>
      <c r="T104" s="147">
        <v>8.6874149999999997</v>
      </c>
      <c r="U104" s="147">
        <v>4.6460509999999999</v>
      </c>
      <c r="V104"/>
      <c r="W104"/>
      <c r="X104"/>
      <c r="Y104"/>
      <c r="Z104"/>
    </row>
    <row r="105" spans="1:26" ht="15">
      <c r="A105" s="216"/>
      <c r="B105" s="144" t="s">
        <v>8</v>
      </c>
      <c r="C105" s="147">
        <v>218.650612</v>
      </c>
      <c r="D105" s="147">
        <v>212.98181099999999</v>
      </c>
      <c r="E105" s="147">
        <v>209.06030999999999</v>
      </c>
      <c r="F105" s="147">
        <v>199.95457400000001</v>
      </c>
      <c r="G105" s="147">
        <v>201.71434600000001</v>
      </c>
      <c r="H105" s="147">
        <v>209.91055800000001</v>
      </c>
      <c r="I105" s="147">
        <v>137.955038</v>
      </c>
      <c r="J105" s="147">
        <v>116.694829</v>
      </c>
      <c r="K105" s="147">
        <v>157.50902600000001</v>
      </c>
      <c r="L105" s="147">
        <v>170.575942</v>
      </c>
      <c r="M105" s="147">
        <v>184.81552300000001</v>
      </c>
      <c r="N105" s="147">
        <v>169.18809899999999</v>
      </c>
      <c r="O105" s="147">
        <v>146.91851800000001</v>
      </c>
      <c r="P105" s="147">
        <v>128.34914699999999</v>
      </c>
      <c r="Q105" s="147">
        <v>114.048723</v>
      </c>
      <c r="R105" s="147">
        <v>98.923323999999994</v>
      </c>
      <c r="S105" s="147">
        <v>116.06684199999999</v>
      </c>
      <c r="T105" s="147">
        <v>83.295309000000003</v>
      </c>
      <c r="U105" s="147">
        <v>32.647919999999999</v>
      </c>
      <c r="V105"/>
      <c r="W105"/>
      <c r="X105"/>
      <c r="Y105"/>
      <c r="Z105"/>
    </row>
    <row r="106" spans="1:26" ht="15">
      <c r="A106" s="216"/>
      <c r="B106" s="144" t="s">
        <v>25</v>
      </c>
      <c r="C106" s="147">
        <v>264.507273</v>
      </c>
      <c r="D106" s="147">
        <v>221.964823</v>
      </c>
      <c r="E106" s="147">
        <v>224.52281400000001</v>
      </c>
      <c r="F106" s="147">
        <v>229.693647</v>
      </c>
      <c r="G106" s="147">
        <v>220.83250000000001</v>
      </c>
      <c r="H106" s="147">
        <v>222.51747599999999</v>
      </c>
      <c r="I106" s="147">
        <v>262.048877</v>
      </c>
      <c r="J106" s="147">
        <v>290.23648900000001</v>
      </c>
      <c r="K106" s="147">
        <v>276.37973799999997</v>
      </c>
      <c r="L106" s="147">
        <v>305.83225499999998</v>
      </c>
      <c r="M106" s="147">
        <v>233.08126999999999</v>
      </c>
      <c r="N106" s="147">
        <v>301.90038800000002</v>
      </c>
      <c r="O106" s="147">
        <v>336.41169600000001</v>
      </c>
      <c r="P106" s="147">
        <v>279.07848200000001</v>
      </c>
      <c r="Q106" s="147">
        <v>300.75480199999998</v>
      </c>
      <c r="R106" s="147">
        <v>246.048203</v>
      </c>
      <c r="S106" s="147">
        <v>229.928777</v>
      </c>
      <c r="T106" s="147">
        <v>258.95318400000002</v>
      </c>
      <c r="U106" s="147">
        <v>67.691433000000004</v>
      </c>
      <c r="V106"/>
      <c r="W106"/>
      <c r="X106"/>
      <c r="Y106"/>
      <c r="Z106"/>
    </row>
    <row r="107" spans="1:26" ht="15">
      <c r="A107" s="216"/>
      <c r="B107" s="144" t="s">
        <v>6</v>
      </c>
      <c r="C107" s="147">
        <v>1.109656</v>
      </c>
      <c r="D107" s="147">
        <v>0.97254499999999999</v>
      </c>
      <c r="E107" s="147">
        <v>1.955158</v>
      </c>
      <c r="F107" s="147">
        <v>1.5483690000000001</v>
      </c>
      <c r="G107" s="147">
        <v>2.031012</v>
      </c>
      <c r="H107" s="147">
        <v>1.3721410000000001</v>
      </c>
      <c r="I107" s="147">
        <v>3.727338</v>
      </c>
      <c r="J107" s="147">
        <v>3.4751189999999998</v>
      </c>
      <c r="K107" s="147">
        <v>2.2183510000000002</v>
      </c>
      <c r="L107" s="147">
        <v>1.582837</v>
      </c>
      <c r="M107" s="147">
        <v>2.0965220000000002</v>
      </c>
      <c r="N107" s="147">
        <v>1.15967</v>
      </c>
      <c r="O107" s="147">
        <v>0.82455000000000001</v>
      </c>
      <c r="P107" s="147">
        <v>1.3385149999999999</v>
      </c>
      <c r="Q107" s="147">
        <v>1.8236140000000001</v>
      </c>
      <c r="R107" s="147">
        <v>0.99112500000000003</v>
      </c>
      <c r="S107" s="147">
        <v>1.4427080000000001</v>
      </c>
      <c r="T107" s="147">
        <v>0.74262799999999995</v>
      </c>
      <c r="U107" s="147">
        <v>1.100705</v>
      </c>
      <c r="V107"/>
      <c r="W107"/>
      <c r="X107"/>
      <c r="Y107"/>
      <c r="Z107"/>
    </row>
    <row r="108" spans="1:26" ht="15">
      <c r="A108" s="216"/>
      <c r="B108" s="144" t="s">
        <v>5</v>
      </c>
      <c r="C108" s="147">
        <v>55.716045999999999</v>
      </c>
      <c r="D108" s="147">
        <v>48.413316999999999</v>
      </c>
      <c r="E108" s="147">
        <v>96.842352000000005</v>
      </c>
      <c r="F108" s="147">
        <v>67.113055000000003</v>
      </c>
      <c r="G108" s="147">
        <v>95.432451</v>
      </c>
      <c r="H108" s="147">
        <v>74.330708999999999</v>
      </c>
      <c r="I108" s="147">
        <v>158.18352999999999</v>
      </c>
      <c r="J108" s="147">
        <v>158.502759</v>
      </c>
      <c r="K108" s="147">
        <v>100.47458899999999</v>
      </c>
      <c r="L108" s="147">
        <v>89.262077000000005</v>
      </c>
      <c r="M108" s="147">
        <v>125.115903</v>
      </c>
      <c r="N108" s="147">
        <v>68.820522999999994</v>
      </c>
      <c r="O108" s="147">
        <v>60.201912999999998</v>
      </c>
      <c r="P108" s="147">
        <v>93.150577999999996</v>
      </c>
      <c r="Q108" s="147">
        <v>97.165876999999995</v>
      </c>
      <c r="R108" s="147">
        <v>54.499831999999998</v>
      </c>
      <c r="S108" s="147">
        <v>69.748904999999993</v>
      </c>
      <c r="T108" s="147">
        <v>103.362193</v>
      </c>
      <c r="U108" s="147">
        <v>44.007595999999999</v>
      </c>
      <c r="V108"/>
      <c r="W108"/>
      <c r="X108"/>
      <c r="Y108"/>
      <c r="Z108"/>
    </row>
    <row r="109" spans="1:26" ht="15">
      <c r="A109" s="216"/>
      <c r="B109" s="144" t="s">
        <v>4</v>
      </c>
      <c r="C109" s="147">
        <v>17.899612000000001</v>
      </c>
      <c r="D109" s="147">
        <v>21.362932000000001</v>
      </c>
      <c r="E109" s="147">
        <v>24.927766999999999</v>
      </c>
      <c r="F109" s="147">
        <v>24.572315</v>
      </c>
      <c r="G109" s="147">
        <v>29.457906000000001</v>
      </c>
      <c r="H109" s="147">
        <v>23.361749</v>
      </c>
      <c r="I109" s="147">
        <v>29.608312000000002</v>
      </c>
      <c r="J109" s="147">
        <v>27.737331000000001</v>
      </c>
      <c r="K109" s="147">
        <v>23.467742000000001</v>
      </c>
      <c r="L109" s="147">
        <v>20.840191999999998</v>
      </c>
      <c r="M109" s="147">
        <v>18.276879999999998</v>
      </c>
      <c r="N109" s="147">
        <v>17.266753999999999</v>
      </c>
      <c r="O109" s="147">
        <v>18.497091000000001</v>
      </c>
      <c r="P109" s="147">
        <v>20.25189</v>
      </c>
      <c r="Q109" s="147">
        <v>21.169239000000001</v>
      </c>
      <c r="R109" s="147">
        <v>22.557507999999999</v>
      </c>
      <c r="S109" s="147">
        <v>26.001139999999999</v>
      </c>
      <c r="T109" s="147">
        <v>23.728103999999998</v>
      </c>
      <c r="U109" s="147">
        <v>7.2202060000000001</v>
      </c>
      <c r="V109"/>
      <c r="W109"/>
      <c r="X109"/>
      <c r="Y109"/>
      <c r="Z109"/>
    </row>
    <row r="110" spans="1:26" ht="15">
      <c r="A110" s="216"/>
      <c r="B110" s="144" t="s">
        <v>22</v>
      </c>
      <c r="C110" s="147">
        <v>0.96332899999999999</v>
      </c>
      <c r="D110" s="147">
        <v>0.82279800000000003</v>
      </c>
      <c r="E110" s="147">
        <v>0.90107099999999996</v>
      </c>
      <c r="F110" s="147">
        <v>0.89633300000000005</v>
      </c>
      <c r="G110" s="147">
        <v>0.94455500000000003</v>
      </c>
      <c r="H110" s="147">
        <v>0.82330000000000003</v>
      </c>
      <c r="I110" s="147">
        <v>0.917458</v>
      </c>
      <c r="J110" s="147">
        <v>0.71267199999999997</v>
      </c>
      <c r="K110" s="147">
        <v>0.43661899999999998</v>
      </c>
      <c r="L110" s="147">
        <v>0.57729399999999997</v>
      </c>
      <c r="M110" s="147">
        <v>0.87303399999999998</v>
      </c>
      <c r="N110" s="147">
        <v>0.90510599999999997</v>
      </c>
      <c r="O110" s="147">
        <v>0.87627999999999995</v>
      </c>
      <c r="P110" s="147">
        <v>0.84570599999999996</v>
      </c>
      <c r="Q110" s="147">
        <v>0.82166799999999995</v>
      </c>
      <c r="R110" s="147">
        <v>0.83979599999999999</v>
      </c>
      <c r="S110" s="147">
        <v>0.70590200000000003</v>
      </c>
      <c r="T110" s="147">
        <v>0.78505800000000003</v>
      </c>
      <c r="U110" s="147">
        <v>0</v>
      </c>
      <c r="V110"/>
      <c r="W110"/>
      <c r="X110"/>
      <c r="Y110"/>
      <c r="Z110"/>
    </row>
    <row r="111" spans="1:26" ht="15">
      <c r="A111" s="216"/>
      <c r="B111" s="149" t="s">
        <v>2</v>
      </c>
      <c r="C111" s="150">
        <v>755.34934399999997</v>
      </c>
      <c r="D111" s="150">
        <v>678.57240100000001</v>
      </c>
      <c r="E111" s="150">
        <v>738.61334099999999</v>
      </c>
      <c r="F111" s="150">
        <v>701.14453500000002</v>
      </c>
      <c r="G111" s="150">
        <v>724.43555100000003</v>
      </c>
      <c r="H111" s="150">
        <v>714.68723699999998</v>
      </c>
      <c r="I111" s="150">
        <v>765.14518099999998</v>
      </c>
      <c r="J111" s="150">
        <v>788.634096</v>
      </c>
      <c r="K111" s="150">
        <v>752.60181699999998</v>
      </c>
      <c r="L111" s="150">
        <v>773.76758800000005</v>
      </c>
      <c r="M111" s="150">
        <v>734.37679500000002</v>
      </c>
      <c r="N111" s="150">
        <v>747.59996799999999</v>
      </c>
      <c r="O111" s="150">
        <v>756.96304199999997</v>
      </c>
      <c r="P111" s="150">
        <v>705.85809500000005</v>
      </c>
      <c r="Q111" s="150">
        <v>682.17468799999995</v>
      </c>
      <c r="R111" s="150">
        <v>548.16125299999999</v>
      </c>
      <c r="S111" s="150">
        <v>581.07287099999996</v>
      </c>
      <c r="T111" s="150">
        <v>602.67556400000001</v>
      </c>
      <c r="U111" s="150">
        <v>196.579925</v>
      </c>
      <c r="V111"/>
      <c r="W111"/>
      <c r="X111"/>
      <c r="Y111"/>
      <c r="Z111"/>
    </row>
    <row r="112" spans="1:26" ht="15">
      <c r="A112" s="217"/>
      <c r="B112" s="149" t="s">
        <v>79</v>
      </c>
      <c r="C112" s="150">
        <v>755.34934399999997</v>
      </c>
      <c r="D112" s="150">
        <v>678.57240100000001</v>
      </c>
      <c r="E112" s="150">
        <v>738.61334099999999</v>
      </c>
      <c r="F112" s="150">
        <v>701.14453500000002</v>
      </c>
      <c r="G112" s="150">
        <v>724.43555100000003</v>
      </c>
      <c r="H112" s="150">
        <v>714.68723699999998</v>
      </c>
      <c r="I112" s="150">
        <v>765.14518099999998</v>
      </c>
      <c r="J112" s="150">
        <v>788.634096</v>
      </c>
      <c r="K112" s="150">
        <v>752.60181699999998</v>
      </c>
      <c r="L112" s="150">
        <v>773.76758800000005</v>
      </c>
      <c r="M112" s="150">
        <v>734.37679500000002</v>
      </c>
      <c r="N112" s="150">
        <v>747.59996799999999</v>
      </c>
      <c r="O112" s="150">
        <v>756.96304199999997</v>
      </c>
      <c r="P112" s="150">
        <v>705.85809500000005</v>
      </c>
      <c r="Q112" s="150">
        <v>682.17468799999995</v>
      </c>
      <c r="R112" s="150">
        <v>548.16125299999999</v>
      </c>
      <c r="S112" s="150">
        <v>581.07287099999996</v>
      </c>
      <c r="T112" s="150">
        <v>602.67556400000001</v>
      </c>
      <c r="U112" s="150">
        <v>196.579925</v>
      </c>
      <c r="V112"/>
      <c r="W112"/>
      <c r="X112"/>
      <c r="Y112"/>
      <c r="Z112"/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13" t="s">
        <v>73</v>
      </c>
      <c r="C117" s="120" t="str">
        <f>TEXT(EDATE(D117,-1),"mmmm aaaa")</f>
        <v>junio 2019</v>
      </c>
      <c r="D117" s="120" t="str">
        <f t="shared" ref="D117:M117" si="5">TEXT(EDATE(E117,-1),"mmmm aaaa")</f>
        <v>julio 2019</v>
      </c>
      <c r="E117" s="120" t="str">
        <f t="shared" si="5"/>
        <v>agosto 2019</v>
      </c>
      <c r="F117" s="120" t="str">
        <f t="shared" si="5"/>
        <v>septiembre 2019</v>
      </c>
      <c r="G117" s="120" t="str">
        <f t="shared" si="5"/>
        <v>octubre 2019</v>
      </c>
      <c r="H117" s="120" t="str">
        <f t="shared" si="5"/>
        <v>noviembre 2019</v>
      </c>
      <c r="I117" s="120" t="str">
        <f t="shared" si="5"/>
        <v>diciembre 2019</v>
      </c>
      <c r="J117" s="120" t="str">
        <f t="shared" si="5"/>
        <v>enero 2020</v>
      </c>
      <c r="K117" s="120" t="str">
        <f t="shared" si="5"/>
        <v>febrero 2020</v>
      </c>
      <c r="L117" s="120" t="str">
        <f t="shared" si="5"/>
        <v>marzo 2020</v>
      </c>
      <c r="M117" s="120" t="str">
        <f t="shared" si="5"/>
        <v>abril 2020</v>
      </c>
      <c r="N117" s="120" t="str">
        <f>TEXT(EDATE(O117,-1),"mmmm aaaa")</f>
        <v>mayo 2020</v>
      </c>
      <c r="O117" s="121" t="str">
        <f>A2</f>
        <v>Junio 2020</v>
      </c>
    </row>
    <row r="118" spans="1:19">
      <c r="B118" s="214"/>
      <c r="C118" s="131" t="str">
        <f>TEXT(EDATE($A$2,-12),"mmm")&amp;".-"&amp;TEXT(EDATE($A$2,-12),"aa")</f>
        <v>jun.-19</v>
      </c>
      <c r="D118" s="131" t="str">
        <f>TEXT(EDATE($A$2,-11),"mmm")&amp;".-"&amp;TEXT(EDATE($A$2,-11),"aa")</f>
        <v>jul.-19</v>
      </c>
      <c r="E118" s="131" t="str">
        <f>TEXT(EDATE($A$2,-10),"mmm")&amp;".-"&amp;TEXT(EDATE($A$2,-10),"aa")</f>
        <v>ago.-19</v>
      </c>
      <c r="F118" s="131" t="str">
        <f>TEXT(EDATE($A$2,-9),"mmm")&amp;".-"&amp;TEXT(EDATE($A$2,-9),"aa")</f>
        <v>sep.-19</v>
      </c>
      <c r="G118" s="131" t="str">
        <f>TEXT(EDATE($A$2,-8),"mmm")&amp;".-"&amp;TEXT(EDATE($A$2,-8),"aa")</f>
        <v>oct.-19</v>
      </c>
      <c r="H118" s="131" t="str">
        <f>TEXT(EDATE($A$2,-7),"mmm")&amp;".-"&amp;TEXT(EDATE($A$2,-7),"aa")</f>
        <v>nov.-19</v>
      </c>
      <c r="I118" s="131" t="str">
        <f>TEXT(EDATE($A$2,-6),"mmm")&amp;".-"&amp;TEXT(EDATE($A$2,-6),"aa")</f>
        <v>dic.-19</v>
      </c>
      <c r="J118" s="131" t="str">
        <f>TEXT(EDATE($A$2,-5),"mmm")&amp;".-"&amp;TEXT(EDATE($A$2,-5),"aa")</f>
        <v>ene.-20</v>
      </c>
      <c r="K118" s="131" t="str">
        <f>TEXT(EDATE($A$2,-4),"mmm")&amp;".-"&amp;TEXT(EDATE($A$2,-4),"aa")</f>
        <v>feb.-20</v>
      </c>
      <c r="L118" s="131" t="str">
        <f>TEXT(EDATE($A$2,-3),"mmm")&amp;".-"&amp;TEXT(EDATE($A$2,-3),"aa")</f>
        <v>mar.-20</v>
      </c>
      <c r="M118" s="131" t="str">
        <f>TEXT(EDATE($A$2,-2),"mmm")&amp;".-"&amp;TEXT(EDATE($A$2,-2),"aa")</f>
        <v>abr.-20</v>
      </c>
      <c r="N118" s="131" t="str">
        <f>TEXT(EDATE($A$2,-1),"mmm")&amp;".-"&amp;TEXT(EDATE($A$2,-1),"aa")</f>
        <v>may.-20</v>
      </c>
      <c r="O118" s="160" t="str">
        <f>TEXT($A$2,"mmm")&amp;".-"&amp;TEXT($A$2,"aa")</f>
        <v>jun.-20</v>
      </c>
    </row>
    <row r="119" spans="1:19">
      <c r="A119" s="210" t="s">
        <v>76</v>
      </c>
      <c r="B119" s="132" t="s">
        <v>11</v>
      </c>
      <c r="C119" s="133">
        <f>HLOOKUP(C$117,$86:$101,3,FALSE)</f>
        <v>98.710933999999995</v>
      </c>
      <c r="D119" s="133">
        <f t="shared" ref="D119:N119" si="6">HLOOKUP(D$117,$86:$101,3,FALSE)</f>
        <v>173.44610299999999</v>
      </c>
      <c r="E119" s="133">
        <f t="shared" si="6"/>
        <v>257.56122599999998</v>
      </c>
      <c r="F119" s="133">
        <f t="shared" si="6"/>
        <v>239.89604299999999</v>
      </c>
      <c r="G119" s="133">
        <f t="shared" si="6"/>
        <v>190.859296</v>
      </c>
      <c r="H119" s="133">
        <f t="shared" si="6"/>
        <v>128.513947</v>
      </c>
      <c r="I119" s="133">
        <f t="shared" si="6"/>
        <v>137.71730099999999</v>
      </c>
      <c r="J119" s="133">
        <f t="shared" si="6"/>
        <v>-3.1773479999999998</v>
      </c>
      <c r="K119" s="133">
        <f t="shared" si="6"/>
        <v>-1.357415</v>
      </c>
      <c r="L119" s="133">
        <f t="shared" si="6"/>
        <v>-1.7178340000000001</v>
      </c>
      <c r="M119" s="133">
        <f t="shared" si="6"/>
        <v>-1.673672</v>
      </c>
      <c r="N119" s="133">
        <f t="shared" si="6"/>
        <v>-1.7940100000000001</v>
      </c>
      <c r="O119" s="134">
        <f>HLOOKUP(O$117,$86:$101,3,FALSE)</f>
        <v>-1.2808299999999999</v>
      </c>
    </row>
    <row r="120" spans="1:19">
      <c r="A120" s="211"/>
      <c r="B120" s="122" t="s">
        <v>10</v>
      </c>
      <c r="C120" s="116">
        <f>HLOOKUP(C$117,$86:$101,4,FALSE)</f>
        <v>49.833764000000002</v>
      </c>
      <c r="D120" s="116">
        <f t="shared" ref="D120:O120" si="7">HLOOKUP(D$117,$86:$101,4,FALSE)</f>
        <v>64.359393999999995</v>
      </c>
      <c r="E120" s="116">
        <f t="shared" si="7"/>
        <v>64.194573000000005</v>
      </c>
      <c r="F120" s="116">
        <f t="shared" si="7"/>
        <v>50.613649000000002</v>
      </c>
      <c r="G120" s="116">
        <f t="shared" si="7"/>
        <v>40.788257999999999</v>
      </c>
      <c r="H120" s="116">
        <f t="shared" si="7"/>
        <v>27.174427999999999</v>
      </c>
      <c r="I120" s="116">
        <f t="shared" si="7"/>
        <v>19.439288000000001</v>
      </c>
      <c r="J120" s="116">
        <f t="shared" si="7"/>
        <v>25.163323999999999</v>
      </c>
      <c r="K120" s="116">
        <f t="shared" si="7"/>
        <v>20.211247</v>
      </c>
      <c r="L120" s="116">
        <f t="shared" si="7"/>
        <v>15.845757000000001</v>
      </c>
      <c r="M120" s="116">
        <f t="shared" si="7"/>
        <v>18.686546</v>
      </c>
      <c r="N120" s="116">
        <f t="shared" si="7"/>
        <v>20.180289999999999</v>
      </c>
      <c r="O120" s="134">
        <f t="shared" si="7"/>
        <v>17.902134</v>
      </c>
    </row>
    <row r="121" spans="1:19">
      <c r="A121" s="211"/>
      <c r="B121" s="122" t="s">
        <v>9</v>
      </c>
      <c r="C121" s="116">
        <f>HLOOKUP(C$117,$86:$101,5,FALSE)</f>
        <v>38.491146999999998</v>
      </c>
      <c r="D121" s="116">
        <f t="shared" ref="D121:O121" si="8">HLOOKUP(D$117,$86:$101,5,FALSE)</f>
        <v>72.469969000000006</v>
      </c>
      <c r="E121" s="116">
        <f t="shared" si="8"/>
        <v>70.419168999999997</v>
      </c>
      <c r="F121" s="116">
        <f t="shared" si="8"/>
        <v>45.651693999999999</v>
      </c>
      <c r="G121" s="116">
        <f t="shared" si="8"/>
        <v>27.936012999999999</v>
      </c>
      <c r="H121" s="116">
        <f t="shared" si="8"/>
        <v>28.760522000000002</v>
      </c>
      <c r="I121" s="116">
        <f t="shared" si="8"/>
        <v>20.411356000000001</v>
      </c>
      <c r="J121" s="116">
        <f t="shared" si="8"/>
        <v>21.825088000000001</v>
      </c>
      <c r="K121" s="116">
        <f t="shared" si="8"/>
        <v>17.386634999999998</v>
      </c>
      <c r="L121" s="116">
        <f t="shared" si="8"/>
        <v>18.899491999999999</v>
      </c>
      <c r="M121" s="116">
        <f t="shared" si="8"/>
        <v>9.9217499999999994</v>
      </c>
      <c r="N121" s="116">
        <f t="shared" si="8"/>
        <v>9.5129249999999992</v>
      </c>
      <c r="O121" s="134">
        <f t="shared" si="8"/>
        <v>15.970385</v>
      </c>
    </row>
    <row r="122" spans="1:19" ht="14.25">
      <c r="A122" s="211"/>
      <c r="B122" s="122" t="s">
        <v>74</v>
      </c>
      <c r="C122" s="116">
        <f>HLOOKUP(C$117,$86:$101,6,FALSE)</f>
        <v>148.873491</v>
      </c>
      <c r="D122" s="116">
        <f t="shared" ref="D122:O122" si="9">HLOOKUP(D$117,$86:$101,6,FALSE)</f>
        <v>160.980031</v>
      </c>
      <c r="E122" s="116">
        <f t="shared" si="9"/>
        <v>81.694967000000005</v>
      </c>
      <c r="F122" s="116">
        <f t="shared" si="9"/>
        <v>37.844405000000002</v>
      </c>
      <c r="G122" s="116">
        <f t="shared" si="9"/>
        <v>49.054825999999998</v>
      </c>
      <c r="H122" s="116">
        <f t="shared" si="9"/>
        <v>98.891853999999995</v>
      </c>
      <c r="I122" s="116">
        <f t="shared" si="9"/>
        <v>97.225685999999996</v>
      </c>
      <c r="J122" s="116">
        <f t="shared" si="9"/>
        <v>247.42845600000001</v>
      </c>
      <c r="K122" s="116">
        <f t="shared" si="9"/>
        <v>226.17381</v>
      </c>
      <c r="L122" s="116">
        <f t="shared" si="9"/>
        <v>223.68889899999999</v>
      </c>
      <c r="M122" s="116">
        <f t="shared" si="9"/>
        <v>190.73178300000001</v>
      </c>
      <c r="N122" s="116">
        <f t="shared" si="9"/>
        <v>192.66073600000001</v>
      </c>
      <c r="O122" s="134">
        <f t="shared" si="9"/>
        <v>191.22599500000001</v>
      </c>
    </row>
    <row r="123" spans="1:19">
      <c r="A123" s="211"/>
      <c r="B123" s="122" t="s">
        <v>24</v>
      </c>
      <c r="C123" s="116">
        <f>HLOOKUP(C$117,$86:$101,7,FALSE)</f>
        <v>1.4050560000000001</v>
      </c>
      <c r="D123" s="116">
        <f t="shared" ref="D123:O123" si="10">HLOOKUP(D$117,$86:$101,7,FALSE)</f>
        <v>4.0689979999999997</v>
      </c>
      <c r="E123" s="116">
        <f t="shared" si="10"/>
        <v>4.8096079999999999</v>
      </c>
      <c r="F123" s="116">
        <f t="shared" si="10"/>
        <v>4.5895020000000004</v>
      </c>
      <c r="G123" s="116">
        <f t="shared" si="10"/>
        <v>1.7684709999999999</v>
      </c>
      <c r="H123" s="116">
        <f t="shared" si="10"/>
        <v>0</v>
      </c>
      <c r="I123" s="116">
        <f t="shared" si="10"/>
        <v>0</v>
      </c>
      <c r="J123" s="116">
        <f t="shared" si="10"/>
        <v>0</v>
      </c>
      <c r="K123" s="116">
        <f t="shared" si="10"/>
        <v>0</v>
      </c>
      <c r="L123" s="116">
        <f t="shared" si="10"/>
        <v>0</v>
      </c>
      <c r="M123" s="116">
        <f t="shared" si="10"/>
        <v>0</v>
      </c>
      <c r="N123" s="116">
        <f t="shared" si="10"/>
        <v>0</v>
      </c>
      <c r="O123" s="134">
        <f t="shared" si="10"/>
        <v>0</v>
      </c>
    </row>
    <row r="124" spans="1:19">
      <c r="A124" s="211"/>
      <c r="B124" s="122" t="s">
        <v>5</v>
      </c>
      <c r="C124" s="116">
        <f>HLOOKUP(C$117,$86:$102,8,FALSE)</f>
        <v>0.34985300000000003</v>
      </c>
      <c r="D124" s="116">
        <f t="shared" ref="D124:O124" si="11">HLOOKUP(D$117,$86:$102,8,FALSE)</f>
        <v>0.23036599999999999</v>
      </c>
      <c r="E124" s="116">
        <f t="shared" si="11"/>
        <v>0.347945</v>
      </c>
      <c r="F124" s="116">
        <f t="shared" si="11"/>
        <v>0.51373500000000005</v>
      </c>
      <c r="G124" s="116">
        <f t="shared" si="11"/>
        <v>0.402117</v>
      </c>
      <c r="H124" s="116">
        <f t="shared" si="11"/>
        <v>0.49518299999999998</v>
      </c>
      <c r="I124" s="116">
        <f t="shared" si="11"/>
        <v>0.44528499999999999</v>
      </c>
      <c r="J124" s="116">
        <f t="shared" si="11"/>
        <v>0.37082599999999999</v>
      </c>
      <c r="K124" s="116">
        <f t="shared" si="11"/>
        <v>0.33927600000000002</v>
      </c>
      <c r="L124" s="116">
        <f t="shared" si="11"/>
        <v>0.53315400000000002</v>
      </c>
      <c r="M124" s="116">
        <f t="shared" si="11"/>
        <v>0.24332000000000001</v>
      </c>
      <c r="N124" s="116">
        <f t="shared" si="11"/>
        <v>0.35056999999999999</v>
      </c>
      <c r="O124" s="134">
        <f t="shared" si="11"/>
        <v>0.21834000000000001</v>
      </c>
    </row>
    <row r="125" spans="1:19">
      <c r="A125" s="211"/>
      <c r="B125" s="122" t="s">
        <v>4</v>
      </c>
      <c r="C125" s="116">
        <f>HLOOKUP(C$117,$86:$102,9,FALSE)</f>
        <v>13.303602</v>
      </c>
      <c r="D125" s="116">
        <f t="shared" ref="D125:O125" si="12">HLOOKUP(D$117,$86:$102,9,FALSE)</f>
        <v>12.477155</v>
      </c>
      <c r="E125" s="116">
        <f t="shared" si="12"/>
        <v>12.245136</v>
      </c>
      <c r="F125" s="116">
        <f t="shared" si="12"/>
        <v>10.044699</v>
      </c>
      <c r="G125" s="116">
        <f t="shared" si="12"/>
        <v>9.1120260000000002</v>
      </c>
      <c r="H125" s="116">
        <f t="shared" si="12"/>
        <v>6.2902100000000001</v>
      </c>
      <c r="I125" s="116">
        <f t="shared" si="12"/>
        <v>5.905538</v>
      </c>
      <c r="J125" s="116">
        <f t="shared" si="12"/>
        <v>5.931076</v>
      </c>
      <c r="K125" s="116">
        <f t="shared" si="12"/>
        <v>8.7357479999999992</v>
      </c>
      <c r="L125" s="116">
        <f t="shared" si="12"/>
        <v>9.1979059999999997</v>
      </c>
      <c r="M125" s="116">
        <f t="shared" si="12"/>
        <v>10.812875</v>
      </c>
      <c r="N125" s="116">
        <f t="shared" si="12"/>
        <v>12.879177</v>
      </c>
      <c r="O125" s="134">
        <f t="shared" si="12"/>
        <v>12.237156000000001</v>
      </c>
    </row>
    <row r="126" spans="1:19">
      <c r="A126" s="211"/>
      <c r="B126" s="123" t="s">
        <v>22</v>
      </c>
      <c r="C126" s="116">
        <f>HLOOKUP(C$117,$86:$102,10,FALSE)</f>
        <v>0.12551699999999999</v>
      </c>
      <c r="D126" s="116">
        <f t="shared" ref="D126:O126" si="13">HLOOKUP(D$117,$86:$102,10,FALSE)</f>
        <v>9.8985000000000004E-2</v>
      </c>
      <c r="E126" s="116">
        <f t="shared" si="13"/>
        <v>8.3479999999999999E-2</v>
      </c>
      <c r="F126" s="116">
        <f t="shared" si="13"/>
        <v>1.2656000000000001E-2</v>
      </c>
      <c r="G126" s="116">
        <f t="shared" si="13"/>
        <v>9.9426E-2</v>
      </c>
      <c r="H126" s="116">
        <f t="shared" si="13"/>
        <v>9.2591999999999994E-2</v>
      </c>
      <c r="I126" s="116">
        <f t="shared" si="13"/>
        <v>0.18124699999999999</v>
      </c>
      <c r="J126" s="116">
        <f t="shared" si="13"/>
        <v>0.20147399999999999</v>
      </c>
      <c r="K126" s="116">
        <f t="shared" si="13"/>
        <v>8.1622E-2</v>
      </c>
      <c r="L126" s="116">
        <f t="shared" si="13"/>
        <v>2.6786999999999998E-2</v>
      </c>
      <c r="M126" s="116">
        <f t="shared" si="13"/>
        <v>1.5415999999999999E-2</v>
      </c>
      <c r="N126" s="116">
        <f t="shared" si="13"/>
        <v>2.3830000000000001E-3</v>
      </c>
      <c r="O126" s="134">
        <f t="shared" si="13"/>
        <v>5.9750999999999999E-2</v>
      </c>
    </row>
    <row r="127" spans="1:19">
      <c r="A127" s="211"/>
      <c r="B127" s="123" t="s">
        <v>23</v>
      </c>
      <c r="C127" s="116">
        <f>HLOOKUP(C$117,$86:$102,11,FALSE)</f>
        <v>2.3003499999999999</v>
      </c>
      <c r="D127" s="116">
        <f t="shared" ref="D127:O127" si="14">HLOOKUP(D$117,$86:$102,11,FALSE)</f>
        <v>1.194464</v>
      </c>
      <c r="E127" s="116">
        <f t="shared" si="14"/>
        <v>2.848757</v>
      </c>
      <c r="F127" s="116">
        <f t="shared" si="14"/>
        <v>2.8740579999999998</v>
      </c>
      <c r="G127" s="116">
        <f t="shared" si="14"/>
        <v>2.8082799999999999</v>
      </c>
      <c r="H127" s="116">
        <f t="shared" si="14"/>
        <v>3.3302809999999998</v>
      </c>
      <c r="I127" s="116">
        <f t="shared" si="14"/>
        <v>3.7760859999999998</v>
      </c>
      <c r="J127" s="116">
        <f t="shared" si="14"/>
        <v>4.0380969999999996</v>
      </c>
      <c r="K127" s="116">
        <f t="shared" si="14"/>
        <v>3.7449910000000002</v>
      </c>
      <c r="L127" s="116">
        <f t="shared" si="14"/>
        <v>3.4759910000000001</v>
      </c>
      <c r="M127" s="116">
        <f t="shared" si="14"/>
        <v>2.759617</v>
      </c>
      <c r="N127" s="116">
        <f t="shared" si="14"/>
        <v>2.681413</v>
      </c>
      <c r="O127" s="134">
        <f t="shared" si="14"/>
        <v>2.5969359999999999</v>
      </c>
    </row>
    <row r="128" spans="1:19">
      <c r="A128" s="211"/>
      <c r="B128" s="122" t="s">
        <v>55</v>
      </c>
      <c r="C128" s="116">
        <f t="shared" ref="C128:O128" si="15">HLOOKUP(C$117,$86:$102,13,FALSE)</f>
        <v>13.341946</v>
      </c>
      <c r="D128" s="116">
        <f t="shared" si="15"/>
        <v>14.4424645</v>
      </c>
      <c r="E128" s="116">
        <f t="shared" si="15"/>
        <v>12.562136000000001</v>
      </c>
      <c r="F128" s="116">
        <f t="shared" si="15"/>
        <v>13.691565000000001</v>
      </c>
      <c r="G128" s="116">
        <f t="shared" si="15"/>
        <v>14.954476</v>
      </c>
      <c r="H128" s="116">
        <f t="shared" si="15"/>
        <v>13.874806</v>
      </c>
      <c r="I128" s="116">
        <f t="shared" si="15"/>
        <v>8.5480964999999998</v>
      </c>
      <c r="J128" s="116">
        <f t="shared" si="15"/>
        <v>9.2619229999999995</v>
      </c>
      <c r="K128" s="116">
        <f t="shared" si="15"/>
        <v>6.0955329999999996</v>
      </c>
      <c r="L128" s="116">
        <f t="shared" si="15"/>
        <v>10.531687</v>
      </c>
      <c r="M128" s="116">
        <f t="shared" si="15"/>
        <v>4.8152900000000001</v>
      </c>
      <c r="N128" s="116">
        <f t="shared" si="15"/>
        <v>5.3655939999999998</v>
      </c>
      <c r="O128" s="134">
        <f t="shared" si="15"/>
        <v>14.316091999999999</v>
      </c>
    </row>
    <row r="129" spans="1:15">
      <c r="A129" s="211"/>
      <c r="B129" s="122" t="s">
        <v>54</v>
      </c>
      <c r="C129" s="116">
        <f>HLOOKUP(C$117,$86:$102,12,FALSE)</f>
        <v>13.341946</v>
      </c>
      <c r="D129" s="116">
        <f t="shared" ref="D129:O129" si="16">HLOOKUP(D$117,$86:$102,12,FALSE)</f>
        <v>14.4424645</v>
      </c>
      <c r="E129" s="116">
        <f t="shared" si="16"/>
        <v>12.562136000000001</v>
      </c>
      <c r="F129" s="116">
        <f t="shared" si="16"/>
        <v>13.691565000000001</v>
      </c>
      <c r="G129" s="116">
        <f t="shared" si="16"/>
        <v>14.954476</v>
      </c>
      <c r="H129" s="116">
        <f t="shared" si="16"/>
        <v>13.874806</v>
      </c>
      <c r="I129" s="116">
        <f t="shared" si="16"/>
        <v>8.5480964999999998</v>
      </c>
      <c r="J129" s="116">
        <f t="shared" si="16"/>
        <v>9.2619229999999995</v>
      </c>
      <c r="K129" s="116">
        <f t="shared" si="16"/>
        <v>6.0955329999999996</v>
      </c>
      <c r="L129" s="116">
        <f t="shared" si="16"/>
        <v>10.531687</v>
      </c>
      <c r="M129" s="116">
        <f t="shared" si="16"/>
        <v>4.8152900000000001</v>
      </c>
      <c r="N129" s="116">
        <f t="shared" si="16"/>
        <v>5.3655939999999998</v>
      </c>
      <c r="O129" s="134">
        <f t="shared" si="16"/>
        <v>14.316091999999999</v>
      </c>
    </row>
    <row r="130" spans="1:15">
      <c r="A130" s="211"/>
      <c r="B130" s="124" t="s">
        <v>2</v>
      </c>
      <c r="C130" s="125">
        <f>HLOOKUP(C$117,$86:$102,14,FALSE)</f>
        <v>380.077606</v>
      </c>
      <c r="D130" s="125">
        <f t="shared" ref="D130:O130" si="17">HLOOKUP(D$117,$86:$102,14,FALSE)</f>
        <v>518.21039399999995</v>
      </c>
      <c r="E130" s="125">
        <f t="shared" si="17"/>
        <v>519.32913299999996</v>
      </c>
      <c r="F130" s="125">
        <f t="shared" si="17"/>
        <v>419.42357099999998</v>
      </c>
      <c r="G130" s="125">
        <f t="shared" si="17"/>
        <v>352.73766499999999</v>
      </c>
      <c r="H130" s="125">
        <f t="shared" si="17"/>
        <v>321.29862900000001</v>
      </c>
      <c r="I130" s="125">
        <f t="shared" si="17"/>
        <v>302.19797999999997</v>
      </c>
      <c r="J130" s="125">
        <f t="shared" si="17"/>
        <v>320.30483900000002</v>
      </c>
      <c r="K130" s="125">
        <f t="shared" si="17"/>
        <v>287.50698</v>
      </c>
      <c r="L130" s="125">
        <f t="shared" si="17"/>
        <v>291.01352600000001</v>
      </c>
      <c r="M130" s="125">
        <f t="shared" si="17"/>
        <v>241.12821500000001</v>
      </c>
      <c r="N130" s="125">
        <f t="shared" si="17"/>
        <v>247.20467199999999</v>
      </c>
      <c r="O130" s="135">
        <f t="shared" si="17"/>
        <v>267.562051</v>
      </c>
    </row>
    <row r="131" spans="1:15">
      <c r="A131" s="211"/>
      <c r="B131" s="122" t="s">
        <v>21</v>
      </c>
      <c r="C131" s="126">
        <f>HLOOKUP(C$117,$86:$102,15,FALSE)</f>
        <v>159.634671</v>
      </c>
      <c r="D131" s="126">
        <f t="shared" ref="D131:O131" si="18">HLOOKUP(D$117,$86:$102,15,FALSE)</f>
        <v>201.16611399999999</v>
      </c>
      <c r="E131" s="126">
        <f t="shared" si="18"/>
        <v>185.76976199999999</v>
      </c>
      <c r="F131" s="126">
        <f t="shared" si="18"/>
        <v>153.19726600000001</v>
      </c>
      <c r="G131" s="126">
        <f t="shared" si="18"/>
        <v>137.66557</v>
      </c>
      <c r="H131" s="126">
        <f t="shared" si="18"/>
        <v>91.396833999999998</v>
      </c>
      <c r="I131" s="126">
        <f t="shared" si="18"/>
        <v>119.614278</v>
      </c>
      <c r="J131" s="126">
        <f t="shared" si="18"/>
        <v>136.155901</v>
      </c>
      <c r="K131" s="126">
        <f t="shared" si="18"/>
        <v>115.92849699999999</v>
      </c>
      <c r="L131" s="126">
        <f t="shared" si="18"/>
        <v>112.780382</v>
      </c>
      <c r="M131" s="126">
        <f t="shared" si="18"/>
        <v>80.581305999999998</v>
      </c>
      <c r="N131" s="126">
        <f t="shared" si="18"/>
        <v>79.946523999999997</v>
      </c>
      <c r="O131" s="126">
        <f t="shared" si="18"/>
        <v>93.289579000000003</v>
      </c>
    </row>
    <row r="132" spans="1:15">
      <c r="A132" s="211"/>
      <c r="B132" s="127" t="s">
        <v>1</v>
      </c>
      <c r="C132" s="128">
        <f>HLOOKUP(C$117,$86:$102,16,FALSE)</f>
        <v>539.71227699999997</v>
      </c>
      <c r="D132" s="128">
        <f t="shared" ref="D132:O132" si="19">HLOOKUP(D$117,$86:$102,16,FALSE)</f>
        <v>719.37650799999994</v>
      </c>
      <c r="E132" s="128">
        <f t="shared" si="19"/>
        <v>705.09889499999997</v>
      </c>
      <c r="F132" s="128">
        <f t="shared" si="19"/>
        <v>572.62083700000005</v>
      </c>
      <c r="G132" s="128">
        <f t="shared" si="19"/>
        <v>490.403235</v>
      </c>
      <c r="H132" s="128">
        <f t="shared" si="19"/>
        <v>412.69546300000002</v>
      </c>
      <c r="I132" s="128">
        <f t="shared" si="19"/>
        <v>421.81225799999999</v>
      </c>
      <c r="J132" s="128">
        <f t="shared" si="19"/>
        <v>456.46073999999999</v>
      </c>
      <c r="K132" s="128">
        <f t="shared" si="19"/>
        <v>403.43547699999999</v>
      </c>
      <c r="L132" s="128">
        <f t="shared" si="19"/>
        <v>403.79390799999999</v>
      </c>
      <c r="M132" s="128">
        <f t="shared" si="19"/>
        <v>321.709521</v>
      </c>
      <c r="N132" s="128">
        <f t="shared" si="19"/>
        <v>327.15119600000003</v>
      </c>
      <c r="O132" s="128">
        <f t="shared" si="19"/>
        <v>360.85163</v>
      </c>
    </row>
    <row r="133" spans="1:15" ht="14.25">
      <c r="A133" s="212"/>
      <c r="B133" s="137" t="s">
        <v>75</v>
      </c>
      <c r="C133" s="138">
        <f>C120+C121+C123</f>
        <v>89.729967000000002</v>
      </c>
      <c r="D133" s="138">
        <f>D120+D121+D123</f>
        <v>140.89836099999999</v>
      </c>
      <c r="E133" s="138">
        <f t="shared" ref="E133:O133" si="20">E120+E121+E123</f>
        <v>139.42335</v>
      </c>
      <c r="F133" s="138">
        <f t="shared" si="20"/>
        <v>100.854845</v>
      </c>
      <c r="G133" s="138">
        <f t="shared" si="20"/>
        <v>70.492742000000007</v>
      </c>
      <c r="H133" s="138">
        <f t="shared" si="20"/>
        <v>55.934950000000001</v>
      </c>
      <c r="I133" s="138">
        <f t="shared" si="20"/>
        <v>39.850644000000003</v>
      </c>
      <c r="J133" s="138">
        <f t="shared" si="20"/>
        <v>46.988411999999997</v>
      </c>
      <c r="K133" s="138">
        <f t="shared" si="20"/>
        <v>37.597881999999998</v>
      </c>
      <c r="L133" s="138">
        <f t="shared" si="20"/>
        <v>34.745249000000001</v>
      </c>
      <c r="M133" s="138">
        <f t="shared" si="20"/>
        <v>28.608295999999999</v>
      </c>
      <c r="N133" s="138">
        <f t="shared" si="20"/>
        <v>29.693214999999999</v>
      </c>
      <c r="O133" s="138">
        <f t="shared" si="20"/>
        <v>33.872518999999997</v>
      </c>
    </row>
    <row r="134" spans="1:15">
      <c r="A134" s="210" t="s">
        <v>77</v>
      </c>
      <c r="B134" s="139" t="s">
        <v>73</v>
      </c>
      <c r="C134" s="120" t="str">
        <f>TEXT(EDATE($A$2,-12),"mmm")&amp;".-"&amp;TEXT(EDATE($A$2,-12),"aa")</f>
        <v>jun.-19</v>
      </c>
      <c r="D134" s="120" t="str">
        <f>TEXT(EDATE($A$2,-11),"mmm")&amp;".-"&amp;TEXT(EDATE($A$2,-11),"aa")</f>
        <v>jul.-19</v>
      </c>
      <c r="E134" s="120" t="str">
        <f>TEXT(EDATE($A$2,-10),"mmm")&amp;".-"&amp;TEXT(EDATE($A$2,-10),"aa")</f>
        <v>ago.-19</v>
      </c>
      <c r="F134" s="120" t="str">
        <f>TEXT(EDATE($A$2,-9),"mmm")&amp;".-"&amp;TEXT(EDATE($A$2,-9),"aa")</f>
        <v>sep.-19</v>
      </c>
      <c r="G134" s="120" t="str">
        <f>TEXT(EDATE($A$2,-8),"mmm")&amp;".-"&amp;TEXT(EDATE($A$2,-8),"aa")</f>
        <v>oct.-19</v>
      </c>
      <c r="H134" s="120" t="str">
        <f>TEXT(EDATE($A$2,-7),"mmm")&amp;".-"&amp;TEXT(EDATE($A$2,-7),"aa")</f>
        <v>nov.-19</v>
      </c>
      <c r="I134" s="120" t="str">
        <f>TEXT(EDATE($A$2,-6),"mmm")&amp;".-"&amp;TEXT(EDATE($A$2,-6),"aa")</f>
        <v>dic.-19</v>
      </c>
      <c r="J134" s="120" t="str">
        <f>TEXT(EDATE($A$2,-5),"mmm")&amp;".-"&amp;TEXT(EDATE($A$2,-5),"aa")</f>
        <v>ene.-20</v>
      </c>
      <c r="K134" s="120" t="str">
        <f>TEXT(EDATE($A$2,-4),"mmm")&amp;".-"&amp;TEXT(EDATE($A$2,-4),"aa")</f>
        <v>feb.-20</v>
      </c>
      <c r="L134" s="120" t="str">
        <f>TEXT(EDATE($A$2,-3),"mmm")&amp;".-"&amp;TEXT(EDATE($A$2,-3),"aa")</f>
        <v>mar.-20</v>
      </c>
      <c r="M134" s="120" t="str">
        <f>TEXT(EDATE($A$2,-2),"mmm")&amp;".-"&amp;TEXT(EDATE($A$2,-2),"aa")</f>
        <v>abr.-20</v>
      </c>
      <c r="N134" s="120" t="str">
        <f>TEXT(EDATE($A$2,-1),"mmm")&amp;".-"&amp;TEXT(EDATE($A$2,-1),"aa")</f>
        <v>may.-20</v>
      </c>
      <c r="O134" s="121" t="str">
        <f>TEXT($A$2,"mmm")&amp;".-"&amp;TEXT($A$2,"aa")</f>
        <v>jun.-20</v>
      </c>
    </row>
    <row r="135" spans="1:15" ht="15" customHeight="1">
      <c r="A135" s="211"/>
      <c r="B135" s="122" t="s">
        <v>12</v>
      </c>
      <c r="C135" s="116">
        <f>HLOOKUP(C$117,$86:$115,17,FALSE)</f>
        <v>0.27668100000000001</v>
      </c>
      <c r="D135" s="116">
        <f t="shared" ref="D135:O135" si="21">HLOOKUP(D$117,$86:$115,17,FALSE)</f>
        <v>0.29841899999999999</v>
      </c>
      <c r="E135" s="116">
        <f t="shared" si="21"/>
        <v>0.29929</v>
      </c>
      <c r="F135" s="116">
        <f t="shared" si="21"/>
        <v>0.28253899999999998</v>
      </c>
      <c r="G135" s="116">
        <f t="shared" si="21"/>
        <v>0.297543</v>
      </c>
      <c r="H135" s="116">
        <f t="shared" si="21"/>
        <v>0.29652299999999998</v>
      </c>
      <c r="I135" s="116">
        <f t="shared" si="21"/>
        <v>0.29914499999999999</v>
      </c>
      <c r="J135" s="116">
        <f t="shared" si="21"/>
        <v>0.30431399999999997</v>
      </c>
      <c r="K135" s="116">
        <f t="shared" si="21"/>
        <v>0.26768999999999998</v>
      </c>
      <c r="L135" s="116">
        <f t="shared" si="21"/>
        <v>0.29889900000000003</v>
      </c>
      <c r="M135" s="116">
        <f t="shared" si="21"/>
        <v>0.288387</v>
      </c>
      <c r="N135" s="116">
        <f t="shared" si="21"/>
        <v>0.28846300000000002</v>
      </c>
      <c r="O135" s="161">
        <f t="shared" si="21"/>
        <v>0.27233299999999999</v>
      </c>
    </row>
    <row r="136" spans="1:15">
      <c r="A136" s="211"/>
      <c r="B136" s="122" t="s">
        <v>10</v>
      </c>
      <c r="C136" s="116">
        <f>HLOOKUP(C$117,$86:$115,18,FALSE)</f>
        <v>167.34978899999999</v>
      </c>
      <c r="D136" s="116">
        <f t="shared" ref="D136:O136" si="22">HLOOKUP(D$117,$86:$115,18,FALSE)</f>
        <v>155.88908699999999</v>
      </c>
      <c r="E136" s="116">
        <f t="shared" si="22"/>
        <v>173.50264200000001</v>
      </c>
      <c r="F136" s="116">
        <f t="shared" si="22"/>
        <v>167.04003</v>
      </c>
      <c r="G136" s="116">
        <f t="shared" si="22"/>
        <v>168.13456400000001</v>
      </c>
      <c r="H136" s="116">
        <f t="shared" si="22"/>
        <v>151.11739399999999</v>
      </c>
      <c r="I136" s="116">
        <f t="shared" si="22"/>
        <v>171.354029</v>
      </c>
      <c r="J136" s="116">
        <f t="shared" si="22"/>
        <v>175.82359</v>
      </c>
      <c r="K136" s="116">
        <f t="shared" si="22"/>
        <v>160.705896</v>
      </c>
      <c r="L136" s="116">
        <f t="shared" si="22"/>
        <v>133.86502100000001</v>
      </c>
      <c r="M136" s="116">
        <f t="shared" si="22"/>
        <v>118.219841</v>
      </c>
      <c r="N136" s="116">
        <f t="shared" si="22"/>
        <v>127.46646200000001</v>
      </c>
      <c r="O136" s="134">
        <f t="shared" si="22"/>
        <v>122.84934</v>
      </c>
    </row>
    <row r="137" spans="1:15">
      <c r="A137" s="211"/>
      <c r="B137" s="122" t="s">
        <v>9</v>
      </c>
      <c r="C137" s="116">
        <f>HLOOKUP(C$117,$86:$115,19,FALSE)</f>
        <v>14.744834000000001</v>
      </c>
      <c r="D137" s="116">
        <f t="shared" ref="D137:O137" si="23">HLOOKUP(D$117,$86:$115,19,FALSE)</f>
        <v>16.517122000000001</v>
      </c>
      <c r="E137" s="116">
        <f t="shared" si="23"/>
        <v>17.472964999999999</v>
      </c>
      <c r="F137" s="116">
        <f t="shared" si="23"/>
        <v>24.793182999999999</v>
      </c>
      <c r="G137" s="116">
        <f t="shared" si="23"/>
        <v>16.664884000000001</v>
      </c>
      <c r="H137" s="116">
        <f t="shared" si="23"/>
        <v>18.703745999999999</v>
      </c>
      <c r="I137" s="116">
        <f t="shared" si="23"/>
        <v>16.706254000000001</v>
      </c>
      <c r="J137" s="116">
        <f t="shared" si="23"/>
        <v>17.105090000000001</v>
      </c>
      <c r="K137" s="116">
        <f t="shared" si="23"/>
        <v>21.870190999999998</v>
      </c>
      <c r="L137" s="116">
        <f t="shared" si="23"/>
        <v>12.226845000000001</v>
      </c>
      <c r="M137" s="116">
        <f t="shared" si="23"/>
        <v>5.7932370000000004</v>
      </c>
      <c r="N137" s="116">
        <f t="shared" si="23"/>
        <v>9.4236719999999998</v>
      </c>
      <c r="O137" s="134">
        <f t="shared" si="23"/>
        <v>8.6874149999999997</v>
      </c>
    </row>
    <row r="138" spans="1:15">
      <c r="A138" s="211"/>
      <c r="B138" s="122" t="s">
        <v>8</v>
      </c>
      <c r="C138" s="116">
        <f>HLOOKUP(C$117,$86:$115,20,FALSE)</f>
        <v>209.91055800000001</v>
      </c>
      <c r="D138" s="116">
        <f t="shared" ref="D138:O138" si="24">HLOOKUP(D$117,$86:$115,20,FALSE)</f>
        <v>137.955038</v>
      </c>
      <c r="E138" s="116">
        <f t="shared" si="24"/>
        <v>116.694829</v>
      </c>
      <c r="F138" s="116">
        <f t="shared" si="24"/>
        <v>157.50902600000001</v>
      </c>
      <c r="G138" s="116">
        <f t="shared" si="24"/>
        <v>170.575942</v>
      </c>
      <c r="H138" s="116">
        <f t="shared" si="24"/>
        <v>184.81552300000001</v>
      </c>
      <c r="I138" s="116">
        <f t="shared" si="24"/>
        <v>169.18809899999999</v>
      </c>
      <c r="J138" s="116">
        <f t="shared" si="24"/>
        <v>146.91851800000001</v>
      </c>
      <c r="K138" s="116">
        <f t="shared" si="24"/>
        <v>128.34914699999999</v>
      </c>
      <c r="L138" s="116">
        <f t="shared" si="24"/>
        <v>114.048723</v>
      </c>
      <c r="M138" s="116">
        <f t="shared" si="24"/>
        <v>98.923323999999994</v>
      </c>
      <c r="N138" s="116">
        <f t="shared" si="24"/>
        <v>116.06684199999999</v>
      </c>
      <c r="O138" s="134">
        <f t="shared" si="24"/>
        <v>83.295309000000003</v>
      </c>
    </row>
    <row r="139" spans="1:15" ht="14.25">
      <c r="A139" s="211"/>
      <c r="B139" s="122" t="s">
        <v>74</v>
      </c>
      <c r="C139" s="116">
        <f>HLOOKUP(C$117,$86:$115,21,FALSE)</f>
        <v>222.51747599999999</v>
      </c>
      <c r="D139" s="116">
        <f t="shared" ref="D139:O139" si="25">HLOOKUP(D$117,$86:$115,21,FALSE)</f>
        <v>262.048877</v>
      </c>
      <c r="E139" s="116">
        <f t="shared" si="25"/>
        <v>290.23648900000001</v>
      </c>
      <c r="F139" s="116">
        <f t="shared" si="25"/>
        <v>276.37973799999997</v>
      </c>
      <c r="G139" s="116">
        <f t="shared" si="25"/>
        <v>305.83225499999998</v>
      </c>
      <c r="H139" s="116">
        <f t="shared" si="25"/>
        <v>233.08126999999999</v>
      </c>
      <c r="I139" s="116">
        <f t="shared" si="25"/>
        <v>301.90038800000002</v>
      </c>
      <c r="J139" s="116">
        <f t="shared" si="25"/>
        <v>336.41169600000001</v>
      </c>
      <c r="K139" s="116">
        <f t="shared" si="25"/>
        <v>279.07848200000001</v>
      </c>
      <c r="L139" s="116">
        <f t="shared" si="25"/>
        <v>300.75480199999998</v>
      </c>
      <c r="M139" s="116">
        <f t="shared" si="25"/>
        <v>246.048203</v>
      </c>
      <c r="N139" s="116">
        <f t="shared" si="25"/>
        <v>229.928777</v>
      </c>
      <c r="O139" s="134">
        <f t="shared" si="25"/>
        <v>258.95318400000002</v>
      </c>
    </row>
    <row r="140" spans="1:15">
      <c r="A140" s="211"/>
      <c r="B140" s="122" t="s">
        <v>6</v>
      </c>
      <c r="C140" s="116">
        <f>HLOOKUP(C$117,$86:$115,22,FALSE)</f>
        <v>1.3721410000000001</v>
      </c>
      <c r="D140" s="116">
        <f t="shared" ref="D140:O140" si="26">HLOOKUP(D$117,$86:$115,22,FALSE)</f>
        <v>3.727338</v>
      </c>
      <c r="E140" s="116">
        <f t="shared" si="26"/>
        <v>3.4751189999999998</v>
      </c>
      <c r="F140" s="116">
        <f t="shared" si="26"/>
        <v>2.2183510000000002</v>
      </c>
      <c r="G140" s="116">
        <f t="shared" si="26"/>
        <v>1.582837</v>
      </c>
      <c r="H140" s="116">
        <f t="shared" si="26"/>
        <v>2.0965220000000002</v>
      </c>
      <c r="I140" s="116">
        <f t="shared" si="26"/>
        <v>1.15967</v>
      </c>
      <c r="J140" s="116">
        <f t="shared" si="26"/>
        <v>0.82455000000000001</v>
      </c>
      <c r="K140" s="116">
        <f t="shared" si="26"/>
        <v>1.3385149999999999</v>
      </c>
      <c r="L140" s="116">
        <f t="shared" si="26"/>
        <v>1.8236140000000001</v>
      </c>
      <c r="M140" s="116">
        <f t="shared" si="26"/>
        <v>0.99112500000000003</v>
      </c>
      <c r="N140" s="116">
        <f t="shared" si="26"/>
        <v>1.4427080000000001</v>
      </c>
      <c r="O140" s="134">
        <f t="shared" si="26"/>
        <v>0.74262799999999995</v>
      </c>
    </row>
    <row r="141" spans="1:15">
      <c r="A141" s="211"/>
      <c r="B141" s="122" t="s">
        <v>5</v>
      </c>
      <c r="C141" s="116">
        <f>HLOOKUP(C$117,$86:$115,23,FALSE)</f>
        <v>74.330708999999999</v>
      </c>
      <c r="D141" s="116">
        <f t="shared" ref="D141:O141" si="27">HLOOKUP(D$117,$86:$115,23,FALSE)</f>
        <v>158.18352999999999</v>
      </c>
      <c r="E141" s="116">
        <f t="shared" si="27"/>
        <v>158.502759</v>
      </c>
      <c r="F141" s="116">
        <f t="shared" si="27"/>
        <v>100.47458899999999</v>
      </c>
      <c r="G141" s="116">
        <f t="shared" si="27"/>
        <v>89.262077000000005</v>
      </c>
      <c r="H141" s="116">
        <f t="shared" si="27"/>
        <v>125.115903</v>
      </c>
      <c r="I141" s="116">
        <f t="shared" si="27"/>
        <v>68.820522999999994</v>
      </c>
      <c r="J141" s="116">
        <f t="shared" si="27"/>
        <v>60.201912999999998</v>
      </c>
      <c r="K141" s="116">
        <f t="shared" si="27"/>
        <v>93.150577999999996</v>
      </c>
      <c r="L141" s="116">
        <f t="shared" si="27"/>
        <v>97.165876999999995</v>
      </c>
      <c r="M141" s="116">
        <f t="shared" si="27"/>
        <v>54.499831999999998</v>
      </c>
      <c r="N141" s="116">
        <f t="shared" si="27"/>
        <v>69.748904999999993</v>
      </c>
      <c r="O141" s="134">
        <f t="shared" si="27"/>
        <v>103.362193</v>
      </c>
    </row>
    <row r="142" spans="1:15">
      <c r="A142" s="211"/>
      <c r="B142" s="122" t="s">
        <v>4</v>
      </c>
      <c r="C142" s="116">
        <f>HLOOKUP(C$117,$86:$115,24,FALSE)</f>
        <v>23.361749</v>
      </c>
      <c r="D142" s="116">
        <f t="shared" ref="D142:O142" si="28">HLOOKUP(D$117,$86:$115,24,FALSE)</f>
        <v>29.608312000000002</v>
      </c>
      <c r="E142" s="116">
        <f t="shared" si="28"/>
        <v>27.737331000000001</v>
      </c>
      <c r="F142" s="116">
        <f t="shared" si="28"/>
        <v>23.467742000000001</v>
      </c>
      <c r="G142" s="116">
        <f t="shared" si="28"/>
        <v>20.840191999999998</v>
      </c>
      <c r="H142" s="116">
        <f t="shared" si="28"/>
        <v>18.276879999999998</v>
      </c>
      <c r="I142" s="116">
        <f t="shared" si="28"/>
        <v>17.266753999999999</v>
      </c>
      <c r="J142" s="116">
        <f t="shared" si="28"/>
        <v>18.497091000000001</v>
      </c>
      <c r="K142" s="116">
        <f t="shared" si="28"/>
        <v>20.25189</v>
      </c>
      <c r="L142" s="116">
        <f t="shared" si="28"/>
        <v>21.169239000000001</v>
      </c>
      <c r="M142" s="116">
        <f t="shared" si="28"/>
        <v>22.557507999999999</v>
      </c>
      <c r="N142" s="116">
        <f t="shared" si="28"/>
        <v>26.001139999999999</v>
      </c>
      <c r="O142" s="134">
        <f t="shared" si="28"/>
        <v>23.728103999999998</v>
      </c>
    </row>
    <row r="143" spans="1:15">
      <c r="A143" s="211"/>
      <c r="B143" s="122" t="s">
        <v>22</v>
      </c>
      <c r="C143" s="116">
        <f>HLOOKUP(C$117,$86:$115,25,FALSE)</f>
        <v>0.82330000000000003</v>
      </c>
      <c r="D143" s="116">
        <f t="shared" ref="D143:O143" si="29">HLOOKUP(D$117,$86:$115,25,FALSE)</f>
        <v>0.917458</v>
      </c>
      <c r="E143" s="116">
        <f t="shared" si="29"/>
        <v>0.71267199999999997</v>
      </c>
      <c r="F143" s="116">
        <f t="shared" si="29"/>
        <v>0.43661899999999998</v>
      </c>
      <c r="G143" s="116">
        <f t="shared" si="29"/>
        <v>0.57729399999999997</v>
      </c>
      <c r="H143" s="116">
        <f t="shared" si="29"/>
        <v>0.87303399999999998</v>
      </c>
      <c r="I143" s="116">
        <f t="shared" si="29"/>
        <v>0.90510599999999997</v>
      </c>
      <c r="J143" s="116">
        <f t="shared" si="29"/>
        <v>0.87627999999999995</v>
      </c>
      <c r="K143" s="116">
        <f t="shared" si="29"/>
        <v>0.84570599999999996</v>
      </c>
      <c r="L143" s="116">
        <f t="shared" si="29"/>
        <v>0.82166799999999995</v>
      </c>
      <c r="M143" s="116">
        <f t="shared" si="29"/>
        <v>0.83979599999999999</v>
      </c>
      <c r="N143" s="116">
        <f t="shared" si="29"/>
        <v>0.70590200000000003</v>
      </c>
      <c r="O143" s="134">
        <f t="shared" si="29"/>
        <v>0.78505800000000003</v>
      </c>
    </row>
    <row r="144" spans="1:15">
      <c r="A144" s="211"/>
      <c r="B144" s="127" t="s">
        <v>1</v>
      </c>
      <c r="C144" s="128">
        <f>HLOOKUP(C$117,$86:$115,26,FALSE)</f>
        <v>714.68723699999998</v>
      </c>
      <c r="D144" s="128">
        <f t="shared" ref="D144:O144" si="30">HLOOKUP(D$117,$86:$115,26,FALSE)</f>
        <v>765.14518099999998</v>
      </c>
      <c r="E144" s="128">
        <f t="shared" si="30"/>
        <v>788.634096</v>
      </c>
      <c r="F144" s="128">
        <f t="shared" si="30"/>
        <v>752.60181699999998</v>
      </c>
      <c r="G144" s="128">
        <f t="shared" si="30"/>
        <v>773.76758800000005</v>
      </c>
      <c r="H144" s="128">
        <f t="shared" si="30"/>
        <v>734.37679500000002</v>
      </c>
      <c r="I144" s="128">
        <f t="shared" si="30"/>
        <v>747.59996799999999</v>
      </c>
      <c r="J144" s="128">
        <f t="shared" si="30"/>
        <v>756.96304199999997</v>
      </c>
      <c r="K144" s="128">
        <f t="shared" si="30"/>
        <v>705.85809500000005</v>
      </c>
      <c r="L144" s="128">
        <f t="shared" si="30"/>
        <v>682.17468799999995</v>
      </c>
      <c r="M144" s="128">
        <f t="shared" si="30"/>
        <v>548.16125299999999</v>
      </c>
      <c r="N144" s="128">
        <f t="shared" si="30"/>
        <v>581.07287099999996</v>
      </c>
      <c r="O144" s="136">
        <f t="shared" si="30"/>
        <v>602.67556400000001</v>
      </c>
    </row>
    <row r="145" spans="1:26">
      <c r="A145" s="211"/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40"/>
    </row>
    <row r="146" spans="1:26" ht="14.25">
      <c r="A146" s="212"/>
      <c r="B146" s="137" t="s">
        <v>75</v>
      </c>
      <c r="C146" s="141">
        <f>SUM(C136:C138)</f>
        <v>392.00518099999999</v>
      </c>
      <c r="D146" s="141">
        <f t="shared" ref="D146:O146" si="31">SUM(D136:D138)</f>
        <v>310.36124699999999</v>
      </c>
      <c r="E146" s="141">
        <f t="shared" si="31"/>
        <v>307.670436</v>
      </c>
      <c r="F146" s="141">
        <f t="shared" si="31"/>
        <v>349.34223900000001</v>
      </c>
      <c r="G146" s="141">
        <f t="shared" si="31"/>
        <v>355.37539000000004</v>
      </c>
      <c r="H146" s="141">
        <f t="shared" si="31"/>
        <v>354.636663</v>
      </c>
      <c r="I146" s="141">
        <f t="shared" si="31"/>
        <v>357.24838199999999</v>
      </c>
      <c r="J146" s="141">
        <f t="shared" si="31"/>
        <v>339.84719799999999</v>
      </c>
      <c r="K146" s="141">
        <f t="shared" si="31"/>
        <v>310.92523399999999</v>
      </c>
      <c r="L146" s="141">
        <f t="shared" si="31"/>
        <v>260.14058899999998</v>
      </c>
      <c r="M146" s="141">
        <f t="shared" si="31"/>
        <v>222.93640199999999</v>
      </c>
      <c r="N146" s="141">
        <f t="shared" si="31"/>
        <v>252.956976</v>
      </c>
      <c r="O146" s="142">
        <f t="shared" si="31"/>
        <v>214.832064</v>
      </c>
    </row>
    <row r="149" spans="1:26" ht="15">
      <c r="A149" s="174"/>
      <c r="B149" s="174" t="s">
        <v>68</v>
      </c>
      <c r="C149" s="209" t="s">
        <v>57</v>
      </c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74"/>
      <c r="B150" s="174" t="s">
        <v>69</v>
      </c>
      <c r="C150" s="187" t="s">
        <v>99</v>
      </c>
      <c r="D150" s="187" t="s">
        <v>100</v>
      </c>
      <c r="E150" s="187" t="s">
        <v>101</v>
      </c>
      <c r="F150" s="187" t="s">
        <v>102</v>
      </c>
      <c r="G150" s="187" t="s">
        <v>103</v>
      </c>
      <c r="H150" s="187" t="s">
        <v>104</v>
      </c>
      <c r="I150" s="187" t="s">
        <v>105</v>
      </c>
      <c r="J150" s="187" t="s">
        <v>106</v>
      </c>
      <c r="K150" s="187" t="s">
        <v>107</v>
      </c>
      <c r="L150" s="187" t="s">
        <v>108</v>
      </c>
      <c r="M150" s="187" t="s">
        <v>109</v>
      </c>
      <c r="N150" s="187" t="s">
        <v>110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74" t="s">
        <v>67</v>
      </c>
      <c r="B151" s="174" t="s">
        <v>111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76" t="s">
        <v>123</v>
      </c>
      <c r="B152" s="176" t="s">
        <v>124</v>
      </c>
      <c r="C152" s="189">
        <v>-0.33139999999999997</v>
      </c>
      <c r="D152" s="189">
        <v>4.3600000000000002E-3</v>
      </c>
      <c r="E152" s="189">
        <v>-1.089E-2</v>
      </c>
      <c r="F152" s="189">
        <v>-0.32486999999999999</v>
      </c>
      <c r="G152" s="189">
        <v>-0.18606</v>
      </c>
      <c r="H152" s="189">
        <v>8.0000000000000007E-5</v>
      </c>
      <c r="I152" s="189">
        <v>-7.6E-3</v>
      </c>
      <c r="J152" s="189">
        <v>-0.17854</v>
      </c>
      <c r="K152" s="189">
        <v>-7.5990000000000002E-2</v>
      </c>
      <c r="L152" s="189">
        <v>2.66E-3</v>
      </c>
      <c r="M152" s="189">
        <v>2.0000000000000002E-5</v>
      </c>
      <c r="N152" s="189">
        <v>-7.8670000000000004E-2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5" spans="1:26" ht="15">
      <c r="A155" s="174"/>
      <c r="B155" s="174" t="s">
        <v>68</v>
      </c>
      <c r="C155" s="209" t="s">
        <v>58</v>
      </c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74"/>
      <c r="B156" s="174" t="s">
        <v>69</v>
      </c>
      <c r="C156" s="187" t="s">
        <v>99</v>
      </c>
      <c r="D156" s="187" t="s">
        <v>100</v>
      </c>
      <c r="E156" s="187" t="s">
        <v>101</v>
      </c>
      <c r="F156" s="187" t="s">
        <v>102</v>
      </c>
      <c r="G156" s="187" t="s">
        <v>103</v>
      </c>
      <c r="H156" s="187" t="s">
        <v>104</v>
      </c>
      <c r="I156" s="187" t="s">
        <v>105</v>
      </c>
      <c r="J156" s="187" t="s">
        <v>106</v>
      </c>
      <c r="K156" s="187" t="s">
        <v>107</v>
      </c>
      <c r="L156" s="187" t="s">
        <v>108</v>
      </c>
      <c r="M156" s="187" t="s">
        <v>109</v>
      </c>
      <c r="N156" s="187" t="s">
        <v>110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74" t="s">
        <v>67</v>
      </c>
      <c r="B157" s="174" t="s">
        <v>111</v>
      </c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76" t="s">
        <v>123</v>
      </c>
      <c r="B158" s="176" t="s">
        <v>124</v>
      </c>
      <c r="C158" s="189">
        <v>-0.15673000000000001</v>
      </c>
      <c r="D158" s="189">
        <v>5.6100000000000004E-3</v>
      </c>
      <c r="E158" s="189">
        <v>-1.01E-3</v>
      </c>
      <c r="F158" s="189">
        <v>-0.16133</v>
      </c>
      <c r="G158" s="189">
        <v>-0.10106999999999999</v>
      </c>
      <c r="H158" s="189">
        <v>-8.8999999999999995E-4</v>
      </c>
      <c r="I158" s="189">
        <v>-5.9000000000000003E-4</v>
      </c>
      <c r="J158" s="189">
        <v>-9.9589999999999998E-2</v>
      </c>
      <c r="K158" s="189">
        <v>-4.7539999999999999E-2</v>
      </c>
      <c r="L158" s="189">
        <v>2.0699999999999998E-3</v>
      </c>
      <c r="M158" s="189">
        <v>3.5E-4</v>
      </c>
      <c r="N158" s="189">
        <v>-4.9959999999999997E-2</v>
      </c>
      <c r="O158"/>
      <c r="P158"/>
      <c r="Q158"/>
      <c r="R158"/>
      <c r="S158"/>
      <c r="T158"/>
      <c r="U158"/>
      <c r="V158"/>
      <c r="W158"/>
      <c r="X158"/>
      <c r="Y158"/>
      <c r="Z158"/>
    </row>
  </sheetData>
  <mergeCells count="15">
    <mergeCell ref="B29:C29"/>
    <mergeCell ref="C149:N149"/>
    <mergeCell ref="C155:N155"/>
    <mergeCell ref="A134:A146"/>
    <mergeCell ref="A119:A133"/>
    <mergeCell ref="B117:B118"/>
    <mergeCell ref="A102:A112"/>
    <mergeCell ref="A88:A101"/>
    <mergeCell ref="B30:C30"/>
    <mergeCell ref="C85:U85"/>
    <mergeCell ref="B4:AG4"/>
    <mergeCell ref="B5:I5"/>
    <mergeCell ref="J5:Q5"/>
    <mergeCell ref="R5:Y5"/>
    <mergeCell ref="Z5:A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Junio 2020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91" t="s">
        <v>47</v>
      </c>
      <c r="E7" s="77"/>
      <c r="F7" s="192" t="str">
        <f>K3</f>
        <v>Junio 2020</v>
      </c>
      <c r="G7" s="193"/>
      <c r="H7" s="193" t="s">
        <v>37</v>
      </c>
      <c r="I7" s="193"/>
      <c r="J7" s="193" t="s">
        <v>38</v>
      </c>
      <c r="K7" s="193"/>
    </row>
    <row r="8" spans="3:12">
      <c r="C8" s="191"/>
      <c r="E8" s="78"/>
      <c r="F8" s="79" t="s">
        <v>13</v>
      </c>
      <c r="G8" s="106" t="str">
        <f>CONCATENATE("% ",RIGHT(F7,2),"/",RIGHT(F7,2)-1)</f>
        <v>% 20/19</v>
      </c>
      <c r="H8" s="79" t="s">
        <v>13</v>
      </c>
      <c r="I8" s="80" t="str">
        <f>G8</f>
        <v>% 20/19</v>
      </c>
      <c r="J8" s="79" t="s">
        <v>13</v>
      </c>
      <c r="K8" s="80" t="str">
        <f>G8</f>
        <v>% 20/19</v>
      </c>
    </row>
    <row r="9" spans="3:12">
      <c r="C9" s="81"/>
      <c r="E9" s="82" t="s">
        <v>39</v>
      </c>
      <c r="F9" s="83">
        <f>Dat_01!R24/1000</f>
        <v>360.85163</v>
      </c>
      <c r="G9" s="164">
        <f>Dat_01!T24*100</f>
        <v>-33.139999699999997</v>
      </c>
      <c r="H9" s="83">
        <f>Dat_01!U24/1000</f>
        <v>2273.4024720000002</v>
      </c>
      <c r="I9" s="164">
        <f>Dat_01!W24*100</f>
        <v>-18.606094849999998</v>
      </c>
      <c r="J9" s="83">
        <f>Dat_01!X24/1000</f>
        <v>5595.4096679999993</v>
      </c>
      <c r="K9" s="164">
        <f>Dat_01!Y24*100</f>
        <v>-7.5994057599999998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Dat_01!D152*100</f>
        <v>0.436</v>
      </c>
      <c r="H12" s="103"/>
      <c r="I12" s="103">
        <f>Dat_01!H152*100</f>
        <v>8.0000000000000002E-3</v>
      </c>
      <c r="J12" s="103"/>
      <c r="K12" s="103">
        <f>Dat_01!L152*100</f>
        <v>0.26600000000000001</v>
      </c>
    </row>
    <row r="13" spans="3:12">
      <c r="E13" s="85" t="s">
        <v>42</v>
      </c>
      <c r="F13" s="84"/>
      <c r="G13" s="103">
        <f>Dat_01!E152*100</f>
        <v>-1.089</v>
      </c>
      <c r="H13" s="103"/>
      <c r="I13" s="103">
        <f>Dat_01!I152*100</f>
        <v>-0.76</v>
      </c>
      <c r="J13" s="103"/>
      <c r="K13" s="103">
        <f>Dat_01!M152*100</f>
        <v>2E-3</v>
      </c>
    </row>
    <row r="14" spans="3:12">
      <c r="E14" s="86" t="s">
        <v>43</v>
      </c>
      <c r="F14" s="87"/>
      <c r="G14" s="104">
        <f>Dat_01!F152*100</f>
        <v>-32.487000000000002</v>
      </c>
      <c r="H14" s="104"/>
      <c r="I14" s="104">
        <f>Dat_01!J152*100</f>
        <v>-17.853999999999999</v>
      </c>
      <c r="J14" s="104"/>
      <c r="K14" s="104">
        <f>Dat_01!N152*100</f>
        <v>-7.867</v>
      </c>
    </row>
    <row r="15" spans="3:12">
      <c r="E15" s="194" t="s">
        <v>44</v>
      </c>
      <c r="F15" s="194"/>
      <c r="G15" s="194"/>
      <c r="H15" s="194"/>
      <c r="I15" s="194"/>
      <c r="J15" s="194"/>
      <c r="K15" s="194"/>
    </row>
    <row r="16" spans="3:12" ht="21.75" customHeight="1">
      <c r="E16" s="190" t="s">
        <v>45</v>
      </c>
      <c r="F16" s="190"/>
      <c r="G16" s="190"/>
      <c r="H16" s="190"/>
      <c r="I16" s="190"/>
      <c r="J16" s="190"/>
      <c r="K16" s="190"/>
    </row>
    <row r="20" spans="7:11">
      <c r="G20" s="177"/>
      <c r="H20" s="177"/>
      <c r="I20" s="177"/>
      <c r="J20" s="177"/>
      <c r="K20" s="177"/>
    </row>
    <row r="21" spans="7:11">
      <c r="G21" s="177"/>
      <c r="H21" s="177"/>
      <c r="I21" s="177"/>
      <c r="J21" s="177"/>
      <c r="K21" s="177"/>
    </row>
    <row r="22" spans="7:11">
      <c r="G22" s="177"/>
      <c r="H22" s="177"/>
      <c r="I22" s="177"/>
      <c r="J22" s="177"/>
      <c r="K22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Junio 2020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91" t="s">
        <v>48</v>
      </c>
      <c r="E7" s="77"/>
      <c r="F7" s="192" t="str">
        <f>K3</f>
        <v>Junio 2020</v>
      </c>
      <c r="G7" s="193"/>
      <c r="H7" s="193" t="s">
        <v>37</v>
      </c>
      <c r="I7" s="193"/>
      <c r="J7" s="193" t="s">
        <v>38</v>
      </c>
      <c r="K7" s="193"/>
    </row>
    <row r="8" spans="3:12">
      <c r="C8" s="191"/>
      <c r="E8" s="78"/>
      <c r="F8" s="79" t="s">
        <v>13</v>
      </c>
      <c r="G8" s="106" t="str">
        <f>CONCATENATE("% ",RIGHT(F7,2),"/",RIGHT(F7,2)-1)</f>
        <v>% 20/19</v>
      </c>
      <c r="H8" s="79" t="s">
        <v>13</v>
      </c>
      <c r="I8" s="107" t="str">
        <f>G8</f>
        <v>% 20/19</v>
      </c>
      <c r="J8" s="79" t="s">
        <v>13</v>
      </c>
      <c r="K8" s="107" t="str">
        <f>G8</f>
        <v>% 20/19</v>
      </c>
    </row>
    <row r="9" spans="3:12">
      <c r="C9" s="81"/>
      <c r="E9" s="82" t="s">
        <v>39</v>
      </c>
      <c r="F9" s="83">
        <f>Dat_01!Z24/1000</f>
        <v>602.67556400000001</v>
      </c>
      <c r="G9" s="164">
        <f>Dat_01!AB24*100</f>
        <v>-15.672824029999999</v>
      </c>
      <c r="H9" s="83">
        <f>Dat_01!AC24/1000</f>
        <v>3876.9055129999997</v>
      </c>
      <c r="I9" s="164">
        <f>Dat_01!AE24*100</f>
        <v>-10.10704537</v>
      </c>
      <c r="J9" s="83">
        <f>Dat_01!AF24/1000</f>
        <v>8439.0309580000012</v>
      </c>
      <c r="K9" s="164">
        <f>Dat_01!AG24*100</f>
        <v>-4.7542258300000002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Dat_01!D158*100</f>
        <v>0.56100000000000005</v>
      </c>
      <c r="H12" s="103"/>
      <c r="I12" s="103">
        <f>Dat_01!H158*100</f>
        <v>-8.8999999999999996E-2</v>
      </c>
      <c r="J12" s="103"/>
      <c r="K12" s="103">
        <f>Dat_01!L158*100</f>
        <v>0.20699999999999999</v>
      </c>
    </row>
    <row r="13" spans="3:12">
      <c r="E13" s="85" t="s">
        <v>42</v>
      </c>
      <c r="F13" s="84"/>
      <c r="G13" s="103">
        <f>Dat_01!E158*100</f>
        <v>-0.10100000000000001</v>
      </c>
      <c r="H13" s="103"/>
      <c r="I13" s="103">
        <f>Dat_01!I158*100</f>
        <v>-5.9000000000000004E-2</v>
      </c>
      <c r="J13" s="103"/>
      <c r="K13" s="103">
        <f>Dat_01!M158*100</f>
        <v>3.4999999999999996E-2</v>
      </c>
    </row>
    <row r="14" spans="3:12">
      <c r="E14" s="86" t="s">
        <v>43</v>
      </c>
      <c r="F14" s="87"/>
      <c r="G14" s="104">
        <f>Dat_01!F158*100</f>
        <v>-16.132999999999999</v>
      </c>
      <c r="H14" s="104"/>
      <c r="I14" s="104">
        <f>Dat_01!J158*100</f>
        <v>-9.9589999999999996</v>
      </c>
      <c r="J14" s="104"/>
      <c r="K14" s="104">
        <f>Dat_01!N158*100</f>
        <v>-4.9959999999999996</v>
      </c>
    </row>
    <row r="15" spans="3:12">
      <c r="E15" s="194" t="s">
        <v>44</v>
      </c>
      <c r="F15" s="194"/>
      <c r="G15" s="194"/>
      <c r="H15" s="194"/>
      <c r="I15" s="194"/>
      <c r="J15" s="194"/>
      <c r="K15" s="194"/>
    </row>
    <row r="16" spans="3:12" ht="21.75" customHeight="1">
      <c r="E16" s="190" t="s">
        <v>45</v>
      </c>
      <c r="F16" s="190"/>
      <c r="G16" s="190"/>
      <c r="H16" s="190"/>
      <c r="I16" s="190"/>
      <c r="J16" s="190"/>
      <c r="K16" s="190"/>
    </row>
    <row r="19" spans="7:11">
      <c r="G19" s="177"/>
      <c r="H19" s="177"/>
      <c r="I19" s="177"/>
      <c r="J19" s="177"/>
      <c r="K19" s="177"/>
    </row>
    <row r="20" spans="7:11">
      <c r="G20" s="177"/>
      <c r="H20" s="177"/>
      <c r="I20" s="177"/>
      <c r="J20" s="177"/>
      <c r="K20" s="177"/>
    </row>
    <row r="21" spans="7:11">
      <c r="G21" s="177"/>
      <c r="H21" s="177"/>
      <c r="I21" s="177"/>
      <c r="J21" s="177"/>
      <c r="K21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108" t="s">
        <v>130</v>
      </c>
    </row>
    <row r="2" spans="1:2">
      <c r="A2" t="s">
        <v>125</v>
      </c>
    </row>
    <row r="3" spans="1:2">
      <c r="A3" t="s">
        <v>126</v>
      </c>
    </row>
    <row r="4" spans="1:2">
      <c r="A4" t="s">
        <v>128</v>
      </c>
    </row>
    <row r="5" spans="1:2">
      <c r="A5" t="s">
        <v>129</v>
      </c>
    </row>
    <row r="6" spans="1:2">
      <c r="A6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S22" sqref="S22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4" t="s">
        <v>19</v>
      </c>
    </row>
    <row r="3" spans="3:23" ht="15" customHeight="1">
      <c r="M3" s="33" t="str">
        <f>Indice!E3</f>
        <v>Junio 2020</v>
      </c>
    </row>
    <row r="4" spans="3:23" ht="20.25" customHeight="1">
      <c r="C4" s="32" t="s">
        <v>46</v>
      </c>
    </row>
    <row r="5" spans="3:23" ht="12.75" customHeight="1"/>
    <row r="6" spans="3:23" ht="13.5" customHeight="1"/>
    <row r="7" spans="3:23" s="28" customFormat="1" ht="12.75" customHeight="1">
      <c r="C7" s="195" t="s">
        <v>18</v>
      </c>
      <c r="E7" s="31"/>
      <c r="F7" s="196" t="s">
        <v>17</v>
      </c>
      <c r="G7" s="197"/>
      <c r="H7" s="196" t="s">
        <v>16</v>
      </c>
      <c r="I7" s="197"/>
      <c r="J7" s="196" t="s">
        <v>15</v>
      </c>
      <c r="K7" s="197"/>
      <c r="L7" s="196" t="s">
        <v>14</v>
      </c>
      <c r="M7" s="197"/>
    </row>
    <row r="8" spans="3:23" s="28" customFormat="1" ht="12.75" customHeight="1">
      <c r="C8" s="195"/>
      <c r="E8" s="30"/>
      <c r="F8" s="29" t="s">
        <v>13</v>
      </c>
      <c r="G8" s="105" t="str">
        <f>CONCATENATE("% ",RIGHT(M3,2),"/",RIGHT(M3,2)-1)</f>
        <v>% 20/19</v>
      </c>
      <c r="H8" s="29" t="s">
        <v>13</v>
      </c>
      <c r="I8" s="105" t="str">
        <f>G8</f>
        <v>% 20/19</v>
      </c>
      <c r="J8" s="29" t="s">
        <v>13</v>
      </c>
      <c r="K8" s="105" t="str">
        <f>I8</f>
        <v>% 20/19</v>
      </c>
      <c r="L8" s="29" t="s">
        <v>13</v>
      </c>
      <c r="M8" s="105" t="str">
        <f>K8</f>
        <v>% 20/19</v>
      </c>
    </row>
    <row r="9" spans="3:23" s="27" customFormat="1" ht="12.75" customHeight="1">
      <c r="C9" s="23"/>
      <c r="E9" s="20" t="s">
        <v>12</v>
      </c>
      <c r="F9" s="153" t="s">
        <v>3</v>
      </c>
      <c r="G9" s="17" t="s">
        <v>3</v>
      </c>
      <c r="H9" s="17">
        <f>Dat_01!Z8/1000</f>
        <v>0.27233300000000005</v>
      </c>
      <c r="I9" s="17">
        <f>Dat_01!AB8*100</f>
        <v>-1.57148485</v>
      </c>
      <c r="J9" s="153" t="s">
        <v>3</v>
      </c>
      <c r="K9" s="17" t="s">
        <v>3</v>
      </c>
      <c r="L9" s="153" t="s">
        <v>3</v>
      </c>
      <c r="M9" s="17" t="s">
        <v>3</v>
      </c>
      <c r="N9" s="10"/>
      <c r="O9" s="10"/>
    </row>
    <row r="10" spans="3:23" s="2" customFormat="1" ht="12.75" customHeight="1">
      <c r="C10" s="21"/>
      <c r="E10" s="20" t="s">
        <v>6</v>
      </c>
      <c r="F10" s="153" t="s">
        <v>3</v>
      </c>
      <c r="G10" s="17" t="s">
        <v>3</v>
      </c>
      <c r="H10" s="153">
        <f>Dat_01!Z15/1000</f>
        <v>0.74262800000000007</v>
      </c>
      <c r="I10" s="17">
        <f>Dat_01!AB15*100</f>
        <v>-45.878156840000003</v>
      </c>
      <c r="J10" s="153" t="s">
        <v>3</v>
      </c>
      <c r="K10" s="17" t="s">
        <v>3</v>
      </c>
      <c r="L10" s="153" t="s">
        <v>3</v>
      </c>
      <c r="M10" s="17" t="s">
        <v>3</v>
      </c>
      <c r="N10" s="10"/>
      <c r="O10" s="10"/>
    </row>
    <row r="11" spans="3:23" s="2" customFormat="1" ht="12.75" customHeight="1">
      <c r="C11" s="21"/>
      <c r="E11" s="20" t="s">
        <v>5</v>
      </c>
      <c r="F11" s="17">
        <f>Dat_01!R16/1000</f>
        <v>0.21834000000000001</v>
      </c>
      <c r="G11" s="17">
        <f>Dat_01!T16*100</f>
        <v>-37.590931049999995</v>
      </c>
      <c r="H11" s="153">
        <f>Dat_01!Z16/1000</f>
        <v>103.362193</v>
      </c>
      <c r="I11" s="17">
        <f>Dat_01!AB16*100</f>
        <v>39.057186980000004</v>
      </c>
      <c r="J11" s="153" t="s">
        <v>3</v>
      </c>
      <c r="K11" s="17" t="s">
        <v>3</v>
      </c>
      <c r="L11" s="153" t="s">
        <v>3</v>
      </c>
      <c r="M11" s="17" t="s">
        <v>3</v>
      </c>
      <c r="N11" s="10"/>
      <c r="O11" s="10"/>
    </row>
    <row r="12" spans="3:23" s="2" customFormat="1" ht="12.75" customHeight="1">
      <c r="C12" s="13"/>
      <c r="E12" s="20" t="s">
        <v>4</v>
      </c>
      <c r="F12" s="153">
        <f>Dat_01!R17/1000</f>
        <v>12.237156000000001</v>
      </c>
      <c r="G12" s="17">
        <f>Dat_01!T17*100</f>
        <v>-8.0162199699999999</v>
      </c>
      <c r="H12" s="153">
        <f>Dat_01!Z17/1000</f>
        <v>23.728103999999998</v>
      </c>
      <c r="I12" s="17">
        <f>Dat_01!AB17*100</f>
        <v>1.5681830999999999</v>
      </c>
      <c r="J12" s="153" t="s">
        <v>3</v>
      </c>
      <c r="K12" s="17" t="s">
        <v>3</v>
      </c>
      <c r="L12" s="153">
        <f>Dat_01!J17/1000</f>
        <v>8.7500000000000008E-3</v>
      </c>
      <c r="M12" s="17">
        <f>IF(Dat_01!L17="-","-",Dat_01!L17*100)</f>
        <v>1.0042710399999999</v>
      </c>
      <c r="N12" s="10"/>
      <c r="O12" s="10"/>
      <c r="P12" s="19"/>
    </row>
    <row r="13" spans="3:23" s="2" customFormat="1" ht="12.75" customHeight="1">
      <c r="C13" s="13"/>
      <c r="E13" s="18" t="s">
        <v>89</v>
      </c>
      <c r="F13" s="17">
        <f>Dat_01!R18/1000</f>
        <v>5.9750999999999999E-2</v>
      </c>
      <c r="G13" s="17">
        <f>Dat_01!T18*100</f>
        <v>-52.396089769999996</v>
      </c>
      <c r="H13" s="153">
        <f>Dat_01!Z18/1000</f>
        <v>0.78505800000000003</v>
      </c>
      <c r="I13" s="17">
        <f>Dat_01!AB18*100</f>
        <v>-4.6449653799999995</v>
      </c>
      <c r="J13" s="153" t="s">
        <v>3</v>
      </c>
      <c r="K13" s="17" t="s">
        <v>3</v>
      </c>
      <c r="L13" s="153" t="s">
        <v>3</v>
      </c>
      <c r="M13" s="17" t="s">
        <v>3</v>
      </c>
      <c r="N13" s="10"/>
      <c r="O13" s="10"/>
    </row>
    <row r="14" spans="3:23" s="2" customFormat="1" ht="12.75" customHeight="1">
      <c r="C14" s="13"/>
      <c r="E14" s="18" t="s">
        <v>54</v>
      </c>
      <c r="F14" s="153">
        <f>Dat_01!R21/1000</f>
        <v>14.316092000000001</v>
      </c>
      <c r="G14" s="17">
        <f>Dat_01!T21*100</f>
        <v>7.3013786700000001</v>
      </c>
      <c r="H14" s="153" t="s">
        <v>3</v>
      </c>
      <c r="I14" s="17" t="s">
        <v>3</v>
      </c>
      <c r="J14" s="153" t="s">
        <v>3</v>
      </c>
      <c r="K14" s="17" t="s">
        <v>3</v>
      </c>
      <c r="L14" s="17">
        <f>Dat_01!J21/1000</f>
        <v>0.53918650000000001</v>
      </c>
      <c r="M14" s="17">
        <f>Dat_01!L21*100</f>
        <v>18.871289729999997</v>
      </c>
      <c r="N14" s="10"/>
      <c r="O14" s="10"/>
    </row>
    <row r="15" spans="3:23" s="2" customFormat="1" ht="12.75" customHeight="1">
      <c r="C15" s="13"/>
      <c r="E15" s="169" t="s">
        <v>86</v>
      </c>
      <c r="F15" s="172">
        <f>SUM(F9:F14)</f>
        <v>26.831339</v>
      </c>
      <c r="G15" s="173">
        <f>((SUM(Dat_01!R8,Dat_01!R15:R18,Dat_01!R20)/SUM(Dat_01!S8,Dat_01!S15:S18,Dat_01!S20))-1)*100</f>
        <v>-1.0677330317506173</v>
      </c>
      <c r="H15" s="172">
        <f>SUM(H9:H14)</f>
        <v>128.89031599999998</v>
      </c>
      <c r="I15" s="173">
        <f>((SUM(Dat_01!Z8,Dat_01!Z15:Z18,Dat_01!Z20)/SUM(Dat_01!AA8,Dat_01!AA15:AA18,Dat_01!AA20))-1)*100</f>
        <v>28.678536864029191</v>
      </c>
      <c r="J15" s="172" t="s">
        <v>3</v>
      </c>
      <c r="K15" s="173" t="s">
        <v>3</v>
      </c>
      <c r="L15" s="173">
        <f>SUM(L9:L14)</f>
        <v>0.54793650000000005</v>
      </c>
      <c r="M15" s="173">
        <f>((SUM(Dat_01!J8,Dat_01!J15:J18,Dat_01!J21)/SUM(Dat_01!K8,Dat_01!K15:K18,Dat_01!K20))-1)*100</f>
        <v>18.53644606886078</v>
      </c>
      <c r="N15" s="10"/>
      <c r="O15" s="10"/>
    </row>
    <row r="16" spans="3:23" s="7" customFormat="1" ht="12.75" customHeight="1">
      <c r="C16" s="23"/>
      <c r="E16" s="20" t="s">
        <v>11</v>
      </c>
      <c r="F16" s="153">
        <f>Dat_01!R9/1000</f>
        <v>-1.2808299999999999</v>
      </c>
      <c r="G16" s="17" t="str">
        <f>IF(Dat_01!T9="-","-",Dat_01!T9*100)</f>
        <v>-</v>
      </c>
      <c r="H16" s="153" t="s">
        <v>3</v>
      </c>
      <c r="I16" s="17" t="s">
        <v>3</v>
      </c>
      <c r="J16" s="153" t="s">
        <v>3</v>
      </c>
      <c r="K16" s="17" t="s">
        <v>3</v>
      </c>
      <c r="L16" s="153" t="s">
        <v>3</v>
      </c>
      <c r="M16" s="17" t="s">
        <v>3</v>
      </c>
      <c r="N16" s="10"/>
      <c r="O16" s="10"/>
      <c r="P16" s="9"/>
      <c r="Q16" s="9"/>
      <c r="R16" s="9"/>
      <c r="S16" s="9"/>
      <c r="T16" s="9"/>
      <c r="U16" s="9"/>
      <c r="V16" s="9"/>
      <c r="W16" s="9"/>
    </row>
    <row r="17" spans="3:23" s="7" customFormat="1" ht="12.75" customHeight="1">
      <c r="C17" s="23"/>
      <c r="E17" s="26" t="s">
        <v>10</v>
      </c>
      <c r="F17" s="154">
        <f>SUM(Dat_01!R10,Dat_01!R14)/1000</f>
        <v>17.902133999999997</v>
      </c>
      <c r="G17" s="24">
        <f>((SUM(Dat_01!R10,Dat_01!R14)/SUM(Dat_01!S10,Dat_01!S14))-1)*100</f>
        <v>-65.061385098251677</v>
      </c>
      <c r="H17" s="154">
        <f>Dat_01!Z10/1000</f>
        <v>122.84934</v>
      </c>
      <c r="I17" s="24">
        <f>Dat_01!AB10*100</f>
        <v>-26.591278820000003</v>
      </c>
      <c r="J17" s="154">
        <f>Dat_01!B10/1000</f>
        <v>15.829015</v>
      </c>
      <c r="K17" s="24">
        <f>Dat_01!D10*100</f>
        <v>-4.8840483599999995</v>
      </c>
      <c r="L17" s="154">
        <f>Dat_01!J10/1000</f>
        <v>15.619282999999999</v>
      </c>
      <c r="M17" s="24">
        <f>Dat_01!L10*100</f>
        <v>-3.2712777499999999</v>
      </c>
      <c r="N17" s="163"/>
      <c r="O17" s="162"/>
      <c r="Q17" s="9"/>
      <c r="R17" s="9"/>
      <c r="S17" s="9"/>
      <c r="T17" s="9"/>
      <c r="U17" s="9"/>
      <c r="V17" s="9"/>
      <c r="W17" s="9"/>
    </row>
    <row r="18" spans="3:23" s="7" customFormat="1" ht="12.75" customHeight="1">
      <c r="C18" s="23"/>
      <c r="E18" s="25" t="s">
        <v>9</v>
      </c>
      <c r="F18" s="154">
        <f>Dat_01!R11/1000</f>
        <v>15.970385</v>
      </c>
      <c r="G18" s="24">
        <f>Dat_01!T11*100</f>
        <v>-58.508939729999994</v>
      </c>
      <c r="H18" s="154">
        <f>Dat_01!Z11/1000</f>
        <v>8.6874150000000014</v>
      </c>
      <c r="I18" s="24">
        <f>Dat_01!AB11*100</f>
        <v>-41.081635779999999</v>
      </c>
      <c r="J18" s="154">
        <f>Dat_01!B11/1000</f>
        <v>1.0407E-2</v>
      </c>
      <c r="K18" s="24">
        <f>Dat_01!D11*100</f>
        <v>2320.23255814</v>
      </c>
      <c r="L18" s="154">
        <f>Dat_01!J11/1000</f>
        <v>1.9740000000000001E-3</v>
      </c>
      <c r="M18" s="24">
        <f>Dat_01!L11*100</f>
        <v>-68.561872910000005</v>
      </c>
      <c r="N18" s="163"/>
      <c r="O18" s="22"/>
      <c r="P18" s="9"/>
      <c r="Q18" s="9"/>
      <c r="R18" s="9"/>
      <c r="S18" s="9"/>
      <c r="T18" s="9"/>
      <c r="U18" s="9"/>
      <c r="V18" s="9"/>
      <c r="W18" s="9"/>
    </row>
    <row r="19" spans="3:23" s="7" customFormat="1" ht="12.75" customHeight="1">
      <c r="C19" s="23"/>
      <c r="E19" s="25" t="s">
        <v>8</v>
      </c>
      <c r="F19" s="154" t="s">
        <v>3</v>
      </c>
      <c r="G19" s="24" t="s">
        <v>3</v>
      </c>
      <c r="H19" s="154">
        <f>Dat_01!Z12/1000</f>
        <v>83.295308999999989</v>
      </c>
      <c r="I19" s="24">
        <f>Dat_01!AB12*100</f>
        <v>-60.318666300000004</v>
      </c>
      <c r="J19" s="154" t="s">
        <v>3</v>
      </c>
      <c r="K19" s="154" t="s">
        <v>3</v>
      </c>
      <c r="L19" s="154" t="s">
        <v>3</v>
      </c>
      <c r="M19" s="154" t="s">
        <v>3</v>
      </c>
      <c r="N19" s="163"/>
      <c r="O19" s="22"/>
      <c r="P19" s="9"/>
      <c r="Q19" s="9"/>
      <c r="R19" s="9"/>
      <c r="S19" s="9"/>
      <c r="T19" s="9"/>
      <c r="U19" s="9"/>
      <c r="V19" s="9"/>
      <c r="W19" s="9"/>
    </row>
    <row r="20" spans="3:23" s="7" customFormat="1" ht="12.75" customHeight="1">
      <c r="C20" s="23"/>
      <c r="E20" s="20" t="s">
        <v>7</v>
      </c>
      <c r="F20" s="153">
        <f>SUM(F17:F19)</f>
        <v>33.872518999999997</v>
      </c>
      <c r="G20" s="17">
        <f>((SUM(Dat_01!R10:R12,Dat_01!R14)/SUM(Dat_01!S10:S12,Dat_01!S14))-1)*100</f>
        <v>-62.250605753594002</v>
      </c>
      <c r="H20" s="153">
        <f>SUM(H17:H19)</f>
        <v>214.832064</v>
      </c>
      <c r="I20" s="17">
        <f>(H20/(H17/(I17/100+1)+H18/(I18/100+1)+H19/(I19/100+1))-1)*100</f>
        <v>-45.196626370663417</v>
      </c>
      <c r="J20" s="153">
        <f>SUM(J17:J19)</f>
        <v>15.839422000000001</v>
      </c>
      <c r="K20" s="17">
        <f>(J20/(J17/(K17/100+1)+J18/(K18/100+1))-1)*100</f>
        <v>-4.8239723004731676</v>
      </c>
      <c r="L20" s="153">
        <f>SUM(L17:L19)</f>
        <v>15.621257</v>
      </c>
      <c r="M20" s="17">
        <f>(L20/(L17/(M17/100+1)+L18/(M18/100+1))-1)*100</f>
        <v>-3.2966562894175433</v>
      </c>
      <c r="N20" s="10"/>
      <c r="O20" s="10"/>
      <c r="P20" s="9"/>
      <c r="Q20" s="9"/>
      <c r="R20" s="9"/>
      <c r="S20" s="9"/>
      <c r="T20" s="9"/>
      <c r="U20" s="9"/>
      <c r="V20" s="9"/>
      <c r="W20" s="9"/>
    </row>
    <row r="21" spans="3:23" s="7" customFormat="1" ht="12.75" customHeight="1">
      <c r="C21" s="23"/>
      <c r="E21" s="20" t="s">
        <v>90</v>
      </c>
      <c r="F21" s="153">
        <f>Dat_01!R13/1000</f>
        <v>191.22599499999998</v>
      </c>
      <c r="G21" s="17">
        <f>Dat_01!T13*100</f>
        <v>28.448653759999999</v>
      </c>
      <c r="H21" s="153">
        <f>Dat_01!Z13/1000</f>
        <v>258.95318400000002</v>
      </c>
      <c r="I21" s="17">
        <f>Dat_01!AB13*100</f>
        <v>16.374312999999997</v>
      </c>
      <c r="J21" s="153" t="s">
        <v>3</v>
      </c>
      <c r="K21" s="17" t="s">
        <v>3</v>
      </c>
      <c r="L21" s="153" t="s">
        <v>3</v>
      </c>
      <c r="M21" s="17" t="s">
        <v>3</v>
      </c>
      <c r="N21" s="10"/>
      <c r="O21" s="10"/>
      <c r="P21" s="9"/>
      <c r="Q21" s="9"/>
      <c r="R21" s="9"/>
      <c r="S21" s="9"/>
      <c r="T21" s="9"/>
      <c r="U21" s="9"/>
      <c r="V21" s="9"/>
      <c r="W21" s="9"/>
    </row>
    <row r="22" spans="3:23" s="2" customFormat="1" ht="12.75" customHeight="1">
      <c r="C22" s="13"/>
      <c r="E22" s="18" t="s">
        <v>23</v>
      </c>
      <c r="F22" s="153">
        <f>Dat_01!R19/1000</f>
        <v>2.5969360000000004</v>
      </c>
      <c r="G22" s="17">
        <f>Dat_01!T19*100</f>
        <v>12.89308149</v>
      </c>
      <c r="H22" s="153">
        <f>Dat_01!Z19/1000</f>
        <v>0</v>
      </c>
      <c r="I22" s="17" t="s">
        <v>3</v>
      </c>
      <c r="J22" s="153" t="s">
        <v>3</v>
      </c>
      <c r="K22" s="17" t="s">
        <v>3</v>
      </c>
      <c r="L22" s="153" t="s">
        <v>3</v>
      </c>
      <c r="M22" s="17" t="s">
        <v>3</v>
      </c>
      <c r="N22" s="10"/>
      <c r="O22" s="10"/>
    </row>
    <row r="23" spans="3:23" s="2" customFormat="1" ht="12.75" customHeight="1">
      <c r="C23" s="13"/>
      <c r="E23" s="18" t="s">
        <v>55</v>
      </c>
      <c r="F23" s="153">
        <f>Dat_01!R20/1000</f>
        <v>14.316092000000001</v>
      </c>
      <c r="G23" s="17">
        <f>Dat_01!T20*100</f>
        <v>7.3013786700000001</v>
      </c>
      <c r="H23" s="153" t="s">
        <v>3</v>
      </c>
      <c r="I23" s="17" t="s">
        <v>3</v>
      </c>
      <c r="J23" s="153" t="s">
        <v>3</v>
      </c>
      <c r="K23" s="17" t="s">
        <v>3</v>
      </c>
      <c r="L23" s="17">
        <f>Dat_01!J20/1000</f>
        <v>0.53918650000000001</v>
      </c>
      <c r="M23" s="17">
        <f>Dat_01!L20*100</f>
        <v>18.871289729999997</v>
      </c>
      <c r="N23" s="10"/>
      <c r="O23" s="10"/>
    </row>
    <row r="24" spans="3:23" s="2" customFormat="1" ht="12.75" customHeight="1">
      <c r="C24" s="13"/>
      <c r="E24" s="169" t="s">
        <v>87</v>
      </c>
      <c r="F24" s="155">
        <f>SUM(F16,F20:F23)</f>
        <v>240.73071199999998</v>
      </c>
      <c r="G24" s="173">
        <f>((SUM(Dat_01!R9:R14,Dat_01!R19,Dat_01!R21)/SUM(Dat_01!S9:S14,Dat_01!S19,Dat_01!S21))-1)*100</f>
        <v>-31.795962455314054</v>
      </c>
      <c r="H24" s="155">
        <f>SUM(H16,H20:H23)</f>
        <v>473.78524800000002</v>
      </c>
      <c r="I24" s="173">
        <f>((SUM(Dat_01!Z9:Z14,Dat_01!Z19,Dat_01!Z21)/SUM(Dat_01!AA9:AA14,Dat_01!AA19,Dat_01!AA21))-1)*100</f>
        <v>-22.901907260353461</v>
      </c>
      <c r="J24" s="155">
        <f>SUM(J16,J20:J23)</f>
        <v>15.839422000000001</v>
      </c>
      <c r="K24" s="173">
        <f>((SUM(Dat_01!B9:B14,Dat_01!B19,Dat_01!B21)/SUM(Dat_01!C9:C14,Dat_01!C19,Dat_01!C21))-1)*100</f>
        <v>-4.8239723032459931</v>
      </c>
      <c r="L24" s="155">
        <f>SUM(L16,L20:L23)</f>
        <v>16.1604435</v>
      </c>
      <c r="M24" s="173">
        <f>((SUM(Dat_01!J9:J14,Dat_01!J19,Dat_01!J21)/SUM(Dat_01!K9:K14,Dat_01!K19,Dat_01!K21))-1)*100</f>
        <v>-2.691195038254246</v>
      </c>
      <c r="N24" s="10"/>
      <c r="O24" s="10"/>
    </row>
    <row r="25" spans="3:23" s="2" customFormat="1" ht="12.75" customHeight="1">
      <c r="C25" s="16"/>
      <c r="E25" s="15" t="s">
        <v>93</v>
      </c>
      <c r="F25" s="156">
        <f>Dat_01!R23/1000</f>
        <v>93.289579000000003</v>
      </c>
      <c r="G25" s="14">
        <f>Dat_01!T23*100</f>
        <v>-41.560578030000002</v>
      </c>
      <c r="H25" s="156" t="s">
        <v>3</v>
      </c>
      <c r="I25" s="156" t="s">
        <v>3</v>
      </c>
      <c r="J25" s="156" t="s">
        <v>3</v>
      </c>
      <c r="K25" s="156" t="s">
        <v>3</v>
      </c>
      <c r="L25" s="156" t="s">
        <v>3</v>
      </c>
      <c r="M25" s="156" t="s">
        <v>3</v>
      </c>
      <c r="N25" s="10"/>
      <c r="O25" s="10"/>
    </row>
    <row r="26" spans="3:23" s="2" customFormat="1" ht="16.149999999999999" customHeight="1">
      <c r="C26" s="13"/>
      <c r="E26" s="12" t="s">
        <v>1</v>
      </c>
      <c r="F26" s="157">
        <f>Dat_01!R24/1000</f>
        <v>360.85163</v>
      </c>
      <c r="G26" s="11">
        <f>Dat_01!T24*100</f>
        <v>-33.139999699999997</v>
      </c>
      <c r="H26" s="157">
        <f>Dat_01!Z24/1000</f>
        <v>602.67556400000001</v>
      </c>
      <c r="I26" s="11">
        <f>Dat_01!AB24*100</f>
        <v>-15.672824029999999</v>
      </c>
      <c r="J26" s="157">
        <f>Dat_01!B24/1000</f>
        <v>15.839422000000001</v>
      </c>
      <c r="K26" s="11">
        <f>Dat_01!D24*100</f>
        <v>-4.8239722999999994</v>
      </c>
      <c r="L26" s="157">
        <f>Dat_01!J24/1000</f>
        <v>16.708380000000002</v>
      </c>
      <c r="M26" s="11">
        <f>Dat_01!L24*100</f>
        <v>-2.1163432200000001</v>
      </c>
      <c r="N26" s="10"/>
      <c r="O26" s="10"/>
    </row>
    <row r="27" spans="3:23" s="2" customFormat="1" ht="16.350000000000001" customHeight="1">
      <c r="C27" s="13"/>
      <c r="E27" s="200" t="s">
        <v>56</v>
      </c>
      <c r="F27" s="200"/>
      <c r="G27" s="200"/>
      <c r="H27" s="200"/>
      <c r="I27" s="200"/>
      <c r="J27" s="200"/>
      <c r="K27" s="200"/>
      <c r="L27" s="170"/>
      <c r="M27" s="171"/>
      <c r="N27" s="10"/>
      <c r="O27" s="10"/>
    </row>
    <row r="28" spans="3:23" s="2" customFormat="1" ht="34.5" customHeight="1">
      <c r="C28" s="13"/>
      <c r="E28" s="201" t="s">
        <v>120</v>
      </c>
      <c r="F28" s="201"/>
      <c r="G28" s="201"/>
      <c r="H28" s="201"/>
      <c r="I28" s="201"/>
      <c r="J28" s="201"/>
      <c r="K28" s="201"/>
      <c r="L28" s="201"/>
      <c r="M28" s="201"/>
      <c r="N28" s="10"/>
      <c r="O28" s="10"/>
    </row>
    <row r="29" spans="3:23" s="2" customFormat="1" ht="12.75" customHeight="1">
      <c r="C29" s="8"/>
      <c r="D29" s="8"/>
      <c r="E29" s="199" t="s">
        <v>0</v>
      </c>
      <c r="F29" s="199"/>
      <c r="G29" s="199"/>
      <c r="H29" s="199"/>
      <c r="I29" s="199"/>
      <c r="J29" s="199"/>
      <c r="K29" s="199"/>
      <c r="L29" s="199"/>
      <c r="M29" s="199"/>
      <c r="O29" s="9"/>
    </row>
    <row r="30" spans="3:23" s="7" customFormat="1" ht="12.75" customHeight="1">
      <c r="E30" s="198" t="s">
        <v>88</v>
      </c>
      <c r="F30" s="198"/>
      <c r="G30" s="198"/>
      <c r="H30" s="198"/>
      <c r="I30" s="198"/>
      <c r="J30" s="198"/>
      <c r="K30" s="198"/>
      <c r="L30" s="198"/>
      <c r="M30" s="198"/>
    </row>
    <row r="31" spans="3:23" s="2" customFormat="1" ht="12.75" customHeight="1">
      <c r="C31" s="8"/>
      <c r="D31" s="8"/>
      <c r="E31" s="198" t="s">
        <v>91</v>
      </c>
      <c r="F31" s="198"/>
      <c r="G31" s="198"/>
      <c r="H31" s="198"/>
      <c r="I31" s="198"/>
      <c r="J31" s="198"/>
      <c r="K31" s="198"/>
      <c r="L31" s="198"/>
      <c r="M31" s="198"/>
    </row>
    <row r="32" spans="3:23" ht="12.75" customHeight="1">
      <c r="C32" s="1"/>
      <c r="D32" s="1"/>
      <c r="E32" s="198" t="s">
        <v>92</v>
      </c>
      <c r="F32" s="198"/>
      <c r="G32" s="198"/>
      <c r="H32" s="198"/>
      <c r="I32" s="198"/>
      <c r="J32" s="198"/>
      <c r="K32" s="198"/>
      <c r="L32" s="198"/>
      <c r="M32" s="198"/>
    </row>
    <row r="33" spans="3:13" ht="12.75" customHeight="1">
      <c r="C33" s="1"/>
      <c r="D33" s="1"/>
      <c r="E33" s="198"/>
      <c r="F33" s="198"/>
      <c r="G33" s="198"/>
      <c r="H33" s="198"/>
      <c r="I33" s="198"/>
      <c r="J33" s="198"/>
      <c r="K33" s="198"/>
      <c r="L33" s="198"/>
      <c r="M33" s="198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I20 K20:L20 G24 I24 K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topLeftCell="A10" zoomScaleNormal="100" workbookViewId="0">
      <selection activeCell="B2" sqref="B2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Junio 2020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2" t="s">
        <v>31</v>
      </c>
      <c r="D7" s="44"/>
      <c r="E7" s="48"/>
    </row>
    <row r="8" spans="2:12" s="38" customFormat="1" ht="12.75" customHeight="1">
      <c r="B8" s="46"/>
      <c r="C8" s="202"/>
      <c r="D8" s="44"/>
      <c r="E8" s="48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J10" s="37"/>
      <c r="K10" s="91"/>
      <c r="L10" s="88"/>
    </row>
    <row r="11" spans="2:12" s="38" customFormat="1" ht="12.75" customHeight="1">
      <c r="B11" s="46"/>
      <c r="D11" s="44"/>
      <c r="E11" s="44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J12" s="37"/>
      <c r="K12" s="91"/>
      <c r="L12" s="88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</row>
    <row r="15" spans="2:12" s="38" customFormat="1" ht="12.75" customHeight="1">
      <c r="B15" s="46"/>
      <c r="C15" s="47"/>
      <c r="D15" s="44"/>
      <c r="E15" s="44"/>
    </row>
    <row r="16" spans="2:12" s="38" customFormat="1" ht="12.75" customHeight="1">
      <c r="B16" s="46"/>
      <c r="D16" s="44"/>
      <c r="E16" s="44"/>
      <c r="J16" s="37"/>
      <c r="K16" s="37"/>
      <c r="L16" s="37"/>
    </row>
    <row r="17" spans="2:12" s="38" customFormat="1" ht="12.75" customHeight="1">
      <c r="B17" s="46"/>
      <c r="D17" s="44"/>
      <c r="E17" s="44"/>
      <c r="J17" s="37"/>
      <c r="K17" s="37"/>
      <c r="L17" s="37"/>
    </row>
    <row r="18" spans="2:12" s="38" customFormat="1" ht="12.75" customHeight="1">
      <c r="B18" s="46"/>
      <c r="D18" s="44"/>
      <c r="E18" s="44"/>
      <c r="F18" s="168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J20" s="37"/>
      <c r="K20" s="37"/>
      <c r="L20" s="37"/>
    </row>
    <row r="21" spans="2:12" s="38" customFormat="1" ht="12.75" customHeight="1">
      <c r="B21" s="46"/>
      <c r="C21" s="45"/>
      <c r="D21" s="44"/>
      <c r="E21" s="44"/>
      <c r="J21" s="182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>
      <c r="C24" s="202" t="s">
        <v>28</v>
      </c>
      <c r="E24" s="42"/>
      <c r="J24" s="38"/>
      <c r="K24" s="38"/>
    </row>
    <row r="25" spans="2:12">
      <c r="C25" s="202"/>
      <c r="E25" s="41"/>
      <c r="J25" s="37"/>
      <c r="K25" s="37"/>
    </row>
    <row r="26" spans="2:12" ht="12.75" customHeight="1">
      <c r="J26" s="89"/>
      <c r="K26" s="90"/>
    </row>
    <row r="27" spans="2:12">
      <c r="J27" s="91"/>
      <c r="K27" s="88"/>
    </row>
    <row r="28" spans="2:12">
      <c r="C28" s="40"/>
      <c r="J28" s="91"/>
      <c r="K28" s="88"/>
    </row>
    <row r="29" spans="2:12">
      <c r="C29" s="39"/>
      <c r="J29" s="91"/>
      <c r="K29" s="88"/>
    </row>
    <row r="30" spans="2:12">
      <c r="J30" s="37"/>
      <c r="K30" s="37"/>
    </row>
    <row r="31" spans="2:12" ht="12.75" customHeight="1">
      <c r="J31" s="38"/>
      <c r="K31" s="38"/>
    </row>
    <row r="32" spans="2:12">
      <c r="J32" s="38"/>
      <c r="K32" s="38"/>
    </row>
    <row r="33" spans="10:11">
      <c r="J33" s="37"/>
      <c r="K33" s="37"/>
    </row>
    <row r="34" spans="10:11">
      <c r="J34" s="37"/>
      <c r="K34" s="37"/>
    </row>
    <row r="35" spans="10:11">
      <c r="J35" s="37"/>
      <c r="K35" s="37"/>
    </row>
    <row r="36" spans="10:11">
      <c r="J36" s="37"/>
      <c r="K36" s="37"/>
    </row>
    <row r="37" spans="10:11">
      <c r="J37" s="37"/>
      <c r="K37" s="37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Junio 2020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3" t="s">
        <v>32</v>
      </c>
      <c r="D7" s="64"/>
      <c r="E7" s="68"/>
    </row>
    <row r="8" spans="1:20" s="56" customFormat="1" ht="12.75" customHeight="1">
      <c r="A8" s="67"/>
      <c r="B8" s="66"/>
      <c r="C8" s="203"/>
      <c r="D8" s="64"/>
      <c r="E8" s="68"/>
      <c r="F8" s="63"/>
    </row>
    <row r="9" spans="1:20" s="56" customFormat="1" ht="12.75" customHeight="1">
      <c r="A9" s="67"/>
      <c r="B9" s="66"/>
      <c r="C9" s="203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s="56" customFormat="1" ht="12.75" customHeight="1">
      <c r="A21" s="67"/>
      <c r="B21" s="66"/>
      <c r="C21" s="65"/>
      <c r="D21" s="64"/>
      <c r="E21" s="64"/>
      <c r="F21" s="63"/>
    </row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95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120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7"/>
    </row>
    <row r="48" spans="5:5">
      <c r="E48" s="58"/>
    </row>
    <row r="49" spans="5:5">
      <c r="E49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F25" sqref="F25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Junio 2020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2" t="s">
        <v>35</v>
      </c>
      <c r="D7" s="44"/>
      <c r="E7" s="48"/>
    </row>
    <row r="8" spans="2:12" s="38" customFormat="1" ht="12.75" customHeight="1">
      <c r="B8" s="46"/>
      <c r="C8" s="202"/>
      <c r="D8" s="44"/>
      <c r="E8" s="48"/>
      <c r="F8" s="52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F9" s="52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F10" s="52"/>
      <c r="J10" s="37"/>
      <c r="K10" s="91"/>
      <c r="L10" s="88"/>
    </row>
    <row r="11" spans="2:12" s="38" customFormat="1" ht="12.75" customHeight="1">
      <c r="B11" s="46"/>
      <c r="D11" s="44"/>
      <c r="E11" s="44"/>
      <c r="F11" s="52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F12" s="52"/>
      <c r="J12" s="37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  <c r="F14" s="165"/>
    </row>
    <row r="15" spans="2:12" s="38" customFormat="1" ht="12.75" customHeight="1">
      <c r="B15" s="46"/>
      <c r="C15" s="47"/>
      <c r="D15" s="44"/>
      <c r="E15" s="44"/>
      <c r="F15" s="52"/>
    </row>
    <row r="16" spans="2:12" s="38" customFormat="1" ht="12.75" customHeight="1">
      <c r="B16" s="46"/>
      <c r="D16" s="44"/>
      <c r="E16" s="44"/>
      <c r="F16" s="52"/>
      <c r="J16" s="37"/>
      <c r="K16" s="37"/>
      <c r="L16" s="37"/>
    </row>
    <row r="17" spans="2:12" s="38" customFormat="1" ht="12.75" customHeight="1">
      <c r="B17" s="46"/>
      <c r="D17" s="44"/>
      <c r="E17" s="44"/>
      <c r="F17" s="52"/>
      <c r="J17" s="37"/>
      <c r="K17" s="37"/>
      <c r="L17" s="37"/>
    </row>
    <row r="18" spans="2:12" s="38" customFormat="1" ht="12.75" customHeight="1">
      <c r="B18" s="46"/>
      <c r="D18" s="44"/>
      <c r="E18" s="44"/>
      <c r="F18" s="167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F19" s="52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F20" s="52"/>
      <c r="J20" s="37"/>
      <c r="K20" s="37"/>
    </row>
    <row r="21" spans="2:12" s="38" customFormat="1" ht="12.75" customHeight="1">
      <c r="B21" s="46"/>
      <c r="C21" s="45"/>
      <c r="D21" s="44"/>
      <c r="E21" s="44"/>
      <c r="F21" s="52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 ht="12.75" customHeight="1">
      <c r="C24" s="202" t="s">
        <v>49</v>
      </c>
      <c r="E24" s="42"/>
      <c r="J24" s="38"/>
      <c r="K24" s="38"/>
    </row>
    <row r="25" spans="2:12">
      <c r="C25" s="202"/>
      <c r="E25" s="41"/>
      <c r="J25" s="37"/>
      <c r="K25" s="37"/>
    </row>
    <row r="26" spans="2:12" ht="12.75" customHeight="1">
      <c r="C26" s="40"/>
      <c r="J26" s="89"/>
      <c r="K26" s="90"/>
    </row>
    <row r="27" spans="2:12">
      <c r="C27" s="74"/>
      <c r="J27" s="91"/>
      <c r="K27" s="88"/>
    </row>
    <row r="28" spans="2:12">
      <c r="C28" s="74"/>
      <c r="F28" s="52"/>
      <c r="J28" s="91"/>
      <c r="K28" s="88"/>
    </row>
    <row r="29" spans="2:12">
      <c r="C29" s="39"/>
      <c r="F29" s="52"/>
      <c r="J29" s="38"/>
      <c r="K29" s="38"/>
    </row>
    <row r="30" spans="2:12">
      <c r="F30" s="52"/>
      <c r="J30" s="37"/>
      <c r="K30" s="37"/>
    </row>
    <row r="31" spans="2:12">
      <c r="F31" s="52"/>
      <c r="J31" s="38"/>
      <c r="K31" s="38"/>
    </row>
    <row r="32" spans="2:12">
      <c r="F32" s="52"/>
      <c r="J32" s="38"/>
      <c r="K32" s="38"/>
    </row>
    <row r="33" spans="6:11">
      <c r="F33" s="52"/>
      <c r="J33" s="37"/>
      <c r="K33" s="37"/>
    </row>
    <row r="34" spans="6:11">
      <c r="F34" s="52"/>
      <c r="J34" s="37"/>
      <c r="K34" s="37"/>
    </row>
    <row r="35" spans="6:11">
      <c r="F35" s="52"/>
      <c r="J35" s="37"/>
      <c r="K35" s="37"/>
    </row>
    <row r="36" spans="6:11">
      <c r="F36" s="52"/>
      <c r="J36" s="37"/>
      <c r="K36" s="37"/>
    </row>
    <row r="37" spans="6:11">
      <c r="F37" s="52"/>
    </row>
    <row r="38" spans="6:11">
      <c r="F38" s="52"/>
    </row>
    <row r="39" spans="6:11">
      <c r="F39" s="5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Junio 2020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3" t="s">
        <v>36</v>
      </c>
      <c r="D7" s="64"/>
      <c r="E7" s="68"/>
    </row>
    <row r="8" spans="1:20" s="56" customFormat="1" ht="12.75" customHeight="1">
      <c r="A8" s="67"/>
      <c r="B8" s="66"/>
      <c r="C8" s="203"/>
      <c r="D8" s="64"/>
      <c r="E8" s="68"/>
      <c r="F8" s="63"/>
    </row>
    <row r="9" spans="1:20" s="56" customFormat="1" ht="12.75" customHeight="1">
      <c r="A9" s="67"/>
      <c r="B9" s="66"/>
      <c r="C9" s="203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ht="12.75" customHeight="1"/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96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120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7"/>
    </row>
    <row r="46" spans="5:5">
      <c r="E46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2020-07-13T08:46:55Z</dcterms:modified>
</cp:coreProperties>
</file>