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L\INF_ELABORADA\"/>
    </mc:Choice>
  </mc:AlternateContent>
  <xr:revisionPtr revIDLastSave="0" documentId="8_{CCF4F441-E3DE-47A9-976D-9460E1E46E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Dat_01!$A$85:$V$112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2" l="1"/>
  <c r="C47" i="18" l="1"/>
  <c r="C68" i="18" l="1"/>
  <c r="K18" i="22" l="1"/>
  <c r="K20" i="22"/>
  <c r="M12" i="22" l="1"/>
  <c r="I13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<sst xmlns="http://schemas.openxmlformats.org/spreadsheetml/2006/main" count="426" uniqueCount="132">
  <si>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</si>
  <si>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</si>
  <si>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</si>
  <si>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</si>
  <si>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</si>
  <si>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</si>
  <si>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</si>
  <si>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</si>
  <si>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</si>
  <si>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</si>
  <si>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</si>
  <si>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</si>
  <si>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</si>
  <si>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</si>
  <si>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</si>
  <si>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</si>
  <si>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</si>
  <si>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</si>
  <si>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</si>
  <si>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</si>
  <si>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</si>
  <si>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</si>
  <si>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</si>
  <si>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</si>
  <si>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</si>
  <si>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</si>
  <si>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</si>
  <si>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</si>
  <si>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</si>
  <si>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</si>
  <si>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</si>
  <si>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</si>
  <si>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</si>
  <si>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</si>
  <si>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</si>
  <si>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</si>
  <si>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</si>
  <si>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</si>
  <si>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</si>
  <si>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</si>
  <si>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</si>
  <si>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</si>
  <si>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</si>
  <si>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</si>
  <si>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</si>
  <si>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</si>
  <si>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</si>
  <si>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</si>
  <si>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</si>
  <si>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</si>
  <si>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</si>
  <si>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</si>
  <si>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</si>
  <si>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</si>
  <si>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</si>
  <si>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</si>
  <si>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</si>
  <si>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</si>
  <si>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</si>
  <si>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</si>
  <si>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</si>
  <si>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</si>
  <si>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</si>
  <si>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</si>
  <si>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</si>
  <si>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</si>
  <si>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</si>
  <si>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</si>
  <si>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</si>
  <si>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</si>
  <si>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</si>
  <si>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</si>
  <si>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</si>
  <si>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</si>
  <si>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</si>
  <si>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</si>
  <si>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</si>
  <si>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</si>
  <si>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</si>
  <si>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</si>
  <si>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</si>
  <si>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</si>
  <si>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</si>
  <si>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</si>
  <si>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</si>
  <si>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</si>
  <si>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</si>
  <si>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</si>
  <si>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</si>
  <si>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</si>
  <si>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</si>
  <si>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</si>
  <si>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</si>
  <si>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</si>
  <si>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</si>
  <si>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</si>
  <si>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</si>
  <si>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</si>
  <si>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</si>
  <si>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</si>
  <si>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</si>
  <si>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</si>
  <si>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</si>
  <si>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</si>
  <si>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</si>
  <si>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</si>
  <si>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</si>
  <si>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</si>
  <si>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</si>
  <si>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</si>
  <si>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</si>
  <si>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</si>
  <si>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</si>
  <si>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</si>
  <si>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</si>
  <si>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</si>
  <si>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</si>
  <si>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</si>
  <si>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</si>
  <si>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</si>
  <si>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</si>
  <si>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</si>
  <si>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</si>
  <si>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</si>
  <si>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</si>
  <si>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31/07/2021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</si>
  <si>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11:25:08"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msgID="91A83D0411EBFE84432A0080EFB5E29F"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</si>
  <si>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11:32:55"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msgID="A412F6C811EBFE84432A0080EFC5029D"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nrr="884" nrc="1664"&gt;&lt;pg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</si>
  <si>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11:37:06"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msgID="DB043F1B11EBFE85432A0080EF05829E"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cols="22" /&gt;&lt;esdo ews="" ece="" ptn="" /&gt;&lt;/excel&gt;&lt;pgs&gt;&lt;pg rows="25" cols="20" nrr="1252" nrc="975"&gt;&lt;pg /&gt;&lt;bls&gt;&lt;bl sr="1" sc="1" rfetch="25" cfetch="20" posid="1" darows="0" dacols="1"&gt;&lt;excel&gt;&lt;epo ews="Dat_01" ece="A85" enr="MSTR.Serie_Balance_B.C._Mensual_Baleares_y_Canarias" ptn="" qtn="" rows="28" cols="22" /&gt;&lt;esdo ews="" ece="" ptn="" /&gt;&lt;/excel&gt;&lt;gridRng&gt;&lt;sect id="TITLE_AREA" rngprop="1:1:3:2" /&gt;&lt;sect id="ROWHEADERS_AREA" rngprop="4:1:25:2" /&gt;&lt;sect id="COLUMNHEADERS_AREA" rngprop="1:3:3:20" /&gt;&lt;sect id="DATA_AREA" rngprop="4:3:25:20"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</si>
  <si>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ut="08/16/2021 11:39:52" si="2.00000001fb35b2e64ace8627a5c0c8ff99f25ffccd4d691ad5cd3ce6162eb145d98cbbdc467fb3fbc46c0f1ab2db77adf1e21444d1adaa67995fc40c25a51959ba701ce0e28cebb236c6b518aaa82fe14f661ea4800fbc2559e78c82c3c4438c5bda405ced805a75759b8f44498bb31e240beda4289d707433faff196491909daaacccfdb59733e68a5c0781b749dc2c12b12f2953fc6bf24b0274a487875e284b45.p.3082.0.1.Europe/Madrid.upriv*_1*_pidn2*_30*_session*-lat*_1.0000000181f3a5422a1e05c2a329f69eadfb35b5b5ee3e72101b5f70fe4e7aa503d8dc0fb5b8148990b8bf9f7732482988bc994ebbd8cb4b.00000001ca66eaf99ffdaea43bdc80eae713d3f4b5ee3e726ec057617fbc7d50251306681333a46e65cf6094b5ad00ef14432ef228fb1316.0.1.1.BDEbi.D066E1C611E6257C10D00080EF253B44.0-3082.1.1_-0.1.0_-3082.1.1_5.5.0.*0.000000011d07b1e740e694dc1c78d0f04c2e6364c911585aeb9e934158dd40439e1b59ad7615f84d.0.23.11*.2*.0400*.31152J.e.00000001d9e1a05a6a60c9f860fc1f5de3449895c911585a7ddeb82354b98e11e371532eea81c182.0.10*.131*.122*.122.0.0" msgID="9CDDDBD211EBFE86432A0080EF45029E"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nrr="77" nrc="360"&gt;&lt;pg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</si>
  <si>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61f128cf3c7b499eb05d9d3a66460dfc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</si>
  <si>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ut="08/16/2021 11:40:12" si="2.00000001fb35b2e64ace8627a5c0c8ff99f25ffccd4d691ad5cd3ce6162eb145d98cbbdc467fb3fbc46c0f1ab2db77adf1e21444d1adaa67995fc40c25a51959ba701ce0e28cebb236c6b518aaa82fe14f661ea4800fbc2559e78c82c3c4438c5bda405ced805a75759b8f44498bb31e240beda4289d707433faff196491909daaacccfdb59733e68a5c0781b749dc2c12b12f2953fc6bf24b0274a487875e284b45.p.3082.0.1.Europe/Madrid.upriv*_1*_pidn2*_30*_session*-lat*_1.0000000181f3a5422a1e05c2a329f69eadfb35b5b5ee3e72101b5f70fe4e7aa503d8dc0fb5b8148990b8bf9f7732482988bc994ebbd8cb4b.00000001ca66eaf99ffdaea43bdc80eae713d3f4b5ee3e726ec057617fbc7d50251306681333a46e65cf6094b5ad00ef14432ef228fb1316.0.1.1.BDEbi.D066E1C611E6257C10D00080EF253B44.0-3082.1.1_-0.1.0_-3082.1.1_5.5.0.*0.000000011d07b1e740e694dc1c78d0f04c2e6364c911585aeb9e934158dd40439e1b59ad7615f84d.0.23.11*.2*.0400*.31152J.e.00000001d9e1a05a6a60c9f860fc1f5de3449895c911585a7ddeb82354b98e11e371532eea81c182.0.10*.131*.122*.122.0.0" msgID="B0FD91D411EBFE86432A0080EFB5E29F"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nrr="32" nrc="396"&gt;&lt;pg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</si>
</sst>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6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6.3725490196078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18"/>
                  <c:y val="4.11571715300284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691056910569105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08"/>
                  <c:y val="0.180882352941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2861788617886179"/>
                  <c:y val="0.37254901960784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9445451635618719"/>
                  <c:y val="0.181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2764227642276422"/>
                  <c:y val="4.8481550100355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13512451187504"/>
                  <c:y val="-7.40470125057897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3008130081300814"/>
                  <c:y val="-0.14951790952601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2357723577235773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1.5465162090500606</c:v>
                </c:pt>
                <c:pt idx="1">
                  <c:v>9.4487601885473467</c:v>
                </c:pt>
                <c:pt idx="2">
                  <c:v>4.5515366623412286</c:v>
                </c:pt>
                <c:pt idx="3">
                  <c:v>68.032536176784049</c:v>
                </c:pt>
                <c:pt idx="4">
                  <c:v>0.49513031371569771</c:v>
                </c:pt>
                <c:pt idx="5">
                  <c:v>0.61418853584874578</c:v>
                </c:pt>
                <c:pt idx="6">
                  <c:v>1.9093680413507372</c:v>
                </c:pt>
                <c:pt idx="7">
                  <c:v>1.9093680413507372</c:v>
                </c:pt>
                <c:pt idx="8">
                  <c:v>1.7643599137653929E-2</c:v>
                </c:pt>
                <c:pt idx="9">
                  <c:v>3.8236224095573625</c:v>
                </c:pt>
                <c:pt idx="10">
                  <c:v>1.6001676152735532E-2</c:v>
                </c:pt>
                <c:pt idx="11">
                  <c:v>7.6353281461636726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5365853658536586"/>
                  <c:y val="0.2598039215686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11.846863289872019</c:v>
                </c:pt>
                <c:pt idx="1">
                  <c:v>6.8468189992046415</c:v>
                </c:pt>
                <c:pt idx="2">
                  <c:v>29.622069859543181</c:v>
                </c:pt>
                <c:pt idx="3">
                  <c:v>40.417843288705157</c:v>
                </c:pt>
                <c:pt idx="4">
                  <c:v>0</c:v>
                </c:pt>
                <c:pt idx="5">
                  <c:v>0.56596768527858743</c:v>
                </c:pt>
                <c:pt idx="6">
                  <c:v>1.8369514388110013</c:v>
                </c:pt>
                <c:pt idx="7">
                  <c:v>1.8369514388110013</c:v>
                </c:pt>
                <c:pt idx="8">
                  <c:v>0.17767839117376463</c:v>
                </c:pt>
                <c:pt idx="9">
                  <c:v>6.7442377860159484</c:v>
                </c:pt>
                <c:pt idx="10">
                  <c:v>0.10461782258469071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-1.119569</c:v>
                </c:pt>
                <c:pt idx="1">
                  <c:v>-1.1268309999999999</c:v>
                </c:pt>
                <c:pt idx="2">
                  <c:v>68.615076999999999</c:v>
                </c:pt>
                <c:pt idx="3">
                  <c:v>69.531803999999994</c:v>
                </c:pt>
                <c:pt idx="4">
                  <c:v>18.689830000000001</c:v>
                </c:pt>
                <c:pt idx="5">
                  <c:v>78.075038000000006</c:v>
                </c:pt>
                <c:pt idx="6">
                  <c:v>-0.63269200000000003</c:v>
                </c:pt>
                <c:pt idx="7">
                  <c:v>-0.606159</c:v>
                </c:pt>
                <c:pt idx="8">
                  <c:v>-0.651559</c:v>
                </c:pt>
                <c:pt idx="9">
                  <c:v>-0.59136100000000003</c:v>
                </c:pt>
                <c:pt idx="10">
                  <c:v>-1.103416</c:v>
                </c:pt>
                <c:pt idx="11">
                  <c:v>41.953423999999998</c:v>
                </c:pt>
                <c:pt idx="12">
                  <c:v>9.292719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66.275554999999997</c:v>
                </c:pt>
                <c:pt idx="1">
                  <c:v>87.959547999999984</c:v>
                </c:pt>
                <c:pt idx="2">
                  <c:v>41.727269</c:v>
                </c:pt>
                <c:pt idx="3">
                  <c:v>26.56035</c:v>
                </c:pt>
                <c:pt idx="4">
                  <c:v>29.083095999999998</c:v>
                </c:pt>
                <c:pt idx="5">
                  <c:v>33.649616000000002</c:v>
                </c:pt>
                <c:pt idx="6">
                  <c:v>45.739437000000002</c:v>
                </c:pt>
                <c:pt idx="7">
                  <c:v>26.606086999999999</c:v>
                </c:pt>
                <c:pt idx="8">
                  <c:v>27.369999999999997</c:v>
                </c:pt>
                <c:pt idx="9">
                  <c:v>26.434747999999999</c:v>
                </c:pt>
                <c:pt idx="10">
                  <c:v>28.996893</c:v>
                </c:pt>
                <c:pt idx="11">
                  <c:v>60.343260999999998</c:v>
                </c:pt>
                <c:pt idx="12">
                  <c:v>87.100239000000002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258.52646600000003</c:v>
                </c:pt>
                <c:pt idx="1">
                  <c:v>260.88770599999998</c:v>
                </c:pt>
                <c:pt idx="2">
                  <c:v>135.30891800000001</c:v>
                </c:pt>
                <c:pt idx="3">
                  <c:v>141.13588200000001</c:v>
                </c:pt>
                <c:pt idx="4">
                  <c:v>185.01504499999999</c:v>
                </c:pt>
                <c:pt idx="5">
                  <c:v>159.35356899999999</c:v>
                </c:pt>
                <c:pt idx="6">
                  <c:v>260.27204499999999</c:v>
                </c:pt>
                <c:pt idx="7">
                  <c:v>187.465463</c:v>
                </c:pt>
                <c:pt idx="8">
                  <c:v>217.47864799999999</c:v>
                </c:pt>
                <c:pt idx="9">
                  <c:v>208.53059300000001</c:v>
                </c:pt>
                <c:pt idx="10">
                  <c:v>203.81251599999999</c:v>
                </c:pt>
                <c:pt idx="11">
                  <c:v>240.57820899999999</c:v>
                </c:pt>
                <c:pt idx="12">
                  <c:v>408.79444899999999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0.22134999999999999</c:v>
                </c:pt>
                <c:pt idx="1">
                  <c:v>0.20865500000000001</c:v>
                </c:pt>
                <c:pt idx="2">
                  <c:v>0.189775</c:v>
                </c:pt>
                <c:pt idx="3">
                  <c:v>0.32789299999999999</c:v>
                </c:pt>
                <c:pt idx="4">
                  <c:v>0.34884399999999999</c:v>
                </c:pt>
                <c:pt idx="5">
                  <c:v>0.28645399999999999</c:v>
                </c:pt>
                <c:pt idx="6">
                  <c:v>0.27796300000000002</c:v>
                </c:pt>
                <c:pt idx="7">
                  <c:v>0.15948300000000001</c:v>
                </c:pt>
                <c:pt idx="8">
                  <c:v>0.30611500000000003</c:v>
                </c:pt>
                <c:pt idx="9">
                  <c:v>0.29466900000000001</c:v>
                </c:pt>
                <c:pt idx="10">
                  <c:v>0.189554</c:v>
                </c:pt>
                <c:pt idx="11">
                  <c:v>9.4216999999999995E-2</c:v>
                </c:pt>
                <c:pt idx="12">
                  <c:v>0.106017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12.749435999999999</c:v>
                </c:pt>
                <c:pt idx="1">
                  <c:v>12.079094</c:v>
                </c:pt>
                <c:pt idx="2">
                  <c:v>10.538423999999999</c:v>
                </c:pt>
                <c:pt idx="3">
                  <c:v>9.627974</c:v>
                </c:pt>
                <c:pt idx="4">
                  <c:v>6.7521509999999996</c:v>
                </c:pt>
                <c:pt idx="5">
                  <c:v>6.7092029999999996</c:v>
                </c:pt>
                <c:pt idx="6">
                  <c:v>8.3992629999999995</c:v>
                </c:pt>
                <c:pt idx="7">
                  <c:v>9.5055530000000008</c:v>
                </c:pt>
                <c:pt idx="8">
                  <c:v>13.274073</c:v>
                </c:pt>
                <c:pt idx="9">
                  <c:v>14.709775</c:v>
                </c:pt>
                <c:pt idx="10">
                  <c:v>22.187163999999999</c:v>
                </c:pt>
                <c:pt idx="11">
                  <c:v>20.770949999999999</c:v>
                </c:pt>
                <c:pt idx="12">
                  <c:v>22.975413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5.2531000000000001E-2</c:v>
                </c:pt>
                <c:pt idx="1">
                  <c:v>5.0303E-2</c:v>
                </c:pt>
                <c:pt idx="2">
                  <c:v>2.81E-3</c:v>
                </c:pt>
                <c:pt idx="3">
                  <c:v>2.7317000000000001E-2</c:v>
                </c:pt>
                <c:pt idx="4">
                  <c:v>6.9145999999999999E-2</c:v>
                </c:pt>
                <c:pt idx="5">
                  <c:v>3.986E-2</c:v>
                </c:pt>
                <c:pt idx="6">
                  <c:v>5.7757000000000003E-2</c:v>
                </c:pt>
                <c:pt idx="7">
                  <c:v>7.6887999999999998E-2</c:v>
                </c:pt>
                <c:pt idx="8">
                  <c:v>0.13778699999999999</c:v>
                </c:pt>
                <c:pt idx="9">
                  <c:v>0.10574</c:v>
                </c:pt>
                <c:pt idx="10">
                  <c:v>0.118546</c:v>
                </c:pt>
                <c:pt idx="11">
                  <c:v>9.8640000000000005E-2</c:v>
                </c:pt>
                <c:pt idx="12">
                  <c:v>9.6151E-2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2.3319320000000001</c:v>
                </c:pt>
                <c:pt idx="1">
                  <c:v>1.922374</c:v>
                </c:pt>
                <c:pt idx="2">
                  <c:v>2.047806</c:v>
                </c:pt>
                <c:pt idx="3">
                  <c:v>2.3333560000000002</c:v>
                </c:pt>
                <c:pt idx="4">
                  <c:v>2.521382</c:v>
                </c:pt>
                <c:pt idx="5">
                  <c:v>3.3692880000000001</c:v>
                </c:pt>
                <c:pt idx="6">
                  <c:v>4.0659429999999999</c:v>
                </c:pt>
                <c:pt idx="7">
                  <c:v>3.641699</c:v>
                </c:pt>
                <c:pt idx="8">
                  <c:v>3.9954990000000001</c:v>
                </c:pt>
                <c:pt idx="9">
                  <c:v>3.2208809999999999</c:v>
                </c:pt>
                <c:pt idx="10">
                  <c:v>2.5715810000000001</c:v>
                </c:pt>
                <c:pt idx="11">
                  <c:v>3.062163</c:v>
                </c:pt>
                <c:pt idx="12">
                  <c:v>3.6905410000000001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10.772016499999999</c:v>
                </c:pt>
                <c:pt idx="1">
                  <c:v>10.810641499999999</c:v>
                </c:pt>
                <c:pt idx="2">
                  <c:v>14.376298</c:v>
                </c:pt>
                <c:pt idx="3">
                  <c:v>6.2387214999999996</c:v>
                </c:pt>
                <c:pt idx="4">
                  <c:v>12.812825</c:v>
                </c:pt>
                <c:pt idx="5">
                  <c:v>8.6052265000000006</c:v>
                </c:pt>
                <c:pt idx="6">
                  <c:v>7.1515275000000003</c:v>
                </c:pt>
                <c:pt idx="7">
                  <c:v>10.723705000000001</c:v>
                </c:pt>
                <c:pt idx="8">
                  <c:v>10.093087499999999</c:v>
                </c:pt>
                <c:pt idx="9">
                  <c:v>7.5393055000000002</c:v>
                </c:pt>
                <c:pt idx="10">
                  <c:v>6.0236640000000001</c:v>
                </c:pt>
                <c:pt idx="11">
                  <c:v>13.481942</c:v>
                </c:pt>
                <c:pt idx="12">
                  <c:v>11.473026000000001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10.772016499999999</c:v>
                </c:pt>
                <c:pt idx="1">
                  <c:v>10.810641499999999</c:v>
                </c:pt>
                <c:pt idx="2">
                  <c:v>14.376298</c:v>
                </c:pt>
                <c:pt idx="3">
                  <c:v>6.2387214999999996</c:v>
                </c:pt>
                <c:pt idx="4">
                  <c:v>12.812825</c:v>
                </c:pt>
                <c:pt idx="5">
                  <c:v>8.6052265000000006</c:v>
                </c:pt>
                <c:pt idx="6">
                  <c:v>7.1515275000000003</c:v>
                </c:pt>
                <c:pt idx="7">
                  <c:v>10.723705000000001</c:v>
                </c:pt>
                <c:pt idx="8">
                  <c:v>10.093087499999999</c:v>
                </c:pt>
                <c:pt idx="9">
                  <c:v>7.5393055000000002</c:v>
                </c:pt>
                <c:pt idx="10">
                  <c:v>6.0236640000000001</c:v>
                </c:pt>
                <c:pt idx="11">
                  <c:v>13.481942</c:v>
                </c:pt>
                <c:pt idx="12">
                  <c:v>11.473026000000001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168.331695</c:v>
                </c:pt>
                <c:pt idx="1">
                  <c:v>182.71595500000001</c:v>
                </c:pt>
                <c:pt idx="2">
                  <c:v>116.274961</c:v>
                </c:pt>
                <c:pt idx="3">
                  <c:v>105.943506</c:v>
                </c:pt>
                <c:pt idx="4">
                  <c:v>96.327618999999999</c:v>
                </c:pt>
                <c:pt idx="5">
                  <c:v>138.26159999999999</c:v>
                </c:pt>
                <c:pt idx="6">
                  <c:v>138.25041200000001</c:v>
                </c:pt>
                <c:pt idx="7">
                  <c:v>113.412009</c:v>
                </c:pt>
                <c:pt idx="8">
                  <c:v>127.985573</c:v>
                </c:pt>
                <c:pt idx="9">
                  <c:v>111.02179700000001</c:v>
                </c:pt>
                <c:pt idx="10">
                  <c:v>111.601713</c:v>
                </c:pt>
                <c:pt idx="11">
                  <c:v>65.429468</c:v>
                </c:pt>
                <c:pt idx="12">
                  <c:v>45.879221000000001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15.875723035956019</c:v>
                </c:pt>
                <c:pt idx="1">
                  <c:v>16.921734834972362</c:v>
                </c:pt>
                <c:pt idx="2">
                  <c:v>15.683353049930027</c:v>
                </c:pt>
                <c:pt idx="3">
                  <c:v>28.121112484272842</c:v>
                </c:pt>
                <c:pt idx="4">
                  <c:v>1.2413063287488129</c:v>
                </c:pt>
                <c:pt idx="5">
                  <c:v>4.9392293709376839E-2</c:v>
                </c:pt>
                <c:pt idx="6">
                  <c:v>0.36784260841456962</c:v>
                </c:pt>
                <c:pt idx="7">
                  <c:v>16.163465641743212</c:v>
                </c:pt>
                <c:pt idx="8">
                  <c:v>5.4559684607068277</c:v>
                </c:pt>
                <c:pt idx="9">
                  <c:v>0.12010126154595843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6097560975609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17071890403943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1333333333333333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20.500632253185323</c:v>
                </c:pt>
                <c:pt idx="1">
                  <c:v>1.8881613761505254</c:v>
                </c:pt>
                <c:pt idx="2">
                  <c:v>9.4608317245483313</c:v>
                </c:pt>
                <c:pt idx="3">
                  <c:v>40.714864606921168</c:v>
                </c:pt>
                <c:pt idx="4">
                  <c:v>0</c:v>
                </c:pt>
                <c:pt idx="5">
                  <c:v>4.1446763062966803E-2</c:v>
                </c:pt>
                <c:pt idx="6">
                  <c:v>0.51188210113570387</c:v>
                </c:pt>
                <c:pt idx="7">
                  <c:v>22.783329258887512</c:v>
                </c:pt>
                <c:pt idx="8">
                  <c:v>3.9938453718413069</c:v>
                </c:pt>
                <c:pt idx="9">
                  <c:v>0.10500654426715746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0.29030099999999998</c:v>
                </c:pt>
                <c:pt idx="1">
                  <c:v>0.29413899999999998</c:v>
                </c:pt>
                <c:pt idx="2">
                  <c:v>0.29165099999999999</c:v>
                </c:pt>
                <c:pt idx="3">
                  <c:v>0.299369</c:v>
                </c:pt>
                <c:pt idx="4">
                  <c:v>0.28527599999999997</c:v>
                </c:pt>
                <c:pt idx="5">
                  <c:v>0.29958099999999999</c:v>
                </c:pt>
                <c:pt idx="6">
                  <c:v>0.29762100000000002</c:v>
                </c:pt>
                <c:pt idx="7">
                  <c:v>0.25852999999999998</c:v>
                </c:pt>
                <c:pt idx="8">
                  <c:v>0.28226499999999999</c:v>
                </c:pt>
                <c:pt idx="9">
                  <c:v>0.13780600000000001</c:v>
                </c:pt>
                <c:pt idx="10">
                  <c:v>0.26783600000000002</c:v>
                </c:pt>
                <c:pt idx="11">
                  <c:v>0.28217700000000001</c:v>
                </c:pt>
                <c:pt idx="12">
                  <c:v>0.28972599999999998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269.88695799999999</c:v>
                </c:pt>
                <c:pt idx="1">
                  <c:v>297.66067400000003</c:v>
                </c:pt>
                <c:pt idx="2">
                  <c:v>271.16308099999998</c:v>
                </c:pt>
                <c:pt idx="3">
                  <c:v>301.03426400000001</c:v>
                </c:pt>
                <c:pt idx="4">
                  <c:v>287.12516499999998</c:v>
                </c:pt>
                <c:pt idx="5">
                  <c:v>272.274542</c:v>
                </c:pt>
                <c:pt idx="6">
                  <c:v>267.49094000000002</c:v>
                </c:pt>
                <c:pt idx="7">
                  <c:v>227.675399</c:v>
                </c:pt>
                <c:pt idx="8">
                  <c:v>244.02209900000003</c:v>
                </c:pt>
                <c:pt idx="9">
                  <c:v>226.89470900000001</c:v>
                </c:pt>
                <c:pt idx="10">
                  <c:v>205.95798300000001</c:v>
                </c:pt>
                <c:pt idx="11">
                  <c:v>182.21304600000002</c:v>
                </c:pt>
                <c:pt idx="12">
                  <c:v>222.63896800000001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229.38776100000001</c:v>
                </c:pt>
                <c:pt idx="1">
                  <c:v>217.204814</c:v>
                </c:pt>
                <c:pt idx="2">
                  <c:v>297.07835399999999</c:v>
                </c:pt>
                <c:pt idx="3">
                  <c:v>252.83072899999999</c:v>
                </c:pt>
                <c:pt idx="4">
                  <c:v>292.22053799999998</c:v>
                </c:pt>
                <c:pt idx="5">
                  <c:v>314.37255499999998</c:v>
                </c:pt>
                <c:pt idx="6">
                  <c:v>280.66014899999999</c:v>
                </c:pt>
                <c:pt idx="7">
                  <c:v>269.76136200000002</c:v>
                </c:pt>
                <c:pt idx="8">
                  <c:v>284.19602200000003</c:v>
                </c:pt>
                <c:pt idx="9">
                  <c:v>311.21022299999998</c:v>
                </c:pt>
                <c:pt idx="10">
                  <c:v>236.28277700000001</c:v>
                </c:pt>
                <c:pt idx="11">
                  <c:v>276.61590899999999</c:v>
                </c:pt>
                <c:pt idx="12">
                  <c:v>284.60979800000001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3.6524220000000001</c:v>
                </c:pt>
                <c:pt idx="1">
                  <c:v>3.5757409999999998</c:v>
                </c:pt>
                <c:pt idx="2">
                  <c:v>1.9118980000000001</c:v>
                </c:pt>
                <c:pt idx="3">
                  <c:v>1.456723</c:v>
                </c:pt>
                <c:pt idx="4">
                  <c:v>0.821801</c:v>
                </c:pt>
                <c:pt idx="5">
                  <c:v>0.95850199999999997</c:v>
                </c:pt>
                <c:pt idx="6">
                  <c:v>0.99317</c:v>
                </c:pt>
                <c:pt idx="7">
                  <c:v>1.226483</c:v>
                </c:pt>
                <c:pt idx="8">
                  <c:v>1.921443</c:v>
                </c:pt>
                <c:pt idx="9">
                  <c:v>0.83590799999999998</c:v>
                </c:pt>
                <c:pt idx="10">
                  <c:v>3.227077</c:v>
                </c:pt>
                <c:pt idx="11">
                  <c:v>3.0020419999999999</c:v>
                </c:pt>
                <c:pt idx="12">
                  <c:v>3.5782180000000001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148.255436</c:v>
                </c:pt>
                <c:pt idx="1">
                  <c:v>166.40398400000001</c:v>
                </c:pt>
                <c:pt idx="2">
                  <c:v>92.772315000000006</c:v>
                </c:pt>
                <c:pt idx="3">
                  <c:v>98.400535000000005</c:v>
                </c:pt>
                <c:pt idx="4">
                  <c:v>54.804782000000003</c:v>
                </c:pt>
                <c:pt idx="5">
                  <c:v>61.442059999999998</c:v>
                </c:pt>
                <c:pt idx="6">
                  <c:v>81.105193</c:v>
                </c:pt>
                <c:pt idx="7">
                  <c:v>58.505417000000001</c:v>
                </c:pt>
                <c:pt idx="8">
                  <c:v>83.922415999999998</c:v>
                </c:pt>
                <c:pt idx="9">
                  <c:v>52.700510000000001</c:v>
                </c:pt>
                <c:pt idx="10">
                  <c:v>162.33664099999999</c:v>
                </c:pt>
                <c:pt idx="11">
                  <c:v>147.64304300000001</c:v>
                </c:pt>
                <c:pt idx="12">
                  <c:v>159.262687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27.014696000000001</c:v>
                </c:pt>
                <c:pt idx="1">
                  <c:v>26.667397999999999</c:v>
                </c:pt>
                <c:pt idx="2">
                  <c:v>20.951909000000001</c:v>
                </c:pt>
                <c:pt idx="3">
                  <c:v>19.852456</c:v>
                </c:pt>
                <c:pt idx="4">
                  <c:v>15.933180999999999</c:v>
                </c:pt>
                <c:pt idx="5">
                  <c:v>15.284926</c:v>
                </c:pt>
                <c:pt idx="6">
                  <c:v>16.368086000000002</c:v>
                </c:pt>
                <c:pt idx="7">
                  <c:v>17.767357000000001</c:v>
                </c:pt>
                <c:pt idx="8">
                  <c:v>24.228294999999999</c:v>
                </c:pt>
                <c:pt idx="9">
                  <c:v>22.565013</c:v>
                </c:pt>
                <c:pt idx="10">
                  <c:v>26.947476999999999</c:v>
                </c:pt>
                <c:pt idx="11">
                  <c:v>24.792089000000001</c:v>
                </c:pt>
                <c:pt idx="12">
                  <c:v>27.918244000000001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jul.-20</c:v>
                </c:pt>
                <c:pt idx="1">
                  <c:v>ago.-20</c:v>
                </c:pt>
                <c:pt idx="2">
                  <c:v>sep.-20</c:v>
                </c:pt>
                <c:pt idx="3">
                  <c:v>oct.-20</c:v>
                </c:pt>
                <c:pt idx="4">
                  <c:v>nov.-20</c:v>
                </c:pt>
                <c:pt idx="5">
                  <c:v>dic.-20</c:v>
                </c:pt>
                <c:pt idx="6">
                  <c:v>ene.-21</c:v>
                </c:pt>
                <c:pt idx="7">
                  <c:v>feb.-21</c:v>
                </c:pt>
                <c:pt idx="8">
                  <c:v>mar.-21</c:v>
                </c:pt>
                <c:pt idx="9">
                  <c:v>abr.-21</c:v>
                </c:pt>
                <c:pt idx="10">
                  <c:v>may.-21</c:v>
                </c:pt>
                <c:pt idx="11">
                  <c:v>jun.-21</c:v>
                </c:pt>
                <c:pt idx="12">
                  <c:v>jul.-21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0.69386000000000003</c:v>
                </c:pt>
                <c:pt idx="1">
                  <c:v>0.69097799999999998</c:v>
                </c:pt>
                <c:pt idx="2">
                  <c:v>0.64958000000000005</c:v>
                </c:pt>
                <c:pt idx="3">
                  <c:v>0.78250799999999998</c:v>
                </c:pt>
                <c:pt idx="4">
                  <c:v>0.74310299999999996</c:v>
                </c:pt>
                <c:pt idx="5">
                  <c:v>0.75252699999999995</c:v>
                </c:pt>
                <c:pt idx="6">
                  <c:v>0.35872300000000001</c:v>
                </c:pt>
                <c:pt idx="7">
                  <c:v>0.69978200000000002</c:v>
                </c:pt>
                <c:pt idx="8">
                  <c:v>0.79178499999999996</c:v>
                </c:pt>
                <c:pt idx="9">
                  <c:v>0.72202100000000002</c:v>
                </c:pt>
                <c:pt idx="10">
                  <c:v>0.72256799999999999</c:v>
                </c:pt>
                <c:pt idx="11">
                  <c:v>0.72395900000000002</c:v>
                </c:pt>
                <c:pt idx="12">
                  <c:v>0.73402900000000004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Julio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>
      <selection activeCell="C33" sqref="C33"/>
    </sheetView>
  </sheetViews>
  <sheetFormatPr baseColWidth="10" defaultColWidth="11.42578125" defaultRowHeight="12"/>
  <cols>
    <col min="1" max="1" width="7.8554687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124</v>
      </c>
      <c r="B2" s="144" t="s">
        <v>125</v>
      </c>
    </row>
    <row r="4" spans="1:33" ht="15">
      <c r="A4" s="145" t="s">
        <v>67</v>
      </c>
      <c r="B4" s="207" t="s">
        <v>124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</row>
    <row r="5" spans="1:33" ht="15">
      <c r="A5" s="145" t="s">
        <v>68</v>
      </c>
      <c r="B5" s="209" t="s">
        <v>15</v>
      </c>
      <c r="C5" s="210"/>
      <c r="D5" s="210"/>
      <c r="E5" s="210"/>
      <c r="F5" s="210"/>
      <c r="G5" s="210"/>
      <c r="H5" s="210"/>
      <c r="I5" s="211"/>
      <c r="J5" s="209" t="s">
        <v>14</v>
      </c>
      <c r="K5" s="210"/>
      <c r="L5" s="210"/>
      <c r="M5" s="210"/>
      <c r="N5" s="210"/>
      <c r="O5" s="210"/>
      <c r="P5" s="210"/>
      <c r="Q5" s="211"/>
      <c r="R5" s="209" t="s">
        <v>57</v>
      </c>
      <c r="S5" s="210"/>
      <c r="T5" s="210"/>
      <c r="U5" s="210"/>
      <c r="V5" s="210"/>
      <c r="W5" s="210"/>
      <c r="X5" s="210"/>
      <c r="Y5" s="211"/>
      <c r="Z5" s="209" t="s">
        <v>58</v>
      </c>
      <c r="AA5" s="210"/>
      <c r="AB5" s="210"/>
      <c r="AC5" s="210"/>
      <c r="AD5" s="210"/>
      <c r="AE5" s="210"/>
      <c r="AF5" s="210"/>
      <c r="AG5" s="210"/>
    </row>
    <row r="6" spans="1:33">
      <c r="A6" s="145" t="s">
        <v>69</v>
      </c>
      <c r="B6" s="192" t="s">
        <v>59</v>
      </c>
      <c r="C6" s="192" t="s">
        <v>60</v>
      </c>
      <c r="D6" s="192" t="s">
        <v>61</v>
      </c>
      <c r="E6" s="192" t="s">
        <v>62</v>
      </c>
      <c r="F6" s="192" t="s">
        <v>63</v>
      </c>
      <c r="G6" s="192" t="s">
        <v>64</v>
      </c>
      <c r="H6" s="192" t="s">
        <v>65</v>
      </c>
      <c r="I6" s="192" t="s">
        <v>66</v>
      </c>
      <c r="J6" s="192" t="s">
        <v>59</v>
      </c>
      <c r="K6" s="192" t="s">
        <v>60</v>
      </c>
      <c r="L6" s="192" t="s">
        <v>61</v>
      </c>
      <c r="M6" s="192" t="s">
        <v>62</v>
      </c>
      <c r="N6" s="192" t="s">
        <v>63</v>
      </c>
      <c r="O6" s="192" t="s">
        <v>64</v>
      </c>
      <c r="P6" s="192" t="s">
        <v>65</v>
      </c>
      <c r="Q6" s="192" t="s">
        <v>66</v>
      </c>
      <c r="R6" s="192" t="s">
        <v>59</v>
      </c>
      <c r="S6" s="192" t="s">
        <v>60</v>
      </c>
      <c r="T6" s="192" t="s">
        <v>61</v>
      </c>
      <c r="U6" s="192" t="s">
        <v>62</v>
      </c>
      <c r="V6" s="192" t="s">
        <v>63</v>
      </c>
      <c r="W6" s="192" t="s">
        <v>64</v>
      </c>
      <c r="X6" s="192" t="s">
        <v>65</v>
      </c>
      <c r="Y6" s="192" t="s">
        <v>66</v>
      </c>
      <c r="Z6" s="192" t="s">
        <v>59</v>
      </c>
      <c r="AA6" s="192" t="s">
        <v>60</v>
      </c>
      <c r="AB6" s="192" t="s">
        <v>61</v>
      </c>
      <c r="AC6" s="192" t="s">
        <v>62</v>
      </c>
      <c r="AD6" s="192" t="s">
        <v>63</v>
      </c>
      <c r="AE6" s="192" t="s">
        <v>64</v>
      </c>
      <c r="AF6" s="192" t="s">
        <v>65</v>
      </c>
      <c r="AG6" s="192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289.726</v>
      </c>
      <c r="AA8" s="158">
        <v>290.30099999999999</v>
      </c>
      <c r="AB8" s="151">
        <v>-1.9807027999999998E-3</v>
      </c>
      <c r="AC8" s="158">
        <v>1815.961</v>
      </c>
      <c r="AD8" s="158">
        <v>2010.8</v>
      </c>
      <c r="AE8" s="151">
        <v>-9.6896260200000001E-2</v>
      </c>
      <c r="AF8" s="158">
        <v>3285.9769999999999</v>
      </c>
      <c r="AG8" s="151">
        <v>-5.7444917800000002E-2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9292.7189999999991</v>
      </c>
      <c r="S9" s="158">
        <v>-1119.569</v>
      </c>
      <c r="T9" s="151">
        <v>-9.3002646553999995</v>
      </c>
      <c r="U9" s="158">
        <v>47660.955999999998</v>
      </c>
      <c r="V9" s="158">
        <v>-12123.427</v>
      </c>
      <c r="W9" s="151">
        <v>-4.9313105115000004</v>
      </c>
      <c r="X9" s="158">
        <v>281445.87400000001</v>
      </c>
      <c r="Y9" s="151">
        <v>-0.70135972899999999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17406.879000000001</v>
      </c>
      <c r="C10" s="158">
        <v>17915.189999999999</v>
      </c>
      <c r="D10" s="151">
        <v>-2.8373184999999999E-2</v>
      </c>
      <c r="E10" s="158">
        <v>112758.99099999999</v>
      </c>
      <c r="F10" s="158">
        <v>115305.666</v>
      </c>
      <c r="G10" s="151">
        <v>-2.2086295400000001E-2</v>
      </c>
      <c r="H10" s="158">
        <v>196482.18</v>
      </c>
      <c r="I10" s="151">
        <v>-3.6965810199999997E-2</v>
      </c>
      <c r="J10" s="158">
        <v>19113.096000000001</v>
      </c>
      <c r="K10" s="158">
        <v>20046.902999999998</v>
      </c>
      <c r="L10" s="151">
        <v>-4.6581110299999999E-2</v>
      </c>
      <c r="M10" s="158">
        <v>110336.958</v>
      </c>
      <c r="N10" s="158">
        <v>111268.213</v>
      </c>
      <c r="O10" s="151">
        <v>-8.3694613000000005E-3</v>
      </c>
      <c r="P10" s="158">
        <v>195855.28700000001</v>
      </c>
      <c r="Q10" s="151">
        <v>-9.4442803999999995E-3</v>
      </c>
      <c r="R10" s="158">
        <v>56775.786</v>
      </c>
      <c r="S10" s="158">
        <v>32575.167000000001</v>
      </c>
      <c r="T10" s="151">
        <v>0.74291619129999997</v>
      </c>
      <c r="U10" s="158">
        <v>195919.886</v>
      </c>
      <c r="V10" s="158">
        <v>150564.465</v>
      </c>
      <c r="W10" s="151">
        <v>0.30123589249999999</v>
      </c>
      <c r="X10" s="158">
        <v>327665.08199999999</v>
      </c>
      <c r="Y10" s="151">
        <v>-7.1173562600000004E-2</v>
      </c>
      <c r="Z10" s="158">
        <v>143305.91200000001</v>
      </c>
      <c r="AA10" s="158">
        <v>140505.508</v>
      </c>
      <c r="AB10" s="151">
        <v>1.9930919700000001E-2</v>
      </c>
      <c r="AC10" s="158">
        <v>925046.27300000004</v>
      </c>
      <c r="AD10" s="158">
        <v>979427.42599999998</v>
      </c>
      <c r="AE10" s="151">
        <v>-5.5523412500000001E-2</v>
      </c>
      <c r="AF10" s="158">
        <v>1663027.99</v>
      </c>
      <c r="AG10" s="151">
        <v>-8.1492347199999995E-2</v>
      </c>
    </row>
    <row r="11" spans="1:33">
      <c r="A11" s="144" t="s">
        <v>9</v>
      </c>
      <c r="B11" s="158">
        <v>2.649</v>
      </c>
      <c r="C11" s="158">
        <v>2.306</v>
      </c>
      <c r="D11" s="151">
        <v>0.1487424111</v>
      </c>
      <c r="E11" s="158">
        <v>42.155000000000001</v>
      </c>
      <c r="F11" s="158">
        <v>23.154</v>
      </c>
      <c r="G11" s="151">
        <v>0.8206357433</v>
      </c>
      <c r="H11" s="158">
        <v>188.24799999999999</v>
      </c>
      <c r="I11" s="151">
        <v>0.83052957080000001</v>
      </c>
      <c r="J11" s="158">
        <v>15.176</v>
      </c>
      <c r="K11" s="158">
        <v>1.2030000000000001</v>
      </c>
      <c r="L11" s="151">
        <v>11.615128844599999</v>
      </c>
      <c r="M11" s="158">
        <v>87.519000000000005</v>
      </c>
      <c r="N11" s="158">
        <v>8.9480000000000004</v>
      </c>
      <c r="O11" s="151">
        <v>8.7808448815000002</v>
      </c>
      <c r="P11" s="158">
        <v>174.47399999999999</v>
      </c>
      <c r="Q11" s="151">
        <v>11.004541076100001</v>
      </c>
      <c r="R11" s="158">
        <v>27349.31</v>
      </c>
      <c r="S11" s="158">
        <v>33700.387999999999</v>
      </c>
      <c r="T11" s="151">
        <v>-0.18845711809999999</v>
      </c>
      <c r="U11" s="158">
        <v>101563.21400000001</v>
      </c>
      <c r="V11" s="158">
        <v>127229.274</v>
      </c>
      <c r="W11" s="151">
        <v>-0.2017307746</v>
      </c>
      <c r="X11" s="158">
        <v>184894.08600000001</v>
      </c>
      <c r="Y11" s="151">
        <v>-0.42294178100000002</v>
      </c>
      <c r="Z11" s="158">
        <v>13198.846</v>
      </c>
      <c r="AA11" s="158">
        <v>15049.32</v>
      </c>
      <c r="AB11" s="151">
        <v>-0.12296063879999999</v>
      </c>
      <c r="AC11" s="158">
        <v>97154.813999999998</v>
      </c>
      <c r="AD11" s="158">
        <v>90155.77</v>
      </c>
      <c r="AE11" s="151">
        <v>7.7632790399999999E-2</v>
      </c>
      <c r="AF11" s="158">
        <v>202759.73699999999</v>
      </c>
      <c r="AG11" s="151">
        <v>9.8987813300000005E-2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66134.210000000006</v>
      </c>
      <c r="AA12" s="158">
        <v>114332.13</v>
      </c>
      <c r="AB12" s="151">
        <v>-0.42156058839999999</v>
      </c>
      <c r="AC12" s="158">
        <v>554692.05700000003</v>
      </c>
      <c r="AD12" s="158">
        <v>801935.60400000005</v>
      </c>
      <c r="AE12" s="151">
        <v>-0.30830847979999998</v>
      </c>
      <c r="AF12" s="158">
        <v>1140363.1429999999</v>
      </c>
      <c r="AG12" s="151">
        <v>-0.28759318369999998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408794.44900000002</v>
      </c>
      <c r="S13" s="158">
        <v>258526.46599999999</v>
      </c>
      <c r="T13" s="151">
        <v>0.5812479679</v>
      </c>
      <c r="U13" s="158">
        <v>1726931.923</v>
      </c>
      <c r="V13" s="158">
        <v>1530435.5260000001</v>
      </c>
      <c r="W13" s="151">
        <v>0.12839246979999999</v>
      </c>
      <c r="X13" s="158">
        <v>2608633.0430000001</v>
      </c>
      <c r="Y13" s="151">
        <v>0.37647992769999999</v>
      </c>
      <c r="Z13" s="158">
        <v>284609.79800000001</v>
      </c>
      <c r="AA13" s="158">
        <v>229387.761</v>
      </c>
      <c r="AB13" s="151">
        <v>0.24073663200000001</v>
      </c>
      <c r="AC13" s="158">
        <v>1943336.24</v>
      </c>
      <c r="AD13" s="158">
        <v>1880562.905</v>
      </c>
      <c r="AE13" s="151">
        <v>3.3380077199999997E-2</v>
      </c>
      <c r="AF13" s="158">
        <v>3317043.23</v>
      </c>
      <c r="AG13" s="151">
        <v>8.8352330999999992E-3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2975.143</v>
      </c>
      <c r="S14" s="158">
        <v>0</v>
      </c>
      <c r="T14" s="151">
        <v>0</v>
      </c>
      <c r="U14" s="158">
        <v>5107.5649999999996</v>
      </c>
      <c r="V14" s="158">
        <v>0</v>
      </c>
      <c r="W14" s="151">
        <v>0</v>
      </c>
      <c r="X14" s="158">
        <v>9011.3760000000002</v>
      </c>
      <c r="Y14" s="151">
        <v>-0.1930771758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3578.2179999999998</v>
      </c>
      <c r="AA15" s="158">
        <v>3652.422</v>
      </c>
      <c r="AB15" s="151">
        <v>-2.0316381800000002E-2</v>
      </c>
      <c r="AC15" s="158">
        <v>14784.341</v>
      </c>
      <c r="AD15" s="158">
        <v>10815.562</v>
      </c>
      <c r="AE15" s="151">
        <v>0.36695078809999998</v>
      </c>
      <c r="AF15" s="158">
        <v>23509.006000000001</v>
      </c>
      <c r="AG15" s="151">
        <v>0.1012244157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106.017</v>
      </c>
      <c r="S16" s="158">
        <v>221.35</v>
      </c>
      <c r="T16" s="151">
        <v>-0.52104359609999995</v>
      </c>
      <c r="U16" s="158">
        <v>1428.018</v>
      </c>
      <c r="V16" s="158">
        <v>2279.3020000000001</v>
      </c>
      <c r="W16" s="151">
        <v>-0.3734845141</v>
      </c>
      <c r="X16" s="158">
        <v>2789.6390000000001</v>
      </c>
      <c r="Y16" s="151">
        <v>-0.3778081157</v>
      </c>
      <c r="Z16" s="158">
        <v>159262.68700000001</v>
      </c>
      <c r="AA16" s="158">
        <v>148255.43599999999</v>
      </c>
      <c r="AB16" s="151">
        <v>7.4245176400000001E-2</v>
      </c>
      <c r="AC16" s="158">
        <v>745475.90700000001</v>
      </c>
      <c r="AD16" s="158">
        <v>626606.93400000001</v>
      </c>
      <c r="AE16" s="151">
        <v>0.18970261350000001</v>
      </c>
      <c r="AF16" s="158">
        <v>1219299.5830000001</v>
      </c>
      <c r="AG16" s="151">
        <v>4.33044312E-2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0</v>
      </c>
      <c r="K17" s="158">
        <v>7.9089999999999998</v>
      </c>
      <c r="L17" s="151">
        <v>-1</v>
      </c>
      <c r="M17" s="158">
        <v>36.076000000000001</v>
      </c>
      <c r="N17" s="158">
        <v>46.829000000000001</v>
      </c>
      <c r="O17" s="151">
        <v>-0.2296226697</v>
      </c>
      <c r="P17" s="158">
        <v>65.953999999999994</v>
      </c>
      <c r="Q17" s="151">
        <v>-0.13925140950000001</v>
      </c>
      <c r="R17" s="158">
        <v>22975.413</v>
      </c>
      <c r="S17" s="158">
        <v>12749.436</v>
      </c>
      <c r="T17" s="151">
        <v>0.80207289169999996</v>
      </c>
      <c r="U17" s="158">
        <v>111822.19100000001</v>
      </c>
      <c r="V17" s="158">
        <v>72599.793999999994</v>
      </c>
      <c r="W17" s="151">
        <v>0.54025493520000001</v>
      </c>
      <c r="X17" s="158">
        <v>157529.03700000001</v>
      </c>
      <c r="Y17" s="151">
        <v>0.35532181550000003</v>
      </c>
      <c r="Z17" s="158">
        <v>27918.243999999999</v>
      </c>
      <c r="AA17" s="158">
        <v>27014.696</v>
      </c>
      <c r="AB17" s="151">
        <v>3.3446535899999998E-2</v>
      </c>
      <c r="AC17" s="158">
        <v>160586.56099999999</v>
      </c>
      <c r="AD17" s="158">
        <v>159404.24</v>
      </c>
      <c r="AE17" s="151">
        <v>7.4171239000000002E-3</v>
      </c>
      <c r="AF17" s="158">
        <v>259276.43100000001</v>
      </c>
      <c r="AG17" s="151">
        <v>-2.937739E-2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96.150999999999996</v>
      </c>
      <c r="S18" s="158">
        <v>52.530999999999999</v>
      </c>
      <c r="T18" s="151">
        <v>0.83036683099999997</v>
      </c>
      <c r="U18" s="158">
        <v>691.50900000000001</v>
      </c>
      <c r="V18" s="158">
        <v>439.964</v>
      </c>
      <c r="W18" s="151">
        <v>0.57173996049999998</v>
      </c>
      <c r="X18" s="158">
        <v>880.94500000000005</v>
      </c>
      <c r="Y18" s="151">
        <v>-3.1252577300000001E-2</v>
      </c>
      <c r="Z18" s="158">
        <v>734.029</v>
      </c>
      <c r="AA18" s="158">
        <v>693.86</v>
      </c>
      <c r="AB18" s="151">
        <v>5.7892081999999997E-2</v>
      </c>
      <c r="AC18" s="158">
        <v>4752.8670000000002</v>
      </c>
      <c r="AD18" s="158">
        <v>5568.2849999999999</v>
      </c>
      <c r="AE18" s="151">
        <v>-0.14643970270000001</v>
      </c>
      <c r="AF18" s="158">
        <v>8371.5630000000001</v>
      </c>
      <c r="AG18" s="151">
        <v>-7.7311998600000001E-2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3690.5410000000002</v>
      </c>
      <c r="S19" s="158">
        <v>2331.9319999999998</v>
      </c>
      <c r="T19" s="151">
        <v>0.5826108995</v>
      </c>
      <c r="U19" s="158">
        <v>24248.307000000001</v>
      </c>
      <c r="V19" s="158">
        <v>21628.976999999999</v>
      </c>
      <c r="W19" s="151">
        <v>0.121102815</v>
      </c>
      <c r="X19" s="158">
        <v>36442.512999999999</v>
      </c>
      <c r="Y19" s="151">
        <v>-2.21506512E-2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373.52800000000002</v>
      </c>
      <c r="K20" s="158">
        <v>542.46400000000006</v>
      </c>
      <c r="L20" s="151">
        <v>-0.31142343090000002</v>
      </c>
      <c r="M20" s="158">
        <v>3674.6509999999998</v>
      </c>
      <c r="N20" s="158">
        <v>3101.2584999999999</v>
      </c>
      <c r="O20" s="151">
        <v>0.18489026310000001</v>
      </c>
      <c r="P20" s="158">
        <v>6098.9480000000003</v>
      </c>
      <c r="Q20" s="151">
        <v>0.20655442190000001</v>
      </c>
      <c r="R20" s="158">
        <v>11473.026</v>
      </c>
      <c r="S20" s="158">
        <v>10772.0165</v>
      </c>
      <c r="T20" s="151">
        <v>6.5076905500000004E-2</v>
      </c>
      <c r="U20" s="158">
        <v>66486.257500000007</v>
      </c>
      <c r="V20" s="158">
        <v>61158.135499999997</v>
      </c>
      <c r="W20" s="151">
        <v>8.7120412600000002E-2</v>
      </c>
      <c r="X20" s="158">
        <v>119329.97</v>
      </c>
      <c r="Y20" s="151">
        <v>-4.3747730899999997E-2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373.52800000000002</v>
      </c>
      <c r="K21" s="158">
        <v>542.46400000000006</v>
      </c>
      <c r="L21" s="151">
        <v>-0.31142343090000002</v>
      </c>
      <c r="M21" s="158">
        <v>3674.6509999999998</v>
      </c>
      <c r="N21" s="158">
        <v>3101.2584999999999</v>
      </c>
      <c r="O21" s="151">
        <v>0.18489026310000001</v>
      </c>
      <c r="P21" s="158">
        <v>6098.9480000000003</v>
      </c>
      <c r="Q21" s="151">
        <v>0.20655442190000001</v>
      </c>
      <c r="R21" s="158">
        <v>11473.026</v>
      </c>
      <c r="S21" s="158">
        <v>10772.0165</v>
      </c>
      <c r="T21" s="151">
        <v>6.5076905500000004E-2</v>
      </c>
      <c r="U21" s="158">
        <v>66486.257500000007</v>
      </c>
      <c r="V21" s="158">
        <v>61158.135499999997</v>
      </c>
      <c r="W21" s="151">
        <v>8.7120412600000002E-2</v>
      </c>
      <c r="X21" s="158">
        <v>119329.97</v>
      </c>
      <c r="Y21" s="151">
        <v>-4.3747730899999997E-2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17409.527999999998</v>
      </c>
      <c r="C22" s="159">
        <v>17917.495999999999</v>
      </c>
      <c r="D22" s="152">
        <v>-2.835039E-2</v>
      </c>
      <c r="E22" s="159">
        <v>112801.14599999999</v>
      </c>
      <c r="F22" s="159">
        <v>115328.82</v>
      </c>
      <c r="G22" s="152">
        <v>-2.1917106200000001E-2</v>
      </c>
      <c r="H22" s="159">
        <v>196670.42800000001</v>
      </c>
      <c r="I22" s="152">
        <v>-3.65287709E-2</v>
      </c>
      <c r="J22" s="159">
        <v>19875.328000000001</v>
      </c>
      <c r="K22" s="159">
        <v>21140.942999999999</v>
      </c>
      <c r="L22" s="152">
        <v>-5.9865588800000001E-2</v>
      </c>
      <c r="M22" s="159">
        <v>117809.855</v>
      </c>
      <c r="N22" s="159">
        <v>117526.507</v>
      </c>
      <c r="O22" s="152">
        <v>2.4109284999999999E-3</v>
      </c>
      <c r="P22" s="159">
        <v>208293.611</v>
      </c>
      <c r="Q22" s="152">
        <v>1.7800971000000001E-3</v>
      </c>
      <c r="R22" s="159">
        <v>555001.58100000001</v>
      </c>
      <c r="S22" s="159">
        <v>360581.734</v>
      </c>
      <c r="T22" s="152">
        <v>0.5391838484</v>
      </c>
      <c r="U22" s="159">
        <v>2348346.0839999998</v>
      </c>
      <c r="V22" s="159">
        <v>2015370.1459999999</v>
      </c>
      <c r="W22" s="152">
        <v>0.16521825470000001</v>
      </c>
      <c r="X22" s="159">
        <v>3847951.5350000001</v>
      </c>
      <c r="Y22" s="152">
        <v>-2.0974745499999999E-2</v>
      </c>
      <c r="Z22" s="159">
        <v>699031.67</v>
      </c>
      <c r="AA22" s="159">
        <v>679181.43400000001</v>
      </c>
      <c r="AB22" s="152">
        <v>2.92267059E-2</v>
      </c>
      <c r="AC22" s="159">
        <v>4447645.0209999997</v>
      </c>
      <c r="AD22" s="159">
        <v>4556487.5259999996</v>
      </c>
      <c r="AE22" s="152">
        <v>-2.3887370299999999E-2</v>
      </c>
      <c r="AF22" s="159">
        <v>7836936.6600000001</v>
      </c>
      <c r="AG22" s="152">
        <v>-6.1838652600000002E-2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45879.220999999998</v>
      </c>
      <c r="S23" s="158">
        <v>168331.69500000001</v>
      </c>
      <c r="T23" s="151">
        <v>-0.72744751959999998</v>
      </c>
      <c r="U23" s="158">
        <v>713580.19299999997</v>
      </c>
      <c r="V23" s="158">
        <v>787013.88399999996</v>
      </c>
      <c r="W23" s="151">
        <v>-9.3306728800000002E-2</v>
      </c>
      <c r="X23" s="158">
        <v>1353103.834</v>
      </c>
      <c r="Y23" s="151">
        <v>-8.2428463699999996E-2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17409.527999999998</v>
      </c>
      <c r="C24" s="159">
        <v>17917.495999999999</v>
      </c>
      <c r="D24" s="152">
        <v>-2.835039E-2</v>
      </c>
      <c r="E24" s="159">
        <v>112801.14599999999</v>
      </c>
      <c r="F24" s="159">
        <v>115328.82</v>
      </c>
      <c r="G24" s="152">
        <v>-2.1917106200000001E-2</v>
      </c>
      <c r="H24" s="159">
        <v>196670.42800000001</v>
      </c>
      <c r="I24" s="152">
        <v>-3.65287709E-2</v>
      </c>
      <c r="J24" s="159">
        <v>19875.328000000001</v>
      </c>
      <c r="K24" s="159">
        <v>21140.942999999999</v>
      </c>
      <c r="L24" s="152">
        <v>-5.9865588800000001E-2</v>
      </c>
      <c r="M24" s="159">
        <v>117809.855</v>
      </c>
      <c r="N24" s="159">
        <v>117526.507</v>
      </c>
      <c r="O24" s="152">
        <v>2.4109284999999999E-3</v>
      </c>
      <c r="P24" s="159">
        <v>208293.611</v>
      </c>
      <c r="Q24" s="152">
        <v>1.7800971000000001E-3</v>
      </c>
      <c r="R24" s="159">
        <v>600880.80200000003</v>
      </c>
      <c r="S24" s="159">
        <v>528913.429</v>
      </c>
      <c r="T24" s="152">
        <v>0.13606645070000001</v>
      </c>
      <c r="U24" s="159">
        <v>3061926.2769999998</v>
      </c>
      <c r="V24" s="159">
        <v>2802384.03</v>
      </c>
      <c r="W24" s="152">
        <v>9.2614803800000006E-2</v>
      </c>
      <c r="X24" s="159">
        <v>5201055.3689999999</v>
      </c>
      <c r="Y24" s="152">
        <v>-3.7741144499999997E-2</v>
      </c>
      <c r="Z24" s="159">
        <v>699031.67</v>
      </c>
      <c r="AA24" s="159">
        <v>679181.43400000001</v>
      </c>
      <c r="AB24" s="152">
        <v>2.92267059E-2</v>
      </c>
      <c r="AC24" s="159">
        <v>4447645.0209999997</v>
      </c>
      <c r="AD24" s="159">
        <v>4556487.5259999996</v>
      </c>
      <c r="AE24" s="152">
        <v>-2.3887370299999999E-2</v>
      </c>
      <c r="AF24" s="159">
        <v>7836936.6600000001</v>
      </c>
      <c r="AG24" s="152">
        <v>-6.1838652600000002E-2</v>
      </c>
    </row>
    <row r="26" spans="1:33">
      <c r="A26" s="111" t="s">
        <v>103</v>
      </c>
      <c r="B26" s="179">
        <f>SUM(B24,J24,R24,Z24)</f>
        <v>1337197.3280000002</v>
      </c>
      <c r="C26" s="179">
        <f>SUM(C24,K24,S24,AA24)</f>
        <v>1247153.3020000001</v>
      </c>
      <c r="D26" s="180">
        <f>((B26/C26)-1)*100</f>
        <v>7.2199645268629542</v>
      </c>
      <c r="R26" s="180"/>
    </row>
    <row r="29" spans="1:33" ht="15">
      <c r="A29" s="145" t="s">
        <v>67</v>
      </c>
      <c r="B29" s="207" t="str">
        <f>A2</f>
        <v>Julio 2021</v>
      </c>
      <c r="C29" s="208"/>
    </row>
    <row r="30" spans="1:33" ht="15">
      <c r="A30" s="145" t="s">
        <v>69</v>
      </c>
      <c r="B30" s="222" t="s">
        <v>72</v>
      </c>
      <c r="C30" s="223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84">
        <v>139.4</v>
      </c>
      <c r="C35" s="147">
        <v>488.56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3.6175000000000002</v>
      </c>
      <c r="C41" s="147">
        <v>497.41500000000002</v>
      </c>
      <c r="D41" s="187"/>
    </row>
    <row r="42" spans="1:4">
      <c r="A42" s="144" t="s">
        <v>4</v>
      </c>
      <c r="B42" s="147">
        <v>137.311465</v>
      </c>
      <c r="C42" s="147">
        <v>167.90214499999999</v>
      </c>
      <c r="D42" s="187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5">
        <f>SUM(B33:B46)</f>
        <v>2035.9819650000002</v>
      </c>
      <c r="C47" s="185">
        <f>SUM(C33:C46)</f>
        <v>3077.4031449999998</v>
      </c>
    </row>
    <row r="48" spans="1:4" ht="15">
      <c r="A48"/>
      <c r="C48"/>
      <c r="D48" s="186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11.846863289872019</v>
      </c>
      <c r="D52" s="182"/>
      <c r="F52" s="114" t="s">
        <v>10</v>
      </c>
      <c r="G52" s="115">
        <f>C35</f>
        <v>488.56</v>
      </c>
      <c r="H52" s="116">
        <f>G52/$G$62*100</f>
        <v>15.875723035956019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6.8468189992046415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16.921734834972362</v>
      </c>
    </row>
    <row r="54" spans="1:8">
      <c r="A54" s="114" t="s">
        <v>9</v>
      </c>
      <c r="B54" s="115">
        <f t="shared" si="1"/>
        <v>603.1</v>
      </c>
      <c r="C54" s="116">
        <f t="shared" si="0"/>
        <v>29.622069859543181</v>
      </c>
      <c r="D54" s="182"/>
      <c r="F54" s="114" t="s">
        <v>8</v>
      </c>
      <c r="G54" s="115">
        <f>C37</f>
        <v>482.64</v>
      </c>
      <c r="H54" s="116">
        <f t="shared" si="2"/>
        <v>15.683353049930027</v>
      </c>
    </row>
    <row r="55" spans="1:8">
      <c r="A55" s="114" t="s">
        <v>25</v>
      </c>
      <c r="B55" s="115">
        <f>B38</f>
        <v>822.9</v>
      </c>
      <c r="C55" s="116">
        <f t="shared" si="0"/>
        <v>40.417843288705157</v>
      </c>
      <c r="D55" s="182"/>
      <c r="F55" s="114" t="s">
        <v>25</v>
      </c>
      <c r="G55" s="115">
        <f>C38</f>
        <v>865.4</v>
      </c>
      <c r="H55" s="116">
        <f t="shared" si="2"/>
        <v>28.121112484272842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1.2413063287488129</v>
      </c>
    </row>
    <row r="57" spans="1:8">
      <c r="A57" s="114" t="s">
        <v>23</v>
      </c>
      <c r="B57" s="115">
        <f>B44</f>
        <v>11.523</v>
      </c>
      <c r="C57" s="116">
        <f t="shared" si="0"/>
        <v>0.56596768527858743</v>
      </c>
      <c r="D57" s="182"/>
      <c r="F57" s="114" t="s">
        <v>12</v>
      </c>
      <c r="G57" s="116">
        <f>C33</f>
        <v>1.52</v>
      </c>
      <c r="H57" s="116">
        <f t="shared" si="2"/>
        <v>4.9392293709376839E-2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1.8369514388110013</v>
      </c>
      <c r="D58" s="182"/>
      <c r="F58" s="114" t="s">
        <v>6</v>
      </c>
      <c r="G58" s="115">
        <f>C40</f>
        <v>11.32</v>
      </c>
      <c r="H58" s="116">
        <f t="shared" si="2"/>
        <v>0.36784260841456962</v>
      </c>
    </row>
    <row r="59" spans="1:8">
      <c r="A59" s="114" t="s">
        <v>54</v>
      </c>
      <c r="B59" s="115">
        <f>B45</f>
        <v>37.4</v>
      </c>
      <c r="C59" s="116">
        <f t="shared" si="3"/>
        <v>1.8369514388110013</v>
      </c>
      <c r="D59" s="182"/>
      <c r="F59" s="114" t="s">
        <v>5</v>
      </c>
      <c r="G59" s="115">
        <f>C41</f>
        <v>497.41500000000002</v>
      </c>
      <c r="H59" s="116">
        <f t="shared" si="2"/>
        <v>16.163465641743212</v>
      </c>
    </row>
    <row r="60" spans="1:8">
      <c r="A60" s="114" t="s">
        <v>5</v>
      </c>
      <c r="B60" s="115">
        <f>B41</f>
        <v>3.6175000000000002</v>
      </c>
      <c r="C60" s="116">
        <f t="shared" si="3"/>
        <v>0.17767839117376463</v>
      </c>
      <c r="D60" s="182"/>
      <c r="F60" s="114" t="s">
        <v>4</v>
      </c>
      <c r="G60" s="115">
        <f>C42</f>
        <v>167.90214499999999</v>
      </c>
      <c r="H60" s="116">
        <f t="shared" si="2"/>
        <v>5.4559684607068277</v>
      </c>
    </row>
    <row r="61" spans="1:8">
      <c r="A61" s="114" t="s">
        <v>4</v>
      </c>
      <c r="B61" s="115">
        <f>B42</f>
        <v>137.311465</v>
      </c>
      <c r="C61" s="116">
        <f t="shared" si="3"/>
        <v>6.7442377860159484</v>
      </c>
      <c r="D61" s="182"/>
      <c r="F61" s="114" t="s">
        <v>22</v>
      </c>
      <c r="G61" s="115">
        <f>C43</f>
        <v>3.6960000000000002</v>
      </c>
      <c r="H61" s="116">
        <f t="shared" si="2"/>
        <v>0.12010126154595843</v>
      </c>
    </row>
    <row r="62" spans="1:8">
      <c r="A62" s="114" t="s">
        <v>22</v>
      </c>
      <c r="B62" s="115">
        <f>B43</f>
        <v>2.13</v>
      </c>
      <c r="C62" s="116">
        <f t="shared" si="3"/>
        <v>0.10461782258469071</v>
      </c>
      <c r="D62" s="182"/>
      <c r="F62" s="117" t="s">
        <v>20</v>
      </c>
      <c r="G62" s="118">
        <f>SUM(G52:G61)</f>
        <v>3077.4031449999998</v>
      </c>
      <c r="H62" s="119">
        <f>SUM(H52:H61)</f>
        <v>100</v>
      </c>
    </row>
    <row r="63" spans="1:8">
      <c r="A63" s="117" t="s">
        <v>20</v>
      </c>
      <c r="B63" s="118">
        <f>SUM(B52:B62)</f>
        <v>2035.9819650000002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1.5465162090500606</v>
      </c>
      <c r="C68" s="115">
        <f>IF(R9&lt;0,0,R9)</f>
        <v>9292.7189999999991</v>
      </c>
      <c r="D68" s="188">
        <f>(C68/SUM($C$68:$C$78))*100</f>
        <v>1.674359014123241</v>
      </c>
      <c r="F68" s="114" t="s">
        <v>10</v>
      </c>
      <c r="G68" s="116">
        <f>Z10/Z$24*100</f>
        <v>20.500632253185323</v>
      </c>
    </row>
    <row r="69" spans="1:7">
      <c r="A69" s="114" t="s">
        <v>10</v>
      </c>
      <c r="B69" s="116">
        <f t="shared" ref="B69:B78" si="4">C69/$C$80*100</f>
        <v>9.4487601885473467</v>
      </c>
      <c r="C69" s="115">
        <f>R10</f>
        <v>56775.786</v>
      </c>
      <c r="D69" s="188">
        <f t="shared" ref="D69:D78" si="5">(C69/SUM($C$68:$C$78))*100</f>
        <v>10.229842210125167</v>
      </c>
      <c r="F69" s="114" t="s">
        <v>9</v>
      </c>
      <c r="G69" s="116">
        <f>Z11/Z$24*100</f>
        <v>1.8881613761505254</v>
      </c>
    </row>
    <row r="70" spans="1:7">
      <c r="A70" s="114" t="s">
        <v>9</v>
      </c>
      <c r="B70" s="116">
        <f t="shared" si="4"/>
        <v>4.5515366623412286</v>
      </c>
      <c r="C70" s="115">
        <f>R11</f>
        <v>27349.31</v>
      </c>
      <c r="D70" s="188">
        <f t="shared" si="5"/>
        <v>4.9277895660625166</v>
      </c>
      <c r="F70" s="114" t="s">
        <v>8</v>
      </c>
      <c r="G70" s="116">
        <f>Z12/Z$24*100</f>
        <v>9.4608317245483313</v>
      </c>
    </row>
    <row r="71" spans="1:7">
      <c r="A71" s="114" t="s">
        <v>25</v>
      </c>
      <c r="B71" s="116">
        <f t="shared" si="4"/>
        <v>68.032536176784049</v>
      </c>
      <c r="C71" s="115">
        <f>R13</f>
        <v>408794.44900000002</v>
      </c>
      <c r="D71" s="188">
        <f>(C71/SUM($C$68:$C$78))*100</f>
        <v>73.656447656137416</v>
      </c>
      <c r="F71" s="114" t="s">
        <v>25</v>
      </c>
      <c r="G71" s="116">
        <f>Z13/Z$24*100</f>
        <v>40.714864606921168</v>
      </c>
    </row>
    <row r="72" spans="1:7">
      <c r="A72" s="114" t="s">
        <v>24</v>
      </c>
      <c r="B72" s="116">
        <f t="shared" si="4"/>
        <v>0.49513031371569771</v>
      </c>
      <c r="C72" s="115">
        <f>R14</f>
        <v>2975.143</v>
      </c>
      <c r="D72" s="189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0.61418853584874578</v>
      </c>
      <c r="C73" s="115">
        <f>R19</f>
        <v>3690.5410000000002</v>
      </c>
      <c r="D73" s="188">
        <f t="shared" si="5"/>
        <v>0.66496044810366062</v>
      </c>
      <c r="F73" s="114" t="s">
        <v>12</v>
      </c>
      <c r="G73" s="116">
        <f>Z8/Z$24*100</f>
        <v>4.1446763062966803E-2</v>
      </c>
    </row>
    <row r="74" spans="1:7">
      <c r="A74" s="114" t="s">
        <v>55</v>
      </c>
      <c r="B74" s="116">
        <f t="shared" si="4"/>
        <v>1.9093680413507372</v>
      </c>
      <c r="C74" s="115">
        <f>R21</f>
        <v>11473.026</v>
      </c>
      <c r="D74" s="188">
        <f t="shared" si="5"/>
        <v>2.0672060031483048</v>
      </c>
      <c r="F74" s="114" t="s">
        <v>6</v>
      </c>
      <c r="G74" s="116">
        <f>Z15/Z$24*100</f>
        <v>0.51188210113570387</v>
      </c>
    </row>
    <row r="75" spans="1:7">
      <c r="A75" s="114" t="s">
        <v>54</v>
      </c>
      <c r="B75" s="116">
        <f t="shared" si="4"/>
        <v>1.9093680413507372</v>
      </c>
      <c r="C75" s="115">
        <f>R20</f>
        <v>11473.026</v>
      </c>
      <c r="D75" s="188">
        <f t="shared" si="5"/>
        <v>2.0672060031483048</v>
      </c>
      <c r="F75" s="114" t="s">
        <v>5</v>
      </c>
      <c r="G75" s="116">
        <f>Z16/Z$24*100</f>
        <v>22.783329258887512</v>
      </c>
    </row>
    <row r="76" spans="1:7">
      <c r="A76" s="114" t="s">
        <v>5</v>
      </c>
      <c r="B76" s="116">
        <f t="shared" si="4"/>
        <v>1.7643599137653929E-2</v>
      </c>
      <c r="C76" s="115">
        <f>R16</f>
        <v>106.017</v>
      </c>
      <c r="D76" s="188">
        <f t="shared" si="5"/>
        <v>1.9102107746968744E-2</v>
      </c>
      <c r="F76" s="114" t="s">
        <v>4</v>
      </c>
      <c r="G76" s="116">
        <f>Z17/Z$24*100</f>
        <v>3.9938453718413069</v>
      </c>
    </row>
    <row r="77" spans="1:7">
      <c r="A77" s="114" t="s">
        <v>4</v>
      </c>
      <c r="B77" s="116">
        <f t="shared" si="4"/>
        <v>3.8236224095573625</v>
      </c>
      <c r="C77" s="115">
        <f>R17</f>
        <v>22975.413</v>
      </c>
      <c r="D77" s="188">
        <f t="shared" si="5"/>
        <v>4.1397022614968018</v>
      </c>
      <c r="F77" s="114" t="s">
        <v>22</v>
      </c>
      <c r="G77" s="116">
        <f>Z18/Z$24*100</f>
        <v>0.10500654426715746</v>
      </c>
    </row>
    <row r="78" spans="1:7">
      <c r="A78" s="114" t="s">
        <v>22</v>
      </c>
      <c r="B78" s="116">
        <f t="shared" si="4"/>
        <v>1.6001676152735532E-2</v>
      </c>
      <c r="C78" s="115">
        <f>R18</f>
        <v>96.150999999999996</v>
      </c>
      <c r="D78" s="188">
        <f t="shared" si="5"/>
        <v>1.7324455153218746E-2</v>
      </c>
      <c r="F78" s="117" t="s">
        <v>20</v>
      </c>
      <c r="G78" s="119">
        <f>SUM(G68:G77)</f>
        <v>99.999999999999972</v>
      </c>
    </row>
    <row r="79" spans="1:7">
      <c r="A79" s="114" t="s">
        <v>21</v>
      </c>
      <c r="B79" s="116">
        <f>C79/$C$80*100</f>
        <v>7.6353281461636726</v>
      </c>
      <c r="C79" s="115">
        <f>R23</f>
        <v>45879.220999999998</v>
      </c>
      <c r="D79" s="182"/>
    </row>
    <row r="80" spans="1:7">
      <c r="A80" s="117" t="s">
        <v>20</v>
      </c>
      <c r="B80" s="119">
        <f>SUM(B68:B79)</f>
        <v>100.00000000000001</v>
      </c>
      <c r="C80" s="118">
        <f>SUM(C68:C79)</f>
        <v>600880.80199999991</v>
      </c>
      <c r="D80" s="182"/>
    </row>
    <row r="85" spans="1:26" ht="15">
      <c r="A85" s="145"/>
      <c r="B85" s="145" t="s">
        <v>69</v>
      </c>
      <c r="C85" s="224" t="s">
        <v>13</v>
      </c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/>
      <c r="X85"/>
      <c r="Y85"/>
      <c r="Z85"/>
    </row>
    <row r="86" spans="1:26" ht="15">
      <c r="A86" s="145"/>
      <c r="B86" s="143" t="s">
        <v>67</v>
      </c>
      <c r="C86" s="190" t="s">
        <v>104</v>
      </c>
      <c r="D86" s="190" t="s">
        <v>105</v>
      </c>
      <c r="E86" s="190" t="s">
        <v>107</v>
      </c>
      <c r="F86" s="190" t="s">
        <v>109</v>
      </c>
      <c r="G86" s="190" t="s">
        <v>110</v>
      </c>
      <c r="H86" s="190" t="s">
        <v>111</v>
      </c>
      <c r="I86" s="190" t="s">
        <v>112</v>
      </c>
      <c r="J86" s="190" t="s">
        <v>113</v>
      </c>
      <c r="K86" s="190" t="s">
        <v>114</v>
      </c>
      <c r="L86" s="190" t="s">
        <v>115</v>
      </c>
      <c r="M86" s="190" t="s">
        <v>116</v>
      </c>
      <c r="N86" s="190" t="s">
        <v>117</v>
      </c>
      <c r="O86" s="190" t="s">
        <v>118</v>
      </c>
      <c r="P86" s="190" t="s">
        <v>119</v>
      </c>
      <c r="Q86" s="190" t="s">
        <v>120</v>
      </c>
      <c r="R86" s="190" t="s">
        <v>121</v>
      </c>
      <c r="S86" s="190" t="s">
        <v>122</v>
      </c>
      <c r="T86" s="190" t="s">
        <v>123</v>
      </c>
      <c r="U86" s="190" t="s">
        <v>124</v>
      </c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/>
      <c r="W87"/>
      <c r="X87"/>
      <c r="Y87"/>
      <c r="Z87"/>
    </row>
    <row r="88" spans="1:26" ht="15">
      <c r="A88" s="221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41.953423999999998</v>
      </c>
      <c r="U88" s="147">
        <v>9.292719</v>
      </c>
      <c r="V88"/>
      <c r="W88"/>
      <c r="X88"/>
      <c r="Y88"/>
      <c r="Z88"/>
    </row>
    <row r="89" spans="1:26" ht="15">
      <c r="A89" s="219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40.523569999999999</v>
      </c>
      <c r="U89" s="147">
        <v>56.775785999999997</v>
      </c>
      <c r="V89"/>
      <c r="W89"/>
      <c r="X89"/>
      <c r="Y89"/>
      <c r="Z89"/>
    </row>
    <row r="90" spans="1:26" ht="15">
      <c r="A90" s="219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18.862037999999998</v>
      </c>
      <c r="U90" s="147">
        <v>27.349309999999999</v>
      </c>
      <c r="V90"/>
      <c r="W90"/>
      <c r="X90"/>
      <c r="Y90"/>
      <c r="Z90"/>
    </row>
    <row r="91" spans="1:26" ht="15">
      <c r="A91" s="219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240.57820899999999</v>
      </c>
      <c r="U91" s="147">
        <v>408.79444899999999</v>
      </c>
      <c r="V91"/>
      <c r="W91"/>
      <c r="X91"/>
      <c r="Y91"/>
      <c r="Z91"/>
    </row>
    <row r="92" spans="1:26" ht="15">
      <c r="A92" s="219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0.95765299999999998</v>
      </c>
      <c r="U92" s="147">
        <v>2.9751430000000001</v>
      </c>
      <c r="V92"/>
      <c r="W92"/>
      <c r="X92"/>
      <c r="Y92"/>
      <c r="Z92"/>
    </row>
    <row r="93" spans="1:26" ht="15">
      <c r="A93" s="219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9.4216999999999995E-2</v>
      </c>
      <c r="U93" s="147">
        <v>0.106017</v>
      </c>
      <c r="V93"/>
      <c r="W93"/>
      <c r="X93"/>
      <c r="Y93"/>
      <c r="Z93"/>
    </row>
    <row r="94" spans="1:26" ht="15">
      <c r="A94" s="219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12.23429</v>
      </c>
      <c r="I94" s="147">
        <v>12.749435999999999</v>
      </c>
      <c r="J94" s="147">
        <v>12.079094</v>
      </c>
      <c r="K94" s="147">
        <v>10.538423999999999</v>
      </c>
      <c r="L94" s="147">
        <v>9.627974</v>
      </c>
      <c r="M94" s="147">
        <v>6.7521509999999996</v>
      </c>
      <c r="N94" s="147">
        <v>6.7092029999999996</v>
      </c>
      <c r="O94" s="147">
        <v>8.3992629999999995</v>
      </c>
      <c r="P94" s="147">
        <v>9.5055530000000008</v>
      </c>
      <c r="Q94" s="147">
        <v>13.274073</v>
      </c>
      <c r="R94" s="147">
        <v>14.709775</v>
      </c>
      <c r="S94" s="147">
        <v>22.187163999999999</v>
      </c>
      <c r="T94" s="147">
        <v>20.770949999999999</v>
      </c>
      <c r="U94" s="147">
        <v>22.975413</v>
      </c>
      <c r="V94"/>
      <c r="W94"/>
      <c r="X94"/>
      <c r="Y94"/>
      <c r="Z94"/>
    </row>
    <row r="95" spans="1:26" ht="15">
      <c r="A95" s="219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9.8640000000000005E-2</v>
      </c>
      <c r="U95" s="147">
        <v>9.6151E-2</v>
      </c>
      <c r="V95"/>
      <c r="W95"/>
      <c r="X95"/>
      <c r="Y95"/>
      <c r="Z95"/>
    </row>
    <row r="96" spans="1:26" ht="15">
      <c r="A96" s="219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3.062163</v>
      </c>
      <c r="U96" s="147">
        <v>3.6905410000000001</v>
      </c>
      <c r="V96"/>
      <c r="W96"/>
      <c r="X96"/>
      <c r="Y96"/>
      <c r="Z96"/>
    </row>
    <row r="97" spans="1:26" ht="15">
      <c r="A97" s="219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13.481942</v>
      </c>
      <c r="U97" s="147">
        <v>11.473026000000001</v>
      </c>
      <c r="V97"/>
      <c r="W97"/>
      <c r="X97"/>
      <c r="Y97"/>
      <c r="Z97"/>
    </row>
    <row r="98" spans="1:26" ht="15">
      <c r="A98" s="219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13.481942</v>
      </c>
      <c r="U98" s="147">
        <v>11.473026000000001</v>
      </c>
      <c r="V98"/>
      <c r="W98"/>
      <c r="X98"/>
      <c r="Y98"/>
      <c r="Z98"/>
    </row>
    <row r="99" spans="1:26" ht="15">
      <c r="A99" s="219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267.56127700000002</v>
      </c>
      <c r="I99" s="150">
        <v>360.58173399999998</v>
      </c>
      <c r="J99" s="150">
        <v>383.60213199999998</v>
      </c>
      <c r="K99" s="150">
        <v>287.18267500000002</v>
      </c>
      <c r="L99" s="150">
        <v>262.022019</v>
      </c>
      <c r="M99" s="150">
        <v>268.105144</v>
      </c>
      <c r="N99" s="150">
        <v>298.69348100000002</v>
      </c>
      <c r="O99" s="150">
        <v>332.48277100000001</v>
      </c>
      <c r="P99" s="150">
        <v>248.296424</v>
      </c>
      <c r="Q99" s="150">
        <v>282.09673800000002</v>
      </c>
      <c r="R99" s="150">
        <v>267.78365600000001</v>
      </c>
      <c r="S99" s="150">
        <v>268.82016599999997</v>
      </c>
      <c r="T99" s="150">
        <v>393.86474800000002</v>
      </c>
      <c r="U99" s="150">
        <v>555.00158099999999</v>
      </c>
      <c r="V99"/>
      <c r="W99"/>
      <c r="X99"/>
      <c r="Y99"/>
      <c r="Z99"/>
    </row>
    <row r="100" spans="1:26" ht="15">
      <c r="A100" s="219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65.429468</v>
      </c>
      <c r="U100" s="147">
        <v>45.879221000000001</v>
      </c>
      <c r="V100"/>
      <c r="W100"/>
      <c r="X100"/>
      <c r="Y100"/>
      <c r="Z100"/>
    </row>
    <row r="101" spans="1:26" ht="15">
      <c r="A101" s="220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360.85085600000002</v>
      </c>
      <c r="I101" s="150">
        <v>528.91342899999995</v>
      </c>
      <c r="J101" s="150">
        <v>566.31808699999999</v>
      </c>
      <c r="K101" s="150">
        <v>403.45763599999998</v>
      </c>
      <c r="L101" s="150">
        <v>367.96552500000001</v>
      </c>
      <c r="M101" s="150">
        <v>364.43276300000002</v>
      </c>
      <c r="N101" s="150">
        <v>436.95508100000001</v>
      </c>
      <c r="O101" s="150">
        <v>470.733183</v>
      </c>
      <c r="P101" s="150">
        <v>361.70843300000001</v>
      </c>
      <c r="Q101" s="150">
        <v>410.082311</v>
      </c>
      <c r="R101" s="150">
        <v>378.805453</v>
      </c>
      <c r="S101" s="150">
        <v>380.42187899999999</v>
      </c>
      <c r="T101" s="150">
        <v>459.29421600000001</v>
      </c>
      <c r="U101" s="150">
        <v>600.88080200000002</v>
      </c>
      <c r="V101"/>
      <c r="W101"/>
      <c r="X101"/>
      <c r="Y101"/>
      <c r="Z101"/>
    </row>
    <row r="102" spans="1:26" ht="15">
      <c r="A102" s="218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0.26783600000000002</v>
      </c>
      <c r="T102" s="147">
        <v>0.28217700000000001</v>
      </c>
      <c r="U102" s="147">
        <v>0.28972599999999998</v>
      </c>
      <c r="V102"/>
      <c r="W102"/>
      <c r="X102"/>
      <c r="Y102"/>
      <c r="Z102"/>
    </row>
    <row r="103" spans="1:26" ht="15">
      <c r="A103" s="219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126.338086</v>
      </c>
      <c r="T103" s="147">
        <v>133.47633400000001</v>
      </c>
      <c r="U103" s="147">
        <v>143.30591200000001</v>
      </c>
      <c r="V103"/>
      <c r="W103"/>
      <c r="X103"/>
      <c r="Y103"/>
      <c r="Z103"/>
    </row>
    <row r="104" spans="1:26" ht="15">
      <c r="A104" s="219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17.203126999999999</v>
      </c>
      <c r="T104" s="147">
        <v>15.24977</v>
      </c>
      <c r="U104" s="147">
        <v>13.198846</v>
      </c>
      <c r="V104"/>
      <c r="W104"/>
      <c r="X104"/>
      <c r="Y104"/>
      <c r="Z104"/>
    </row>
    <row r="105" spans="1:26" ht="15">
      <c r="A105" s="219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62.41677</v>
      </c>
      <c r="T105" s="147">
        <v>33.486941999999999</v>
      </c>
      <c r="U105" s="147">
        <v>66.134209999999996</v>
      </c>
      <c r="V105"/>
      <c r="W105"/>
      <c r="X105"/>
      <c r="Y105"/>
      <c r="Z105"/>
    </row>
    <row r="106" spans="1:26" ht="15">
      <c r="A106" s="219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236.28277700000001</v>
      </c>
      <c r="T106" s="147">
        <v>276.61590899999999</v>
      </c>
      <c r="U106" s="147">
        <v>284.60979800000001</v>
      </c>
      <c r="V106"/>
      <c r="W106"/>
      <c r="X106"/>
      <c r="Y106"/>
      <c r="Z106"/>
    </row>
    <row r="107" spans="1:26" ht="15">
      <c r="A107" s="219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3.227077</v>
      </c>
      <c r="T107" s="147">
        <v>3.0020419999999999</v>
      </c>
      <c r="U107" s="147">
        <v>3.5782180000000001</v>
      </c>
      <c r="V107"/>
      <c r="W107"/>
      <c r="X107"/>
      <c r="Y107"/>
      <c r="Z107"/>
    </row>
    <row r="108" spans="1:26" ht="15">
      <c r="A108" s="219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148.255436</v>
      </c>
      <c r="J108" s="147">
        <v>166.40398400000001</v>
      </c>
      <c r="K108" s="147">
        <v>92.772315000000006</v>
      </c>
      <c r="L108" s="147">
        <v>98.400535000000005</v>
      </c>
      <c r="M108" s="147">
        <v>54.804782000000003</v>
      </c>
      <c r="N108" s="147">
        <v>61.442059999999998</v>
      </c>
      <c r="O108" s="147">
        <v>81.105193</v>
      </c>
      <c r="P108" s="147">
        <v>58.505417000000001</v>
      </c>
      <c r="Q108" s="147">
        <v>83.922415999999998</v>
      </c>
      <c r="R108" s="147">
        <v>52.700510000000001</v>
      </c>
      <c r="S108" s="147">
        <v>162.33664099999999</v>
      </c>
      <c r="T108" s="147">
        <v>147.64304300000001</v>
      </c>
      <c r="U108" s="147">
        <v>159.262687</v>
      </c>
      <c r="V108"/>
      <c r="W108"/>
      <c r="X108"/>
      <c r="Y108"/>
      <c r="Z108"/>
    </row>
    <row r="109" spans="1:26" ht="15">
      <c r="A109" s="219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23.750204</v>
      </c>
      <c r="I109" s="147">
        <v>27.014696000000001</v>
      </c>
      <c r="J109" s="147">
        <v>26.667397999999999</v>
      </c>
      <c r="K109" s="147">
        <v>20.951909000000001</v>
      </c>
      <c r="L109" s="147">
        <v>19.852456</v>
      </c>
      <c r="M109" s="147">
        <v>15.933180999999999</v>
      </c>
      <c r="N109" s="147">
        <v>15.284926</v>
      </c>
      <c r="O109" s="147">
        <v>16.368086000000002</v>
      </c>
      <c r="P109" s="147">
        <v>17.767357000000001</v>
      </c>
      <c r="Q109" s="147">
        <v>24.228294999999999</v>
      </c>
      <c r="R109" s="147">
        <v>22.565013</v>
      </c>
      <c r="S109" s="147">
        <v>26.947476999999999</v>
      </c>
      <c r="T109" s="147">
        <v>24.792089000000001</v>
      </c>
      <c r="U109" s="147">
        <v>27.918244000000001</v>
      </c>
      <c r="V109"/>
      <c r="W109"/>
      <c r="X109"/>
      <c r="Y109"/>
      <c r="Z109"/>
    </row>
    <row r="110" spans="1:26" ht="15">
      <c r="A110" s="219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0.72395900000000002</v>
      </c>
      <c r="U110" s="147">
        <v>0.73402900000000004</v>
      </c>
      <c r="V110"/>
      <c r="W110"/>
      <c r="X110"/>
      <c r="Y110"/>
      <c r="Z110"/>
    </row>
    <row r="111" spans="1:26" ht="15">
      <c r="A111" s="219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602.69766400000003</v>
      </c>
      <c r="I111" s="150">
        <v>679.18143399999997</v>
      </c>
      <c r="J111" s="150">
        <v>712.49772800000005</v>
      </c>
      <c r="K111" s="150">
        <v>684.81878800000004</v>
      </c>
      <c r="L111" s="150">
        <v>674.65658399999995</v>
      </c>
      <c r="M111" s="150">
        <v>651.93384600000002</v>
      </c>
      <c r="N111" s="150">
        <v>665.38469299999997</v>
      </c>
      <c r="O111" s="150">
        <v>647.27388199999996</v>
      </c>
      <c r="P111" s="150">
        <v>575.89432999999997</v>
      </c>
      <c r="Q111" s="150">
        <v>639.36432500000001</v>
      </c>
      <c r="R111" s="150">
        <v>615.06619000000001</v>
      </c>
      <c r="S111" s="150">
        <v>635.74235899999996</v>
      </c>
      <c r="T111" s="150">
        <v>635.27226499999995</v>
      </c>
      <c r="U111" s="150">
        <v>699.03166999999996</v>
      </c>
      <c r="V111"/>
      <c r="W111"/>
      <c r="X111"/>
      <c r="Y111"/>
      <c r="Z111"/>
    </row>
    <row r="112" spans="1:26" ht="15">
      <c r="A112" s="220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602.69766400000003</v>
      </c>
      <c r="I112" s="150">
        <v>679.18143399999997</v>
      </c>
      <c r="J112" s="150">
        <v>712.49772800000005</v>
      </c>
      <c r="K112" s="150">
        <v>684.81878800000004</v>
      </c>
      <c r="L112" s="150">
        <v>674.65658399999995</v>
      </c>
      <c r="M112" s="150">
        <v>651.93384600000002</v>
      </c>
      <c r="N112" s="150">
        <v>665.38469299999997</v>
      </c>
      <c r="O112" s="150">
        <v>647.27388199999996</v>
      </c>
      <c r="P112" s="150">
        <v>575.89432999999997</v>
      </c>
      <c r="Q112" s="150">
        <v>639.36432500000001</v>
      </c>
      <c r="R112" s="150">
        <v>615.06619000000001</v>
      </c>
      <c r="S112" s="150">
        <v>635.74235899999996</v>
      </c>
      <c r="T112" s="150">
        <v>635.27226499999995</v>
      </c>
      <c r="U112" s="150">
        <v>699.03166999999996</v>
      </c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6" t="s">
        <v>73</v>
      </c>
      <c r="C117" s="120" t="str">
        <f>TEXT(EDATE(D117,-1),"mmmm aaaa")</f>
        <v>julio 2020</v>
      </c>
      <c r="D117" s="120" t="str">
        <f t="shared" ref="D117:M117" si="6">TEXT(EDATE(E117,-1),"mmmm aaaa")</f>
        <v>agosto 2020</v>
      </c>
      <c r="E117" s="120" t="str">
        <f t="shared" si="6"/>
        <v>septiembre 2020</v>
      </c>
      <c r="F117" s="120" t="str">
        <f t="shared" si="6"/>
        <v>octubre 2020</v>
      </c>
      <c r="G117" s="120" t="str">
        <f t="shared" si="6"/>
        <v>noviembre 2020</v>
      </c>
      <c r="H117" s="120" t="str">
        <f t="shared" si="6"/>
        <v>diciembre 2020</v>
      </c>
      <c r="I117" s="120" t="str">
        <f t="shared" si="6"/>
        <v>enero 2021</v>
      </c>
      <c r="J117" s="120" t="str">
        <f t="shared" si="6"/>
        <v>febrero 2021</v>
      </c>
      <c r="K117" s="120" t="str">
        <f t="shared" si="6"/>
        <v>marzo 2021</v>
      </c>
      <c r="L117" s="120" t="str">
        <f t="shared" si="6"/>
        <v>abril 2021</v>
      </c>
      <c r="M117" s="120" t="str">
        <f t="shared" si="6"/>
        <v>mayo 2021</v>
      </c>
      <c r="N117" s="120" t="str">
        <f>TEXT(EDATE(O117,-1),"mmmm aaaa")</f>
        <v>junio 2021</v>
      </c>
      <c r="O117" s="121" t="str">
        <f>A2</f>
        <v>Julio 2021</v>
      </c>
    </row>
    <row r="118" spans="1:19">
      <c r="B118" s="217"/>
      <c r="C118" s="131" t="str">
        <f>TEXT(EDATE($A$2,-12),"mmm")&amp;".-"&amp;TEXT(EDATE($A$2,-12),"aa")</f>
        <v>jul.-20</v>
      </c>
      <c r="D118" s="131" t="str">
        <f>TEXT(EDATE($A$2,-11),"mmm")&amp;".-"&amp;TEXT(EDATE($A$2,-11),"aa")</f>
        <v>ago.-20</v>
      </c>
      <c r="E118" s="131" t="str">
        <f>TEXT(EDATE($A$2,-10),"mmm")&amp;".-"&amp;TEXT(EDATE($A$2,-10),"aa")</f>
        <v>sep.-20</v>
      </c>
      <c r="F118" s="131" t="str">
        <f>TEXT(EDATE($A$2,-9),"mmm")&amp;".-"&amp;TEXT(EDATE($A$2,-9),"aa")</f>
        <v>oct.-20</v>
      </c>
      <c r="G118" s="131" t="str">
        <f>TEXT(EDATE($A$2,-8),"mmm")&amp;".-"&amp;TEXT(EDATE($A$2,-8),"aa")</f>
        <v>nov.-20</v>
      </c>
      <c r="H118" s="131" t="str">
        <f>TEXT(EDATE($A$2,-7),"mmm")&amp;".-"&amp;TEXT(EDATE($A$2,-7),"aa")</f>
        <v>dic.-20</v>
      </c>
      <c r="I118" s="131" t="str">
        <f>TEXT(EDATE($A$2,-6),"mmm")&amp;".-"&amp;TEXT(EDATE($A$2,-6),"aa")</f>
        <v>ene.-21</v>
      </c>
      <c r="J118" s="131" t="str">
        <f>TEXT(EDATE($A$2,-5),"mmm")&amp;".-"&amp;TEXT(EDATE($A$2,-5),"aa")</f>
        <v>feb.-21</v>
      </c>
      <c r="K118" s="131" t="str">
        <f>TEXT(EDATE($A$2,-4),"mmm")&amp;".-"&amp;TEXT(EDATE($A$2,-4),"aa")</f>
        <v>mar.-21</v>
      </c>
      <c r="L118" s="131" t="str">
        <f>TEXT(EDATE($A$2,-3),"mmm")&amp;".-"&amp;TEXT(EDATE($A$2,-3),"aa")</f>
        <v>abr.-21</v>
      </c>
      <c r="M118" s="131" t="str">
        <f>TEXT(EDATE($A$2,-2),"mmm")&amp;".-"&amp;TEXT(EDATE($A$2,-2),"aa")</f>
        <v>may.-21</v>
      </c>
      <c r="N118" s="131" t="str">
        <f>TEXT(EDATE($A$2,-1),"mmm")&amp;".-"&amp;TEXT(EDATE($A$2,-1),"aa")</f>
        <v>jun.-21</v>
      </c>
      <c r="O118" s="160" t="str">
        <f>TEXT($A$2,"mmm")&amp;".-"&amp;TEXT($A$2,"aa")</f>
        <v>jul.-21</v>
      </c>
    </row>
    <row r="119" spans="1:19">
      <c r="A119" s="213" t="s">
        <v>76</v>
      </c>
      <c r="B119" s="132" t="s">
        <v>11</v>
      </c>
      <c r="C119" s="133">
        <f>HLOOKUP(C$117,$86:$101,3,FALSE)</f>
        <v>-1.119569</v>
      </c>
      <c r="D119" s="133">
        <f t="shared" ref="D119:N119" si="7">HLOOKUP(D$117,$86:$101,3,FALSE)</f>
        <v>-1.1268309999999999</v>
      </c>
      <c r="E119" s="133">
        <f t="shared" si="7"/>
        <v>68.615076999999999</v>
      </c>
      <c r="F119" s="133">
        <f t="shared" si="7"/>
        <v>69.531803999999994</v>
      </c>
      <c r="G119" s="133">
        <f t="shared" si="7"/>
        <v>18.689830000000001</v>
      </c>
      <c r="H119" s="133">
        <f t="shared" si="7"/>
        <v>78.075038000000006</v>
      </c>
      <c r="I119" s="133">
        <f t="shared" si="7"/>
        <v>-0.63269200000000003</v>
      </c>
      <c r="J119" s="133">
        <f t="shared" si="7"/>
        <v>-0.606159</v>
      </c>
      <c r="K119" s="133">
        <f t="shared" si="7"/>
        <v>-0.651559</v>
      </c>
      <c r="L119" s="133">
        <f t="shared" si="7"/>
        <v>-0.59136100000000003</v>
      </c>
      <c r="M119" s="133">
        <f t="shared" si="7"/>
        <v>-1.103416</v>
      </c>
      <c r="N119" s="133">
        <f t="shared" si="7"/>
        <v>41.953423999999998</v>
      </c>
      <c r="O119" s="134">
        <f>HLOOKUP(O$117,$86:$101,3,FALSE)</f>
        <v>9.292719</v>
      </c>
    </row>
    <row r="120" spans="1:19">
      <c r="A120" s="214"/>
      <c r="B120" s="122" t="s">
        <v>10</v>
      </c>
      <c r="C120" s="116">
        <f>HLOOKUP(C$117,$86:$101,4,FALSE)</f>
        <v>32.575167</v>
      </c>
      <c r="D120" s="116">
        <f t="shared" ref="D120:O120" si="8">HLOOKUP(D$117,$86:$101,4,FALSE)</f>
        <v>48.229475999999998</v>
      </c>
      <c r="E120" s="116">
        <f t="shared" si="8"/>
        <v>25.914612999999999</v>
      </c>
      <c r="F120" s="116">
        <f t="shared" si="8"/>
        <v>16.883790999999999</v>
      </c>
      <c r="G120" s="116">
        <f t="shared" si="8"/>
        <v>18.608250999999999</v>
      </c>
      <c r="H120" s="116">
        <f t="shared" si="8"/>
        <v>22.109065000000001</v>
      </c>
      <c r="I120" s="116">
        <f t="shared" si="8"/>
        <v>27.196950000000001</v>
      </c>
      <c r="J120" s="116">
        <f t="shared" si="8"/>
        <v>18.940327</v>
      </c>
      <c r="K120" s="116">
        <f t="shared" si="8"/>
        <v>14.240815</v>
      </c>
      <c r="L120" s="116">
        <f t="shared" si="8"/>
        <v>18.127455999999999</v>
      </c>
      <c r="M120" s="116">
        <f t="shared" si="8"/>
        <v>20.114982000000001</v>
      </c>
      <c r="N120" s="116">
        <f t="shared" si="8"/>
        <v>40.523569999999999</v>
      </c>
      <c r="O120" s="134">
        <f t="shared" si="8"/>
        <v>56.775785999999997</v>
      </c>
    </row>
    <row r="121" spans="1:19">
      <c r="A121" s="214"/>
      <c r="B121" s="122" t="s">
        <v>9</v>
      </c>
      <c r="C121" s="116">
        <f>HLOOKUP(C$117,$86:$101,5,FALSE)</f>
        <v>33.700387999999997</v>
      </c>
      <c r="D121" s="116">
        <f t="shared" ref="D121:O121" si="9">HLOOKUP(D$117,$86:$101,5,FALSE)</f>
        <v>37.145944999999998</v>
      </c>
      <c r="E121" s="116">
        <f t="shared" si="9"/>
        <v>15.232726</v>
      </c>
      <c r="F121" s="116">
        <f t="shared" si="9"/>
        <v>8.9368049999999997</v>
      </c>
      <c r="G121" s="116">
        <f t="shared" si="9"/>
        <v>10.474845</v>
      </c>
      <c r="H121" s="116">
        <f t="shared" si="9"/>
        <v>11.540551000000001</v>
      </c>
      <c r="I121" s="116">
        <f t="shared" si="9"/>
        <v>18.542487000000001</v>
      </c>
      <c r="J121" s="116">
        <f t="shared" si="9"/>
        <v>7.6657599999999997</v>
      </c>
      <c r="K121" s="116">
        <f t="shared" si="9"/>
        <v>13.131584999999999</v>
      </c>
      <c r="L121" s="116">
        <f t="shared" si="9"/>
        <v>8.3072920000000003</v>
      </c>
      <c r="M121" s="116">
        <f t="shared" si="9"/>
        <v>7.7047420000000004</v>
      </c>
      <c r="N121" s="116">
        <f t="shared" si="9"/>
        <v>18.862037999999998</v>
      </c>
      <c r="O121" s="134">
        <f t="shared" si="9"/>
        <v>27.349309999999999</v>
      </c>
    </row>
    <row r="122" spans="1:19" ht="14.25">
      <c r="A122" s="214"/>
      <c r="B122" s="122" t="s">
        <v>74</v>
      </c>
      <c r="C122" s="116">
        <f>HLOOKUP(C$117,$86:$101,6,FALSE)</f>
        <v>258.52646600000003</v>
      </c>
      <c r="D122" s="116">
        <f t="shared" ref="D122:O122" si="10">HLOOKUP(D$117,$86:$101,6,FALSE)</f>
        <v>260.88770599999998</v>
      </c>
      <c r="E122" s="116">
        <f t="shared" si="10"/>
        <v>135.30891800000001</v>
      </c>
      <c r="F122" s="116">
        <f t="shared" si="10"/>
        <v>141.13588200000001</v>
      </c>
      <c r="G122" s="116">
        <f t="shared" si="10"/>
        <v>185.01504499999999</v>
      </c>
      <c r="H122" s="116">
        <f t="shared" si="10"/>
        <v>159.35356899999999</v>
      </c>
      <c r="I122" s="116">
        <f t="shared" si="10"/>
        <v>260.27204499999999</v>
      </c>
      <c r="J122" s="116">
        <f t="shared" si="10"/>
        <v>187.465463</v>
      </c>
      <c r="K122" s="116">
        <f t="shared" si="10"/>
        <v>217.47864799999999</v>
      </c>
      <c r="L122" s="116">
        <f t="shared" si="10"/>
        <v>208.53059300000001</v>
      </c>
      <c r="M122" s="116">
        <f t="shared" si="10"/>
        <v>203.81251599999999</v>
      </c>
      <c r="N122" s="116">
        <f t="shared" si="10"/>
        <v>240.57820899999999</v>
      </c>
      <c r="O122" s="134">
        <f t="shared" si="10"/>
        <v>408.79444899999999</v>
      </c>
    </row>
    <row r="123" spans="1:19">
      <c r="A123" s="214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2.5841270000000001</v>
      </c>
      <c r="E123" s="116">
        <f t="shared" si="11"/>
        <v>0.57992999999999995</v>
      </c>
      <c r="F123" s="116">
        <f t="shared" si="11"/>
        <v>0.73975400000000002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-2.3999999999999998E-3</v>
      </c>
      <c r="L123" s="116">
        <f t="shared" si="11"/>
        <v>0</v>
      </c>
      <c r="M123" s="116">
        <f t="shared" si="11"/>
        <v>1.1771689999999999</v>
      </c>
      <c r="N123" s="116">
        <f t="shared" si="11"/>
        <v>0.95765299999999998</v>
      </c>
      <c r="O123" s="134">
        <f t="shared" si="11"/>
        <v>2.9751430000000001</v>
      </c>
    </row>
    <row r="124" spans="1:19">
      <c r="A124" s="214"/>
      <c r="B124" s="122" t="s">
        <v>5</v>
      </c>
      <c r="C124" s="116">
        <f>HLOOKUP(C$117,$86:$102,8,FALSE)</f>
        <v>0.22134999999999999</v>
      </c>
      <c r="D124" s="116">
        <f t="shared" ref="D124:O124" si="12">HLOOKUP(D$117,$86:$102,8,FALSE)</f>
        <v>0.20865500000000001</v>
      </c>
      <c r="E124" s="116">
        <f t="shared" si="12"/>
        <v>0.189775</v>
      </c>
      <c r="F124" s="116">
        <f t="shared" si="12"/>
        <v>0.32789299999999999</v>
      </c>
      <c r="G124" s="116">
        <f t="shared" si="12"/>
        <v>0.34884399999999999</v>
      </c>
      <c r="H124" s="116">
        <f t="shared" si="12"/>
        <v>0.28645399999999999</v>
      </c>
      <c r="I124" s="116">
        <f t="shared" si="12"/>
        <v>0.27796300000000002</v>
      </c>
      <c r="J124" s="116">
        <f t="shared" si="12"/>
        <v>0.15948300000000001</v>
      </c>
      <c r="K124" s="116">
        <f t="shared" si="12"/>
        <v>0.30611500000000003</v>
      </c>
      <c r="L124" s="116">
        <f t="shared" si="12"/>
        <v>0.29466900000000001</v>
      </c>
      <c r="M124" s="116">
        <f t="shared" si="12"/>
        <v>0.189554</v>
      </c>
      <c r="N124" s="116">
        <f t="shared" si="12"/>
        <v>9.4216999999999995E-2</v>
      </c>
      <c r="O124" s="134">
        <f t="shared" si="12"/>
        <v>0.106017</v>
      </c>
    </row>
    <row r="125" spans="1:19">
      <c r="A125" s="214"/>
      <c r="B125" s="122" t="s">
        <v>4</v>
      </c>
      <c r="C125" s="116">
        <f>HLOOKUP(C$117,$86:$102,9,FALSE)</f>
        <v>12.749435999999999</v>
      </c>
      <c r="D125" s="116">
        <f t="shared" ref="D125:O125" si="13">HLOOKUP(D$117,$86:$102,9,FALSE)</f>
        <v>12.079094</v>
      </c>
      <c r="E125" s="116">
        <f t="shared" si="13"/>
        <v>10.538423999999999</v>
      </c>
      <c r="F125" s="116">
        <f t="shared" si="13"/>
        <v>9.627974</v>
      </c>
      <c r="G125" s="116">
        <f t="shared" si="13"/>
        <v>6.7521509999999996</v>
      </c>
      <c r="H125" s="116">
        <f t="shared" si="13"/>
        <v>6.7092029999999996</v>
      </c>
      <c r="I125" s="116">
        <f t="shared" si="13"/>
        <v>8.3992629999999995</v>
      </c>
      <c r="J125" s="116">
        <f t="shared" si="13"/>
        <v>9.5055530000000008</v>
      </c>
      <c r="K125" s="116">
        <f t="shared" si="13"/>
        <v>13.274073</v>
      </c>
      <c r="L125" s="116">
        <f t="shared" si="13"/>
        <v>14.709775</v>
      </c>
      <c r="M125" s="116">
        <f t="shared" si="13"/>
        <v>22.187163999999999</v>
      </c>
      <c r="N125" s="116">
        <f t="shared" si="13"/>
        <v>20.770949999999999</v>
      </c>
      <c r="O125" s="134">
        <f t="shared" si="13"/>
        <v>22.975413</v>
      </c>
    </row>
    <row r="126" spans="1:19">
      <c r="A126" s="214"/>
      <c r="B126" s="123" t="s">
        <v>22</v>
      </c>
      <c r="C126" s="116">
        <f>HLOOKUP(C$117,$86:$102,10,FALSE)</f>
        <v>5.2531000000000001E-2</v>
      </c>
      <c r="D126" s="116">
        <f t="shared" ref="D126:O126" si="14">HLOOKUP(D$117,$86:$102,10,FALSE)</f>
        <v>5.0303E-2</v>
      </c>
      <c r="E126" s="116">
        <f t="shared" si="14"/>
        <v>2.81E-3</v>
      </c>
      <c r="F126" s="116">
        <f t="shared" si="14"/>
        <v>2.7317000000000001E-2</v>
      </c>
      <c r="G126" s="116">
        <f t="shared" si="14"/>
        <v>6.9145999999999999E-2</v>
      </c>
      <c r="H126" s="116">
        <f t="shared" si="14"/>
        <v>3.986E-2</v>
      </c>
      <c r="I126" s="116">
        <f t="shared" si="14"/>
        <v>5.7757000000000003E-2</v>
      </c>
      <c r="J126" s="116">
        <f t="shared" si="14"/>
        <v>7.6887999999999998E-2</v>
      </c>
      <c r="K126" s="116">
        <f t="shared" si="14"/>
        <v>0.13778699999999999</v>
      </c>
      <c r="L126" s="116">
        <f t="shared" si="14"/>
        <v>0.10574</v>
      </c>
      <c r="M126" s="116">
        <f t="shared" si="14"/>
        <v>0.118546</v>
      </c>
      <c r="N126" s="116">
        <f t="shared" si="14"/>
        <v>9.8640000000000005E-2</v>
      </c>
      <c r="O126" s="134">
        <f t="shared" si="14"/>
        <v>9.6151E-2</v>
      </c>
    </row>
    <row r="127" spans="1:19">
      <c r="A127" s="214"/>
      <c r="B127" s="123" t="s">
        <v>23</v>
      </c>
      <c r="C127" s="116">
        <f>HLOOKUP(C$117,$86:$102,11,FALSE)</f>
        <v>2.3319320000000001</v>
      </c>
      <c r="D127" s="116">
        <f t="shared" ref="D127:O127" si="15">HLOOKUP(D$117,$86:$102,11,FALSE)</f>
        <v>1.922374</v>
      </c>
      <c r="E127" s="116">
        <f t="shared" si="15"/>
        <v>2.047806</v>
      </c>
      <c r="F127" s="116">
        <f t="shared" si="15"/>
        <v>2.3333560000000002</v>
      </c>
      <c r="G127" s="116">
        <f t="shared" si="15"/>
        <v>2.521382</v>
      </c>
      <c r="H127" s="116">
        <f t="shared" si="15"/>
        <v>3.3692880000000001</v>
      </c>
      <c r="I127" s="116">
        <f t="shared" si="15"/>
        <v>4.0659429999999999</v>
      </c>
      <c r="J127" s="116">
        <f t="shared" si="15"/>
        <v>3.641699</v>
      </c>
      <c r="K127" s="116">
        <f t="shared" si="15"/>
        <v>3.9954990000000001</v>
      </c>
      <c r="L127" s="116">
        <f t="shared" si="15"/>
        <v>3.2208809999999999</v>
      </c>
      <c r="M127" s="116">
        <f t="shared" si="15"/>
        <v>2.5715810000000001</v>
      </c>
      <c r="N127" s="116">
        <f t="shared" si="15"/>
        <v>3.062163</v>
      </c>
      <c r="O127" s="134">
        <f t="shared" si="15"/>
        <v>3.6905410000000001</v>
      </c>
    </row>
    <row r="128" spans="1:19">
      <c r="A128" s="214"/>
      <c r="B128" s="122" t="s">
        <v>55</v>
      </c>
      <c r="C128" s="116">
        <f t="shared" ref="C128:O128" si="16">HLOOKUP(C$117,$86:$102,13,FALSE)</f>
        <v>10.772016499999999</v>
      </c>
      <c r="D128" s="116">
        <f t="shared" si="16"/>
        <v>10.810641499999999</v>
      </c>
      <c r="E128" s="116">
        <f t="shared" si="16"/>
        <v>14.376298</v>
      </c>
      <c r="F128" s="116">
        <f t="shared" si="16"/>
        <v>6.2387214999999996</v>
      </c>
      <c r="G128" s="116">
        <f t="shared" si="16"/>
        <v>12.812825</v>
      </c>
      <c r="H128" s="116">
        <f t="shared" si="16"/>
        <v>8.6052265000000006</v>
      </c>
      <c r="I128" s="116">
        <f t="shared" si="16"/>
        <v>7.1515275000000003</v>
      </c>
      <c r="J128" s="116">
        <f t="shared" si="16"/>
        <v>10.723705000000001</v>
      </c>
      <c r="K128" s="116">
        <f t="shared" si="16"/>
        <v>10.093087499999999</v>
      </c>
      <c r="L128" s="116">
        <f t="shared" si="16"/>
        <v>7.5393055000000002</v>
      </c>
      <c r="M128" s="116">
        <f t="shared" si="16"/>
        <v>6.0236640000000001</v>
      </c>
      <c r="N128" s="116">
        <f t="shared" si="16"/>
        <v>13.481942</v>
      </c>
      <c r="O128" s="134">
        <f t="shared" si="16"/>
        <v>11.473026000000001</v>
      </c>
    </row>
    <row r="129" spans="1:15">
      <c r="A129" s="214"/>
      <c r="B129" s="122" t="s">
        <v>54</v>
      </c>
      <c r="C129" s="116">
        <f>HLOOKUP(C$117,$86:$102,12,FALSE)</f>
        <v>10.772016499999999</v>
      </c>
      <c r="D129" s="116">
        <f t="shared" ref="D129:O129" si="17">HLOOKUP(D$117,$86:$102,12,FALSE)</f>
        <v>10.810641499999999</v>
      </c>
      <c r="E129" s="116">
        <f t="shared" si="17"/>
        <v>14.376298</v>
      </c>
      <c r="F129" s="116">
        <f t="shared" si="17"/>
        <v>6.2387214999999996</v>
      </c>
      <c r="G129" s="116">
        <f t="shared" si="17"/>
        <v>12.812825</v>
      </c>
      <c r="H129" s="116">
        <f t="shared" si="17"/>
        <v>8.6052265000000006</v>
      </c>
      <c r="I129" s="116">
        <f t="shared" si="17"/>
        <v>7.1515275000000003</v>
      </c>
      <c r="J129" s="116">
        <f t="shared" si="17"/>
        <v>10.723705000000001</v>
      </c>
      <c r="K129" s="116">
        <f t="shared" si="17"/>
        <v>10.093087499999999</v>
      </c>
      <c r="L129" s="116">
        <f t="shared" si="17"/>
        <v>7.5393055000000002</v>
      </c>
      <c r="M129" s="116">
        <f t="shared" si="17"/>
        <v>6.0236640000000001</v>
      </c>
      <c r="N129" s="116">
        <f t="shared" si="17"/>
        <v>13.481942</v>
      </c>
      <c r="O129" s="134">
        <f t="shared" si="17"/>
        <v>11.473026000000001</v>
      </c>
    </row>
    <row r="130" spans="1:15">
      <c r="A130" s="214"/>
      <c r="B130" s="124" t="s">
        <v>2</v>
      </c>
      <c r="C130" s="125">
        <f>HLOOKUP(C$117,$86:$102,14,FALSE)</f>
        <v>360.58173399999998</v>
      </c>
      <c r="D130" s="125">
        <f t="shared" ref="D130:O130" si="18">HLOOKUP(D$117,$86:$102,14,FALSE)</f>
        <v>383.60213199999998</v>
      </c>
      <c r="E130" s="125">
        <f t="shared" si="18"/>
        <v>287.18267500000002</v>
      </c>
      <c r="F130" s="125">
        <f t="shared" si="18"/>
        <v>262.022019</v>
      </c>
      <c r="G130" s="125">
        <f t="shared" si="18"/>
        <v>268.105144</v>
      </c>
      <c r="H130" s="125">
        <f t="shared" si="18"/>
        <v>298.69348100000002</v>
      </c>
      <c r="I130" s="125">
        <f t="shared" si="18"/>
        <v>332.48277100000001</v>
      </c>
      <c r="J130" s="125">
        <f t="shared" si="18"/>
        <v>248.296424</v>
      </c>
      <c r="K130" s="125">
        <f t="shared" si="18"/>
        <v>282.09673800000002</v>
      </c>
      <c r="L130" s="125">
        <f t="shared" si="18"/>
        <v>267.78365600000001</v>
      </c>
      <c r="M130" s="125">
        <f t="shared" si="18"/>
        <v>268.82016599999997</v>
      </c>
      <c r="N130" s="125">
        <f t="shared" si="18"/>
        <v>393.86474800000002</v>
      </c>
      <c r="O130" s="135">
        <f t="shared" si="18"/>
        <v>555.00158099999999</v>
      </c>
    </row>
    <row r="131" spans="1:15">
      <c r="A131" s="214"/>
      <c r="B131" s="122" t="s">
        <v>21</v>
      </c>
      <c r="C131" s="126">
        <f>HLOOKUP(C$117,$86:$102,15,FALSE)</f>
        <v>168.331695</v>
      </c>
      <c r="D131" s="126">
        <f t="shared" ref="D131:O131" si="19">HLOOKUP(D$117,$86:$102,15,FALSE)</f>
        <v>182.71595500000001</v>
      </c>
      <c r="E131" s="126">
        <f t="shared" si="19"/>
        <v>116.274961</v>
      </c>
      <c r="F131" s="126">
        <f t="shared" si="19"/>
        <v>105.943506</v>
      </c>
      <c r="G131" s="126">
        <f t="shared" si="19"/>
        <v>96.327618999999999</v>
      </c>
      <c r="H131" s="126">
        <f t="shared" si="19"/>
        <v>138.26159999999999</v>
      </c>
      <c r="I131" s="126">
        <f t="shared" si="19"/>
        <v>138.25041200000001</v>
      </c>
      <c r="J131" s="126">
        <f t="shared" si="19"/>
        <v>113.412009</v>
      </c>
      <c r="K131" s="126">
        <f t="shared" si="19"/>
        <v>127.985573</v>
      </c>
      <c r="L131" s="126">
        <f t="shared" si="19"/>
        <v>111.02179700000001</v>
      </c>
      <c r="M131" s="126">
        <f t="shared" si="19"/>
        <v>111.601713</v>
      </c>
      <c r="N131" s="126">
        <f t="shared" si="19"/>
        <v>65.429468</v>
      </c>
      <c r="O131" s="126">
        <f t="shared" si="19"/>
        <v>45.879221000000001</v>
      </c>
    </row>
    <row r="132" spans="1:15">
      <c r="A132" s="214"/>
      <c r="B132" s="127" t="s">
        <v>1</v>
      </c>
      <c r="C132" s="128">
        <f>HLOOKUP(C$117,$86:$102,16,FALSE)</f>
        <v>528.91342899999995</v>
      </c>
      <c r="D132" s="128">
        <f t="shared" ref="D132:O132" si="20">HLOOKUP(D$117,$86:$102,16,FALSE)</f>
        <v>566.31808699999999</v>
      </c>
      <c r="E132" s="128">
        <f t="shared" si="20"/>
        <v>403.45763599999998</v>
      </c>
      <c r="F132" s="128">
        <f t="shared" si="20"/>
        <v>367.96552500000001</v>
      </c>
      <c r="G132" s="128">
        <f t="shared" si="20"/>
        <v>364.43276300000002</v>
      </c>
      <c r="H132" s="128">
        <f t="shared" si="20"/>
        <v>436.95508100000001</v>
      </c>
      <c r="I132" s="128">
        <f t="shared" si="20"/>
        <v>470.733183</v>
      </c>
      <c r="J132" s="128">
        <f t="shared" si="20"/>
        <v>361.70843300000001</v>
      </c>
      <c r="K132" s="128">
        <f t="shared" si="20"/>
        <v>410.082311</v>
      </c>
      <c r="L132" s="128">
        <f t="shared" si="20"/>
        <v>378.805453</v>
      </c>
      <c r="M132" s="128">
        <f t="shared" si="20"/>
        <v>380.42187899999999</v>
      </c>
      <c r="N132" s="128">
        <f t="shared" si="20"/>
        <v>459.29421600000001</v>
      </c>
      <c r="O132" s="128">
        <f t="shared" si="20"/>
        <v>600.88080200000002</v>
      </c>
    </row>
    <row r="133" spans="1:15" ht="14.25">
      <c r="A133" s="215"/>
      <c r="B133" s="137" t="s">
        <v>75</v>
      </c>
      <c r="C133" s="138">
        <f>C120+C121+C123</f>
        <v>66.275554999999997</v>
      </c>
      <c r="D133" s="138">
        <f>D120+D121+D123</f>
        <v>87.959547999999984</v>
      </c>
      <c r="E133" s="138">
        <f t="shared" ref="E133:O133" si="21">E120+E121+E123</f>
        <v>41.727269</v>
      </c>
      <c r="F133" s="138">
        <f t="shared" si="21"/>
        <v>26.56035</v>
      </c>
      <c r="G133" s="138">
        <f t="shared" si="21"/>
        <v>29.083095999999998</v>
      </c>
      <c r="H133" s="138">
        <f t="shared" si="21"/>
        <v>33.649616000000002</v>
      </c>
      <c r="I133" s="138">
        <f t="shared" si="21"/>
        <v>45.739437000000002</v>
      </c>
      <c r="J133" s="138">
        <f t="shared" si="21"/>
        <v>26.606086999999999</v>
      </c>
      <c r="K133" s="138">
        <f t="shared" si="21"/>
        <v>27.369999999999997</v>
      </c>
      <c r="L133" s="138">
        <f t="shared" si="21"/>
        <v>26.434747999999999</v>
      </c>
      <c r="M133" s="138">
        <f t="shared" si="21"/>
        <v>28.996893</v>
      </c>
      <c r="N133" s="138">
        <f t="shared" si="21"/>
        <v>60.343260999999998</v>
      </c>
      <c r="O133" s="138">
        <f t="shared" si="21"/>
        <v>87.100239000000002</v>
      </c>
    </row>
    <row r="134" spans="1:15">
      <c r="A134" s="213" t="s">
        <v>77</v>
      </c>
      <c r="B134" s="139" t="s">
        <v>73</v>
      </c>
      <c r="C134" s="120" t="str">
        <f>TEXT(EDATE($A$2,-12),"mmm")&amp;".-"&amp;TEXT(EDATE($A$2,-12),"aa")</f>
        <v>jul.-20</v>
      </c>
      <c r="D134" s="120" t="str">
        <f>TEXT(EDATE($A$2,-11),"mmm")&amp;".-"&amp;TEXT(EDATE($A$2,-11),"aa")</f>
        <v>ago.-20</v>
      </c>
      <c r="E134" s="120" t="str">
        <f>TEXT(EDATE($A$2,-10),"mmm")&amp;".-"&amp;TEXT(EDATE($A$2,-10),"aa")</f>
        <v>sep.-20</v>
      </c>
      <c r="F134" s="120" t="str">
        <f>TEXT(EDATE($A$2,-9),"mmm")&amp;".-"&amp;TEXT(EDATE($A$2,-9),"aa")</f>
        <v>oct.-20</v>
      </c>
      <c r="G134" s="120" t="str">
        <f>TEXT(EDATE($A$2,-8),"mmm")&amp;".-"&amp;TEXT(EDATE($A$2,-8),"aa")</f>
        <v>nov.-20</v>
      </c>
      <c r="H134" s="120" t="str">
        <f>TEXT(EDATE($A$2,-7),"mmm")&amp;".-"&amp;TEXT(EDATE($A$2,-7),"aa")</f>
        <v>dic.-20</v>
      </c>
      <c r="I134" s="120" t="str">
        <f>TEXT(EDATE($A$2,-6),"mmm")&amp;".-"&amp;TEXT(EDATE($A$2,-6),"aa")</f>
        <v>ene.-21</v>
      </c>
      <c r="J134" s="120" t="str">
        <f>TEXT(EDATE($A$2,-5),"mmm")&amp;".-"&amp;TEXT(EDATE($A$2,-5),"aa")</f>
        <v>feb.-21</v>
      </c>
      <c r="K134" s="120" t="str">
        <f>TEXT(EDATE($A$2,-4),"mmm")&amp;".-"&amp;TEXT(EDATE($A$2,-4),"aa")</f>
        <v>mar.-21</v>
      </c>
      <c r="L134" s="120" t="str">
        <f>TEXT(EDATE($A$2,-3),"mmm")&amp;".-"&amp;TEXT(EDATE($A$2,-3),"aa")</f>
        <v>abr.-21</v>
      </c>
      <c r="M134" s="120" t="str">
        <f>TEXT(EDATE($A$2,-2),"mmm")&amp;".-"&amp;TEXT(EDATE($A$2,-2),"aa")</f>
        <v>may.-21</v>
      </c>
      <c r="N134" s="120" t="str">
        <f>TEXT(EDATE($A$2,-1),"mmm")&amp;".-"&amp;TEXT(EDATE($A$2,-1),"aa")</f>
        <v>jun.-21</v>
      </c>
      <c r="O134" s="121" t="str">
        <f>TEXT($A$2,"mmm")&amp;".-"&amp;TEXT($A$2,"aa")</f>
        <v>jul.-21</v>
      </c>
    </row>
    <row r="135" spans="1:15" ht="15" customHeight="1">
      <c r="A135" s="214"/>
      <c r="B135" s="122" t="s">
        <v>12</v>
      </c>
      <c r="C135" s="116">
        <f>HLOOKUP(C$117,$86:$115,17,FALSE)</f>
        <v>0.29030099999999998</v>
      </c>
      <c r="D135" s="116">
        <f t="shared" ref="D135:O135" si="22">HLOOKUP(D$117,$86:$115,17,FALSE)</f>
        <v>0.29413899999999998</v>
      </c>
      <c r="E135" s="116">
        <f t="shared" si="22"/>
        <v>0.29165099999999999</v>
      </c>
      <c r="F135" s="116">
        <f t="shared" si="22"/>
        <v>0.299369</v>
      </c>
      <c r="G135" s="116">
        <f t="shared" si="22"/>
        <v>0.28527599999999997</v>
      </c>
      <c r="H135" s="116">
        <f t="shared" si="22"/>
        <v>0.29958099999999999</v>
      </c>
      <c r="I135" s="116">
        <f t="shared" si="22"/>
        <v>0.29762100000000002</v>
      </c>
      <c r="J135" s="116">
        <f t="shared" si="22"/>
        <v>0.25852999999999998</v>
      </c>
      <c r="K135" s="116">
        <f t="shared" si="22"/>
        <v>0.28226499999999999</v>
      </c>
      <c r="L135" s="116">
        <f t="shared" si="22"/>
        <v>0.13780600000000001</v>
      </c>
      <c r="M135" s="116">
        <f t="shared" si="22"/>
        <v>0.26783600000000002</v>
      </c>
      <c r="N135" s="116">
        <f t="shared" si="22"/>
        <v>0.28217700000000001</v>
      </c>
      <c r="O135" s="161">
        <f t="shared" si="22"/>
        <v>0.28972599999999998</v>
      </c>
    </row>
    <row r="136" spans="1:15">
      <c r="A136" s="214"/>
      <c r="B136" s="122" t="s">
        <v>10</v>
      </c>
      <c r="C136" s="116">
        <f>HLOOKUP(C$117,$86:$115,18,FALSE)</f>
        <v>140.50550799999999</v>
      </c>
      <c r="D136" s="116">
        <f t="shared" ref="D136:O136" si="23">HLOOKUP(D$117,$86:$115,18,FALSE)</f>
        <v>152.65874500000001</v>
      </c>
      <c r="E136" s="116">
        <f t="shared" si="23"/>
        <v>151.15563499999999</v>
      </c>
      <c r="F136" s="116">
        <f t="shared" si="23"/>
        <v>140.27562900000001</v>
      </c>
      <c r="G136" s="116">
        <f t="shared" si="23"/>
        <v>147.43617</v>
      </c>
      <c r="H136" s="116">
        <f t="shared" si="23"/>
        <v>146.45553799999999</v>
      </c>
      <c r="I136" s="116">
        <f t="shared" si="23"/>
        <v>141.05104299999999</v>
      </c>
      <c r="J136" s="116">
        <f t="shared" si="23"/>
        <v>112.359525</v>
      </c>
      <c r="K136" s="116">
        <f t="shared" si="23"/>
        <v>128.50312700000001</v>
      </c>
      <c r="L136" s="116">
        <f t="shared" si="23"/>
        <v>140.012246</v>
      </c>
      <c r="M136" s="116">
        <f t="shared" si="23"/>
        <v>126.338086</v>
      </c>
      <c r="N136" s="116">
        <f t="shared" si="23"/>
        <v>133.47633400000001</v>
      </c>
      <c r="O136" s="134">
        <f t="shared" si="23"/>
        <v>143.30591200000001</v>
      </c>
    </row>
    <row r="137" spans="1:15">
      <c r="A137" s="214"/>
      <c r="B137" s="122" t="s">
        <v>9</v>
      </c>
      <c r="C137" s="116">
        <f>HLOOKUP(C$117,$86:$115,19,FALSE)</f>
        <v>15.04932</v>
      </c>
      <c r="D137" s="116">
        <f t="shared" ref="D137:O137" si="24">HLOOKUP(D$117,$86:$115,19,FALSE)</f>
        <v>17.289342999999999</v>
      </c>
      <c r="E137" s="116">
        <f t="shared" si="24"/>
        <v>21.610752000000002</v>
      </c>
      <c r="F137" s="116">
        <f t="shared" si="24"/>
        <v>32.544134999999997</v>
      </c>
      <c r="G137" s="116">
        <f t="shared" si="24"/>
        <v>18.073917999999999</v>
      </c>
      <c r="H137" s="116">
        <f t="shared" si="24"/>
        <v>16.086774999999999</v>
      </c>
      <c r="I137" s="116">
        <f t="shared" si="24"/>
        <v>10.157844000000001</v>
      </c>
      <c r="J137" s="116">
        <f t="shared" si="24"/>
        <v>10.355027</v>
      </c>
      <c r="K137" s="116">
        <f t="shared" si="24"/>
        <v>14.760713000000001</v>
      </c>
      <c r="L137" s="116">
        <f t="shared" si="24"/>
        <v>16.229486999999999</v>
      </c>
      <c r="M137" s="116">
        <f t="shared" si="24"/>
        <v>17.203126999999999</v>
      </c>
      <c r="N137" s="116">
        <f t="shared" si="24"/>
        <v>15.24977</v>
      </c>
      <c r="O137" s="134">
        <f t="shared" si="24"/>
        <v>13.198846</v>
      </c>
    </row>
    <row r="138" spans="1:15">
      <c r="A138" s="214"/>
      <c r="B138" s="122" t="s">
        <v>8</v>
      </c>
      <c r="C138" s="116">
        <f>HLOOKUP(C$117,$86:$115,20,FALSE)</f>
        <v>114.33213000000001</v>
      </c>
      <c r="D138" s="116">
        <f t="shared" ref="D138:O138" si="25">HLOOKUP(D$117,$86:$115,20,FALSE)</f>
        <v>127.712586</v>
      </c>
      <c r="E138" s="116">
        <f t="shared" si="25"/>
        <v>98.396693999999997</v>
      </c>
      <c r="F138" s="116">
        <f t="shared" si="25"/>
        <v>128.21449999999999</v>
      </c>
      <c r="G138" s="116">
        <f t="shared" si="25"/>
        <v>121.615077</v>
      </c>
      <c r="H138" s="116">
        <f t="shared" si="25"/>
        <v>109.732229</v>
      </c>
      <c r="I138" s="116">
        <f t="shared" si="25"/>
        <v>116.282053</v>
      </c>
      <c r="J138" s="116">
        <f t="shared" si="25"/>
        <v>104.960847</v>
      </c>
      <c r="K138" s="116">
        <f t="shared" si="25"/>
        <v>100.758259</v>
      </c>
      <c r="L138" s="116">
        <f t="shared" si="25"/>
        <v>70.652975999999995</v>
      </c>
      <c r="M138" s="116">
        <f t="shared" si="25"/>
        <v>62.41677</v>
      </c>
      <c r="N138" s="116">
        <f t="shared" si="25"/>
        <v>33.486941999999999</v>
      </c>
      <c r="O138" s="134">
        <f t="shared" si="25"/>
        <v>66.134209999999996</v>
      </c>
    </row>
    <row r="139" spans="1:15" ht="14.25">
      <c r="A139" s="214"/>
      <c r="B139" s="122" t="s">
        <v>74</v>
      </c>
      <c r="C139" s="116">
        <f>HLOOKUP(C$117,$86:$115,21,FALSE)</f>
        <v>229.38776100000001</v>
      </c>
      <c r="D139" s="116">
        <f t="shared" ref="D139:O139" si="26">HLOOKUP(D$117,$86:$115,21,FALSE)</f>
        <v>217.204814</v>
      </c>
      <c r="E139" s="116">
        <f t="shared" si="26"/>
        <v>297.07835399999999</v>
      </c>
      <c r="F139" s="116">
        <f t="shared" si="26"/>
        <v>252.83072899999999</v>
      </c>
      <c r="G139" s="116">
        <f t="shared" si="26"/>
        <v>292.22053799999998</v>
      </c>
      <c r="H139" s="116">
        <f t="shared" si="26"/>
        <v>314.37255499999998</v>
      </c>
      <c r="I139" s="116">
        <f t="shared" si="26"/>
        <v>280.66014899999999</v>
      </c>
      <c r="J139" s="116">
        <f t="shared" si="26"/>
        <v>269.76136200000002</v>
      </c>
      <c r="K139" s="116">
        <f t="shared" si="26"/>
        <v>284.19602200000003</v>
      </c>
      <c r="L139" s="116">
        <f t="shared" si="26"/>
        <v>311.21022299999998</v>
      </c>
      <c r="M139" s="116">
        <f t="shared" si="26"/>
        <v>236.28277700000001</v>
      </c>
      <c r="N139" s="116">
        <f t="shared" si="26"/>
        <v>276.61590899999999</v>
      </c>
      <c r="O139" s="134">
        <f t="shared" si="26"/>
        <v>284.60979800000001</v>
      </c>
    </row>
    <row r="140" spans="1:15">
      <c r="A140" s="214"/>
      <c r="B140" s="122" t="s">
        <v>6</v>
      </c>
      <c r="C140" s="116">
        <f>HLOOKUP(C$117,$86:$115,22,FALSE)</f>
        <v>3.6524220000000001</v>
      </c>
      <c r="D140" s="116">
        <f t="shared" ref="D140:O140" si="27">HLOOKUP(D$117,$86:$115,22,FALSE)</f>
        <v>3.5757409999999998</v>
      </c>
      <c r="E140" s="116">
        <f t="shared" si="27"/>
        <v>1.9118980000000001</v>
      </c>
      <c r="F140" s="116">
        <f t="shared" si="27"/>
        <v>1.456723</v>
      </c>
      <c r="G140" s="116">
        <f t="shared" si="27"/>
        <v>0.821801</v>
      </c>
      <c r="H140" s="116">
        <f t="shared" si="27"/>
        <v>0.95850199999999997</v>
      </c>
      <c r="I140" s="116">
        <f t="shared" si="27"/>
        <v>0.99317</v>
      </c>
      <c r="J140" s="116">
        <f t="shared" si="27"/>
        <v>1.226483</v>
      </c>
      <c r="K140" s="116">
        <f t="shared" si="27"/>
        <v>1.921443</v>
      </c>
      <c r="L140" s="116">
        <f t="shared" si="27"/>
        <v>0.83590799999999998</v>
      </c>
      <c r="M140" s="116">
        <f t="shared" si="27"/>
        <v>3.227077</v>
      </c>
      <c r="N140" s="116">
        <f t="shared" si="27"/>
        <v>3.0020419999999999</v>
      </c>
      <c r="O140" s="134">
        <f t="shared" si="27"/>
        <v>3.5782180000000001</v>
      </c>
    </row>
    <row r="141" spans="1:15">
      <c r="A141" s="214"/>
      <c r="B141" s="122" t="s">
        <v>5</v>
      </c>
      <c r="C141" s="116">
        <f>HLOOKUP(C$117,$86:$115,23,FALSE)</f>
        <v>148.255436</v>
      </c>
      <c r="D141" s="116">
        <f t="shared" ref="D141:O141" si="28">HLOOKUP(D$117,$86:$115,23,FALSE)</f>
        <v>166.40398400000001</v>
      </c>
      <c r="E141" s="116">
        <f t="shared" si="28"/>
        <v>92.772315000000006</v>
      </c>
      <c r="F141" s="116">
        <f t="shared" si="28"/>
        <v>98.400535000000005</v>
      </c>
      <c r="G141" s="116">
        <f t="shared" si="28"/>
        <v>54.804782000000003</v>
      </c>
      <c r="H141" s="116">
        <f t="shared" si="28"/>
        <v>61.442059999999998</v>
      </c>
      <c r="I141" s="116">
        <f t="shared" si="28"/>
        <v>81.105193</v>
      </c>
      <c r="J141" s="116">
        <f t="shared" si="28"/>
        <v>58.505417000000001</v>
      </c>
      <c r="K141" s="116">
        <f t="shared" si="28"/>
        <v>83.922415999999998</v>
      </c>
      <c r="L141" s="116">
        <f t="shared" si="28"/>
        <v>52.700510000000001</v>
      </c>
      <c r="M141" s="116">
        <f t="shared" si="28"/>
        <v>162.33664099999999</v>
      </c>
      <c r="N141" s="116">
        <f t="shared" si="28"/>
        <v>147.64304300000001</v>
      </c>
      <c r="O141" s="134">
        <f t="shared" si="28"/>
        <v>159.262687</v>
      </c>
    </row>
    <row r="142" spans="1:15">
      <c r="A142" s="214"/>
      <c r="B142" s="122" t="s">
        <v>4</v>
      </c>
      <c r="C142" s="116">
        <f>HLOOKUP(C$117,$86:$115,24,FALSE)</f>
        <v>27.014696000000001</v>
      </c>
      <c r="D142" s="116">
        <f t="shared" ref="D142:O142" si="29">HLOOKUP(D$117,$86:$115,24,FALSE)</f>
        <v>26.667397999999999</v>
      </c>
      <c r="E142" s="116">
        <f t="shared" si="29"/>
        <v>20.951909000000001</v>
      </c>
      <c r="F142" s="116">
        <f t="shared" si="29"/>
        <v>19.852456</v>
      </c>
      <c r="G142" s="116">
        <f t="shared" si="29"/>
        <v>15.933180999999999</v>
      </c>
      <c r="H142" s="116">
        <f t="shared" si="29"/>
        <v>15.284926</v>
      </c>
      <c r="I142" s="116">
        <f t="shared" si="29"/>
        <v>16.368086000000002</v>
      </c>
      <c r="J142" s="116">
        <f t="shared" si="29"/>
        <v>17.767357000000001</v>
      </c>
      <c r="K142" s="116">
        <f t="shared" si="29"/>
        <v>24.228294999999999</v>
      </c>
      <c r="L142" s="116">
        <f t="shared" si="29"/>
        <v>22.565013</v>
      </c>
      <c r="M142" s="116">
        <f t="shared" si="29"/>
        <v>26.947476999999999</v>
      </c>
      <c r="N142" s="116">
        <f t="shared" si="29"/>
        <v>24.792089000000001</v>
      </c>
      <c r="O142" s="134">
        <f t="shared" si="29"/>
        <v>27.918244000000001</v>
      </c>
    </row>
    <row r="143" spans="1:15">
      <c r="A143" s="214"/>
      <c r="B143" s="122" t="s">
        <v>22</v>
      </c>
      <c r="C143" s="116">
        <f>HLOOKUP(C$117,$86:$115,25,FALSE)</f>
        <v>0.69386000000000003</v>
      </c>
      <c r="D143" s="116">
        <f t="shared" ref="D143:O143" si="30">HLOOKUP(D$117,$86:$115,25,FALSE)</f>
        <v>0.69097799999999998</v>
      </c>
      <c r="E143" s="116">
        <f t="shared" si="30"/>
        <v>0.64958000000000005</v>
      </c>
      <c r="F143" s="116">
        <f t="shared" si="30"/>
        <v>0.78250799999999998</v>
      </c>
      <c r="G143" s="116">
        <f t="shared" si="30"/>
        <v>0.74310299999999996</v>
      </c>
      <c r="H143" s="116">
        <f t="shared" si="30"/>
        <v>0.75252699999999995</v>
      </c>
      <c r="I143" s="116">
        <f t="shared" si="30"/>
        <v>0.35872300000000001</v>
      </c>
      <c r="J143" s="116">
        <f t="shared" si="30"/>
        <v>0.69978200000000002</v>
      </c>
      <c r="K143" s="116">
        <f t="shared" si="30"/>
        <v>0.79178499999999996</v>
      </c>
      <c r="L143" s="116">
        <f t="shared" si="30"/>
        <v>0.72202100000000002</v>
      </c>
      <c r="M143" s="116">
        <f t="shared" si="30"/>
        <v>0.72256799999999999</v>
      </c>
      <c r="N143" s="116">
        <f t="shared" si="30"/>
        <v>0.72395900000000002</v>
      </c>
      <c r="O143" s="134">
        <f t="shared" si="30"/>
        <v>0.73402900000000004</v>
      </c>
    </row>
    <row r="144" spans="1:15">
      <c r="A144" s="214"/>
      <c r="B144" s="127" t="s">
        <v>1</v>
      </c>
      <c r="C144" s="128">
        <f>HLOOKUP(C$117,$86:$115,26,FALSE)</f>
        <v>679.18143399999997</v>
      </c>
      <c r="D144" s="128">
        <f t="shared" ref="D144:O144" si="31">HLOOKUP(D$117,$86:$115,26,FALSE)</f>
        <v>712.49772800000005</v>
      </c>
      <c r="E144" s="128">
        <f t="shared" si="31"/>
        <v>684.81878800000004</v>
      </c>
      <c r="F144" s="128">
        <f t="shared" si="31"/>
        <v>674.65658399999995</v>
      </c>
      <c r="G144" s="128">
        <f t="shared" si="31"/>
        <v>651.93384600000002</v>
      </c>
      <c r="H144" s="128">
        <f t="shared" si="31"/>
        <v>665.38469299999997</v>
      </c>
      <c r="I144" s="128">
        <f t="shared" si="31"/>
        <v>647.27388199999996</v>
      </c>
      <c r="J144" s="128">
        <f t="shared" si="31"/>
        <v>575.89432999999997</v>
      </c>
      <c r="K144" s="128">
        <f t="shared" si="31"/>
        <v>639.36432500000001</v>
      </c>
      <c r="L144" s="128">
        <f t="shared" si="31"/>
        <v>615.06619000000001</v>
      </c>
      <c r="M144" s="128">
        <f t="shared" si="31"/>
        <v>635.74235899999996</v>
      </c>
      <c r="N144" s="128">
        <f t="shared" si="31"/>
        <v>635.27226499999995</v>
      </c>
      <c r="O144" s="136">
        <f t="shared" si="31"/>
        <v>699.03166999999996</v>
      </c>
    </row>
    <row r="145" spans="1:26">
      <c r="A145" s="214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5"/>
      <c r="B146" s="137" t="s">
        <v>75</v>
      </c>
      <c r="C146" s="141">
        <f>SUM(C136:C138)</f>
        <v>269.88695799999999</v>
      </c>
      <c r="D146" s="141">
        <f t="shared" ref="D146:O146" si="32">SUM(D136:D138)</f>
        <v>297.66067400000003</v>
      </c>
      <c r="E146" s="141">
        <f t="shared" si="32"/>
        <v>271.16308099999998</v>
      </c>
      <c r="F146" s="141">
        <f t="shared" si="32"/>
        <v>301.03426400000001</v>
      </c>
      <c r="G146" s="141">
        <f t="shared" si="32"/>
        <v>287.12516499999998</v>
      </c>
      <c r="H146" s="141">
        <f t="shared" si="32"/>
        <v>272.274542</v>
      </c>
      <c r="I146" s="141">
        <f t="shared" si="32"/>
        <v>267.49094000000002</v>
      </c>
      <c r="J146" s="141">
        <f t="shared" si="32"/>
        <v>227.675399</v>
      </c>
      <c r="K146" s="141">
        <f t="shared" si="32"/>
        <v>244.02209900000003</v>
      </c>
      <c r="L146" s="141">
        <f t="shared" si="32"/>
        <v>226.89470900000001</v>
      </c>
      <c r="M146" s="141">
        <f t="shared" si="32"/>
        <v>205.95798300000001</v>
      </c>
      <c r="N146" s="141">
        <f t="shared" si="32"/>
        <v>182.21304600000002</v>
      </c>
      <c r="O146" s="142">
        <f t="shared" si="32"/>
        <v>222.63896800000001</v>
      </c>
    </row>
    <row r="149" spans="1:26" ht="15">
      <c r="A149" s="174"/>
      <c r="B149" s="174" t="s">
        <v>68</v>
      </c>
      <c r="C149" s="212" t="s">
        <v>57</v>
      </c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1" t="s">
        <v>90</v>
      </c>
      <c r="D150" s="191" t="s">
        <v>91</v>
      </c>
      <c r="E150" s="191" t="s">
        <v>92</v>
      </c>
      <c r="F150" s="191" t="s">
        <v>93</v>
      </c>
      <c r="G150" s="191" t="s">
        <v>94</v>
      </c>
      <c r="H150" s="191" t="s">
        <v>95</v>
      </c>
      <c r="I150" s="191" t="s">
        <v>96</v>
      </c>
      <c r="J150" s="191" t="s">
        <v>97</v>
      </c>
      <c r="K150" s="191" t="s">
        <v>98</v>
      </c>
      <c r="L150" s="191" t="s">
        <v>99</v>
      </c>
      <c r="M150" s="191" t="s">
        <v>100</v>
      </c>
      <c r="N150" s="19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124</v>
      </c>
      <c r="B152" s="176" t="s">
        <v>125</v>
      </c>
      <c r="C152" s="183">
        <v>0.13607</v>
      </c>
      <c r="D152" s="183">
        <v>-9.4699999999999993E-3</v>
      </c>
      <c r="E152" s="183">
        <v>-2.027E-2</v>
      </c>
      <c r="F152" s="183">
        <v>0.16581000000000001</v>
      </c>
      <c r="G152" s="183">
        <v>9.2609999999999998E-2</v>
      </c>
      <c r="H152" s="183">
        <v>-4.3600000000000002E-3</v>
      </c>
      <c r="I152" s="183">
        <v>1.196E-2</v>
      </c>
      <c r="J152" s="183">
        <v>8.5010000000000002E-2</v>
      </c>
      <c r="K152" s="183">
        <v>-3.7740000000000003E-2</v>
      </c>
      <c r="L152" s="183">
        <v>-3.3400000000000001E-3</v>
      </c>
      <c r="M152" s="183">
        <v>-1.2999999999999999E-4</v>
      </c>
      <c r="N152" s="183">
        <v>-3.4270000000000002E-2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12" t="s">
        <v>58</v>
      </c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1" t="s">
        <v>90</v>
      </c>
      <c r="D156" s="191" t="s">
        <v>91</v>
      </c>
      <c r="E156" s="191" t="s">
        <v>92</v>
      </c>
      <c r="F156" s="191" t="s">
        <v>93</v>
      </c>
      <c r="G156" s="191" t="s">
        <v>94</v>
      </c>
      <c r="H156" s="191" t="s">
        <v>95</v>
      </c>
      <c r="I156" s="191" t="s">
        <v>96</v>
      </c>
      <c r="J156" s="191" t="s">
        <v>97</v>
      </c>
      <c r="K156" s="191" t="s">
        <v>98</v>
      </c>
      <c r="L156" s="191" t="s">
        <v>99</v>
      </c>
      <c r="M156" s="191" t="s">
        <v>100</v>
      </c>
      <c r="N156" s="19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124</v>
      </c>
      <c r="B158" s="176" t="s">
        <v>125</v>
      </c>
      <c r="C158" s="183">
        <v>2.9229999999999999E-2</v>
      </c>
      <c r="D158" s="183">
        <v>-3.96E-3</v>
      </c>
      <c r="E158" s="183">
        <v>-5.5799999999999999E-3</v>
      </c>
      <c r="F158" s="183">
        <v>3.8769999999999999E-2</v>
      </c>
      <c r="G158" s="183">
        <v>-2.3890000000000002E-2</v>
      </c>
      <c r="H158" s="183">
        <v>9.0000000000000006E-5</v>
      </c>
      <c r="I158" s="183">
        <v>-3.2000000000000003E-4</v>
      </c>
      <c r="J158" s="183">
        <v>-2.366E-2</v>
      </c>
      <c r="K158" s="183">
        <v>-6.1839999999999999E-2</v>
      </c>
      <c r="L158" s="183">
        <v>-1.1E-4</v>
      </c>
      <c r="M158" s="183">
        <v>7.7999999999999999E-4</v>
      </c>
      <c r="N158" s="183">
        <v>-6.2509999999999996E-2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V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4" t="s">
        <v>47</v>
      </c>
      <c r="E7" s="77"/>
      <c r="F7" s="195" t="str">
        <f>K3</f>
        <v>Julio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600.88080200000002</v>
      </c>
      <c r="G9" s="164">
        <f>Dat_01!T24*100</f>
        <v>13.606645070000001</v>
      </c>
      <c r="H9" s="83">
        <f>Dat_01!U24/1000</f>
        <v>3061.9262769999996</v>
      </c>
      <c r="I9" s="164">
        <f>Dat_01!W24*100</f>
        <v>9.2614803800000001</v>
      </c>
      <c r="J9" s="83">
        <f>Dat_01!X24/1000</f>
        <v>5201.0553689999997</v>
      </c>
      <c r="K9" s="164">
        <f>Dat_01!Y24*100</f>
        <v>-3.7741144499999999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-0.94699999999999995</v>
      </c>
      <c r="H12" s="103"/>
      <c r="I12" s="103">
        <f>Dat_01!H152*100</f>
        <v>-0.436</v>
      </c>
      <c r="J12" s="103"/>
      <c r="K12" s="103">
        <f>Dat_01!L152*100</f>
        <v>-0.33400000000000002</v>
      </c>
    </row>
    <row r="13" spans="3:12">
      <c r="E13" s="85" t="s">
        <v>42</v>
      </c>
      <c r="F13" s="84"/>
      <c r="G13" s="103">
        <f>Dat_01!E152*100</f>
        <v>-2.0270000000000001</v>
      </c>
      <c r="H13" s="103"/>
      <c r="I13" s="103">
        <f>Dat_01!I152*100</f>
        <v>1.196</v>
      </c>
      <c r="J13" s="103"/>
      <c r="K13" s="103">
        <f>Dat_01!M152*100</f>
        <v>-1.2999999999999999E-2</v>
      </c>
    </row>
    <row r="14" spans="3:12">
      <c r="E14" s="86" t="s">
        <v>43</v>
      </c>
      <c r="F14" s="87"/>
      <c r="G14" s="104">
        <f>Dat_01!F152*100</f>
        <v>16.581000000000003</v>
      </c>
      <c r="H14" s="104"/>
      <c r="I14" s="104">
        <f>Dat_01!J152*100</f>
        <v>8.5009999999999994</v>
      </c>
      <c r="J14" s="104"/>
      <c r="K14" s="104">
        <f>Dat_01!N152*100</f>
        <v>-3.427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4" t="s">
        <v>48</v>
      </c>
      <c r="E7" s="77"/>
      <c r="F7" s="195" t="str">
        <f>K3</f>
        <v>Julio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699.03167000000008</v>
      </c>
      <c r="G9" s="164">
        <f>Dat_01!AB24*100</f>
        <v>2.9226705900000001</v>
      </c>
      <c r="H9" s="83">
        <f>Dat_01!AC24/1000</f>
        <v>4447.6450209999994</v>
      </c>
      <c r="I9" s="164">
        <f>Dat_01!AE24*100</f>
        <v>-2.3887370299999997</v>
      </c>
      <c r="J9" s="83">
        <f>Dat_01!AF24/1000</f>
        <v>7836.9366600000003</v>
      </c>
      <c r="K9" s="164">
        <f>Dat_01!AG24*100</f>
        <v>-6.1838652600000001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-0.39600000000000002</v>
      </c>
      <c r="H12" s="103"/>
      <c r="I12" s="103">
        <f>Dat_01!H158*100</f>
        <v>9.0000000000000011E-3</v>
      </c>
      <c r="J12" s="103"/>
      <c r="K12" s="103">
        <f>Dat_01!L158*100</f>
        <v>-1.1000000000000001E-2</v>
      </c>
    </row>
    <row r="13" spans="3:12">
      <c r="E13" s="85" t="s">
        <v>42</v>
      </c>
      <c r="F13" s="84"/>
      <c r="G13" s="103">
        <f>Dat_01!E158*100</f>
        <v>-0.55799999999999994</v>
      </c>
      <c r="H13" s="103"/>
      <c r="I13" s="103">
        <f>Dat_01!I158*100</f>
        <v>-3.2000000000000001E-2</v>
      </c>
      <c r="J13" s="103"/>
      <c r="K13" s="103">
        <f>Dat_01!M158*100</f>
        <v>7.8E-2</v>
      </c>
    </row>
    <row r="14" spans="3:12">
      <c r="E14" s="86" t="s">
        <v>43</v>
      </c>
      <c r="F14" s="87"/>
      <c r="G14" s="104">
        <f>Dat_01!F158*100</f>
        <v>3.8769999999999998</v>
      </c>
      <c r="H14" s="104"/>
      <c r="I14" s="104">
        <f>Dat_01!J158*100</f>
        <v>-2.3660000000000001</v>
      </c>
      <c r="J14" s="104"/>
      <c r="K14" s="104">
        <f>Dat_01!N158*100</f>
        <v>-6.2509999999999994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130</v>
      </c>
    </row>
    <row r="2" spans="1:2">
      <c r="A2" t="s">
        <v>126</v>
      </c>
    </row>
    <row r="3" spans="1:2">
      <c r="A3" t="s">
        <v>127</v>
      </c>
    </row>
    <row r="4" spans="1:2">
      <c r="A4" t="s">
        <v>128</v>
      </c>
    </row>
    <row r="5" spans="1:2">
      <c r="A5" t="s">
        <v>129</v>
      </c>
    </row>
    <row r="6" spans="1:2">
      <c r="A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R27" sqref="R27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Julio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8" t="s">
        <v>18</v>
      </c>
      <c r="E7" s="31"/>
      <c r="F7" s="199" t="s">
        <v>17</v>
      </c>
      <c r="G7" s="200"/>
      <c r="H7" s="199" t="s">
        <v>16</v>
      </c>
      <c r="I7" s="200"/>
      <c r="J7" s="199" t="s">
        <v>15</v>
      </c>
      <c r="K7" s="200"/>
      <c r="L7" s="199" t="s">
        <v>14</v>
      </c>
      <c r="M7" s="200"/>
    </row>
    <row r="8" spans="3:23" s="28" customFormat="1" ht="12.75" customHeight="1">
      <c r="C8" s="198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0.28972599999999998</v>
      </c>
      <c r="I9" s="17">
        <f>IF(Dat_01!AB8*100=-100,"-",Dat_01!AB8*100)</f>
        <v>-0.19807027999999999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3.5782179999999997</v>
      </c>
      <c r="I10" s="17">
        <f>Dat_01!AB15*100</f>
        <v>-2.0316381800000003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0.106017</v>
      </c>
      <c r="G11" s="17">
        <f>Dat_01!T16*100</f>
        <v>-52.104359609999996</v>
      </c>
      <c r="H11" s="153">
        <f>Dat_01!Z16/1000</f>
        <v>159.262687</v>
      </c>
      <c r="I11" s="17">
        <f>Dat_01!AB16*100</f>
        <v>7.4245176400000004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22.975413</v>
      </c>
      <c r="G12" s="17">
        <f>Dat_01!T17*100</f>
        <v>80.207289169999996</v>
      </c>
      <c r="H12" s="153">
        <f>Dat_01!Z17/1000</f>
        <v>27.918243999999998</v>
      </c>
      <c r="I12" s="17">
        <f>Dat_01!AB17*100</f>
        <v>3.3446535899999996</v>
      </c>
      <c r="J12" s="153" t="s">
        <v>3</v>
      </c>
      <c r="K12" s="17" t="s">
        <v>3</v>
      </c>
      <c r="L12" s="153">
        <f>Dat_01!J17/1000</f>
        <v>0</v>
      </c>
      <c r="M12" s="17" t="str">
        <f>IF(Dat_01!L17*100=-100,"-",Dat_01!L17*100)</f>
        <v>-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9.6151E-2</v>
      </c>
      <c r="G13" s="17">
        <f>Dat_01!T18*100</f>
        <v>83.036683099999991</v>
      </c>
      <c r="H13" s="153">
        <f>Dat_01!Z18/1000</f>
        <v>0.73402900000000004</v>
      </c>
      <c r="I13" s="17">
        <f>IF(Dat_01!AB18*100=-100,"-",Dat_01!AB18)</f>
        <v>5.7892081999999997E-2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11.473025999999999</v>
      </c>
      <c r="G14" s="17">
        <f>Dat_01!T21*100</f>
        <v>6.5076905500000004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0.37352800000000003</v>
      </c>
      <c r="M14" s="17">
        <f>Dat_01!L21*100</f>
        <v>-31.142343090000001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34.650607000000001</v>
      </c>
      <c r="G15" s="173">
        <f>((SUM(Dat_01!R8,Dat_01!R15:R18,Dat_01!R20)/SUM(Dat_01!S8,Dat_01!S15:S18,Dat_01!S20))-1)*100</f>
        <v>45.619337505818123</v>
      </c>
      <c r="H15" s="172">
        <f>SUM(H9:H14)</f>
        <v>191.78290399999997</v>
      </c>
      <c r="I15" s="173">
        <f>((SUM(Dat_01!Z8,Dat_01!Z15:Z18,Dat_01!Z20)/SUM(Dat_01!AA8,Dat_01!AA15:AA18,Dat_01!AA20))-1)*100</f>
        <v>6.6013039035258014</v>
      </c>
      <c r="J15" s="172" t="s">
        <v>3</v>
      </c>
      <c r="K15" s="173" t="s">
        <v>3</v>
      </c>
      <c r="L15" s="172">
        <f>SUM(L9:L14)</f>
        <v>0.37352800000000003</v>
      </c>
      <c r="M15" s="173">
        <f>((SUM(Dat_01!J8,Dat_01!J15:J18,Dat_01!J21)/SUM(Dat_01!K8,Dat_01!K15:K18,Dat_01!K20))-1)*100</f>
        <v>-32.131845130484237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9.292719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59.750929000000006</v>
      </c>
      <c r="G17" s="24">
        <f>((SUM(Dat_01!R10,Dat_01!R14)/SUM(Dat_01!S10,Dat_01!S14))-1)*100</f>
        <v>83.424781828440061</v>
      </c>
      <c r="H17" s="154">
        <f>Dat_01!Z10/1000</f>
        <v>143.30591200000001</v>
      </c>
      <c r="I17" s="24">
        <f>Dat_01!AB10*100</f>
        <v>1.99309197</v>
      </c>
      <c r="J17" s="154">
        <f>Dat_01!B10/1000</f>
        <v>17.406879</v>
      </c>
      <c r="K17" s="24">
        <f>Dat_01!D10*100</f>
        <v>-2.8373184999999999</v>
      </c>
      <c r="L17" s="154">
        <f>Dat_01!J10/1000</f>
        <v>19.113096000000002</v>
      </c>
      <c r="M17" s="24">
        <f>Dat_01!L10*100</f>
        <v>-4.6581110299999997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27.349310000000003</v>
      </c>
      <c r="G18" s="24">
        <f>Dat_01!T11*100</f>
        <v>-18.845711809999997</v>
      </c>
      <c r="H18" s="154">
        <f>Dat_01!Z11/1000</f>
        <v>13.198846</v>
      </c>
      <c r="I18" s="24">
        <f>Dat_01!AB11*100</f>
        <v>-12.29606388</v>
      </c>
      <c r="J18" s="154">
        <f>Dat_01!B11/1000</f>
        <v>2.6489999999999999E-3</v>
      </c>
      <c r="K18" s="24">
        <f>IF(Dat_01!D11=-100%,"-",Dat_01!D11*100)</f>
        <v>14.87424111</v>
      </c>
      <c r="L18" s="154">
        <f>Dat_01!J11/1000</f>
        <v>1.5176E-2</v>
      </c>
      <c r="M18" s="24">
        <f>Dat_01!L11*100</f>
        <v>1161.5128844599999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66.13421000000001</v>
      </c>
      <c r="I19" s="24">
        <f>Dat_01!AB12*100</f>
        <v>-42.15605884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87.100239000000016</v>
      </c>
      <c r="G20" s="17">
        <f>((SUM(Dat_01!R10:R12,Dat_01!R14)/SUM(Dat_01!S10:S12,Dat_01!S14))-1)*100</f>
        <v>31.421364936136719</v>
      </c>
      <c r="H20" s="153">
        <f>SUM(H17:H19)</f>
        <v>222.63896800000003</v>
      </c>
      <c r="I20" s="17">
        <f>(H20/(H17/(I17/100+1)+H18/(I18/100+1)+H19/(I19/100+1))-1)*100</f>
        <v>-17.50658510769858</v>
      </c>
      <c r="J20" s="153">
        <f>SUM(J17:J19)</f>
        <v>17.409528000000002</v>
      </c>
      <c r="K20" s="17">
        <f>((SUM(Dat_01!B10:B12)/SUM(Dat_01!C10:C12))-1)*100</f>
        <v>-2.835039003217843</v>
      </c>
      <c r="L20" s="153">
        <f>SUM(L17:L19)</f>
        <v>19.128272000000003</v>
      </c>
      <c r="M20" s="17">
        <f>(L20/(L17/(M17/100+1)+L18/(M18/100+1))-1)*100</f>
        <v>-4.5881341599863017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408.79444900000004</v>
      </c>
      <c r="G21" s="17">
        <f>Dat_01!T13*100</f>
        <v>58.124796789999998</v>
      </c>
      <c r="H21" s="153">
        <f>Dat_01!Z13/1000</f>
        <v>284.60979800000001</v>
      </c>
      <c r="I21" s="17">
        <f>Dat_01!AB13*100</f>
        <v>24.073663200000002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3.6905410000000001</v>
      </c>
      <c r="G22" s="17">
        <f>Dat_01!T19*100</f>
        <v>58.261089949999999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11.473025999999999</v>
      </c>
      <c r="G23" s="17">
        <f>Dat_01!T20*100</f>
        <v>6.5076905500000004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0.37352800000000003</v>
      </c>
      <c r="M23" s="17">
        <f>Dat_01!L20*100</f>
        <v>-31.142343090000001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520.35097400000006</v>
      </c>
      <c r="G24" s="173">
        <f>((SUM(Dat_01!R9:R14,Dat_01!R19,Dat_01!R21)/SUM(Dat_01!S9:S14,Dat_01!S19,Dat_01!S21))-1)*100</f>
        <v>54.504746399342821</v>
      </c>
      <c r="H24" s="155">
        <f>SUM(H16,H20:H23)</f>
        <v>507.24876600000005</v>
      </c>
      <c r="I24" s="173">
        <f>((SUM(Dat_01!Z9:Z14,Dat_01!Z19,Dat_01!Z21)/SUM(Dat_01!AA9:AA14,Dat_01!AA19,Dat_01!AA21))-1)*100</f>
        <v>1.5971261304740692</v>
      </c>
      <c r="J24" s="155">
        <f>SUM(J16,J20:J23)</f>
        <v>17.409528000000002</v>
      </c>
      <c r="K24" s="173">
        <f>((SUM(Dat_01!B9:B14,Dat_01!B19,Dat_01!B21)/SUM(Dat_01!C9:C14,Dat_01!C19,Dat_01!C21))-1)*100</f>
        <v>-2.835039003217843</v>
      </c>
      <c r="L24" s="155">
        <f>SUM(L16,L20:L23)</f>
        <v>19.501800000000003</v>
      </c>
      <c r="M24" s="173">
        <f>((SUM(Dat_01!J9:J14,Dat_01!J19,Dat_01!J21)/SUM(Dat_01!K9:K14,Dat_01!K19,Dat_01!K21))-1)*100</f>
        <v>-5.2877118020530745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45.879221000000001</v>
      </c>
      <c r="G25" s="14">
        <f>Dat_01!T23*100</f>
        <v>-72.744751960000002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600.88080200000002</v>
      </c>
      <c r="G26" s="11">
        <f>Dat_01!T24*100</f>
        <v>13.606645070000001</v>
      </c>
      <c r="H26" s="157">
        <f>Dat_01!Z24/1000</f>
        <v>699.03167000000008</v>
      </c>
      <c r="I26" s="11">
        <f>Dat_01!AB24*100</f>
        <v>2.9226705900000001</v>
      </c>
      <c r="J26" s="157">
        <f>Dat_01!B24/1000</f>
        <v>17.409527999999998</v>
      </c>
      <c r="K26" s="11">
        <f>Dat_01!D24*100</f>
        <v>-2.8350390000000001</v>
      </c>
      <c r="L26" s="157">
        <f>Dat_01!J24/1000</f>
        <v>19.875328</v>
      </c>
      <c r="M26" s="11">
        <f>Dat_01!L24*100</f>
        <v>-5.9865588800000005</v>
      </c>
      <c r="N26" s="10"/>
      <c r="O26" s="10"/>
    </row>
    <row r="27" spans="3:23" s="2" customFormat="1" ht="16.350000000000001" customHeight="1">
      <c r="C27" s="13"/>
      <c r="E27" s="203" t="s">
        <v>56</v>
      </c>
      <c r="F27" s="203"/>
      <c r="G27" s="203"/>
      <c r="H27" s="203"/>
      <c r="I27" s="203"/>
      <c r="J27" s="203"/>
      <c r="K27" s="203"/>
      <c r="L27" s="170"/>
      <c r="M27" s="171"/>
      <c r="N27" s="10"/>
      <c r="O27" s="10"/>
    </row>
    <row r="28" spans="3:23" s="2" customFormat="1" ht="34.5" customHeight="1">
      <c r="C28" s="13"/>
      <c r="E28" s="204" t="s">
        <v>108</v>
      </c>
      <c r="F28" s="204"/>
      <c r="G28" s="204"/>
      <c r="H28" s="204"/>
      <c r="I28" s="204"/>
      <c r="J28" s="204"/>
      <c r="K28" s="204"/>
      <c r="L28" s="204"/>
      <c r="M28" s="204"/>
      <c r="N28" s="10"/>
      <c r="O28" s="10"/>
    </row>
    <row r="29" spans="3:23" s="2" customFormat="1" ht="12.75" customHeight="1">
      <c r="C29" s="8"/>
      <c r="D29" s="8"/>
      <c r="E29" s="202" t="s">
        <v>0</v>
      </c>
      <c r="F29" s="202"/>
      <c r="G29" s="202"/>
      <c r="H29" s="202"/>
      <c r="I29" s="202"/>
      <c r="J29" s="202"/>
      <c r="K29" s="202"/>
      <c r="L29" s="202"/>
      <c r="M29" s="202"/>
      <c r="O29" s="9"/>
    </row>
    <row r="30" spans="3:23" s="7" customFormat="1" ht="12.75" customHeight="1">
      <c r="E30" s="201" t="s">
        <v>82</v>
      </c>
      <c r="F30" s="201"/>
      <c r="G30" s="201"/>
      <c r="H30" s="201"/>
      <c r="I30" s="201"/>
      <c r="J30" s="201"/>
      <c r="K30" s="201"/>
      <c r="L30" s="201"/>
      <c r="M30" s="201"/>
    </row>
    <row r="31" spans="3:23" s="2" customFormat="1" ht="12.75" customHeight="1">
      <c r="C31" s="8"/>
      <c r="D31" s="8"/>
      <c r="E31" s="201" t="s">
        <v>85</v>
      </c>
      <c r="F31" s="201"/>
      <c r="G31" s="201"/>
      <c r="H31" s="201"/>
      <c r="I31" s="201"/>
      <c r="J31" s="201"/>
      <c r="K31" s="201"/>
      <c r="L31" s="201"/>
      <c r="M31" s="201"/>
    </row>
    <row r="32" spans="3:23" ht="12.75" customHeight="1">
      <c r="C32" s="1"/>
      <c r="D32" s="1"/>
      <c r="E32" s="201" t="s">
        <v>86</v>
      </c>
      <c r="F32" s="201"/>
      <c r="G32" s="201"/>
      <c r="H32" s="201"/>
      <c r="I32" s="201"/>
      <c r="J32" s="201"/>
      <c r="K32" s="201"/>
      <c r="L32" s="201"/>
      <c r="M32" s="201"/>
    </row>
    <row r="33" spans="3:13" ht="12.75" customHeight="1">
      <c r="C33" s="1"/>
      <c r="D33" s="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L20 G24 I24 K24 I20" formula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34" sqref="G34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31</v>
      </c>
      <c r="D7" s="44"/>
      <c r="E7" s="48"/>
    </row>
    <row r="8" spans="2:12" s="38" customFormat="1" ht="12.75" customHeight="1">
      <c r="B8" s="46"/>
      <c r="C8" s="205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5" t="s">
        <v>28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32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J34" sqref="J34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35</v>
      </c>
      <c r="D7" s="44"/>
      <c r="E7" s="48"/>
    </row>
    <row r="8" spans="2:12" s="38" customFormat="1" ht="12.75" customHeight="1">
      <c r="B8" s="46"/>
      <c r="C8" s="205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5" t="s">
        <v>49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36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2021-08-16T12:00:23Z</dcterms:modified>
</cp:coreProperties>
</file>