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JUL\INF_ELABORADA\"/>
    </mc:Choice>
  </mc:AlternateContent>
  <xr:revisionPtr revIDLastSave="0" documentId="13_ncr:1_{221FA080-02F7-450A-B339-7B32D3BD873F}" xr6:coauthVersionLast="44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state="hidden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Dat_01!$A$85:$V$112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C68" i="18"/>
  <c r="D69" i="18" l="1"/>
  <c r="D75" i="18"/>
  <c r="D70" i="18"/>
  <c r="D76" i="18"/>
  <c r="D71" i="18"/>
  <c r="D73" i="18"/>
  <c r="D77" i="18"/>
  <c r="D68" i="18"/>
  <c r="D74" i="18"/>
  <c r="D78" i="18"/>
  <c r="C80" i="18"/>
  <c r="B73" i="18" s="1"/>
  <c r="B68" i="18" l="1"/>
  <c r="B79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<sst xmlns="http://schemas.openxmlformats.org/spreadsheetml/2006/main" count="425" uniqueCount="133">
  <si>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</si>
  <si>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</si>
  <si>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</si>
  <si>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</si>
  <si>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</si>
  <si>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</si>
  <si>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</si>
  <si>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</si>
  <si>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</si>
  <si>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</si>
  <si>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</si>
  <si>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</si>
  <si>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</si>
  <si>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</si>
  <si>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</si>
  <si>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</si>
  <si>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</si>
  <si>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</si>
  <si>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</si>
  <si>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</si>
  <si>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</si>
  <si>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</si>
  <si>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</si>
  <si>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</si>
  <si>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</si>
  <si>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</si>
  <si>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</si>
  <si>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</si>
  <si>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</si>
  <si>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</si>
  <si>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</si>
  <si>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</si>
  <si>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</si>
  <si>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</si>
  <si>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</si>
  <si>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</si>
  <si>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</si>
  <si>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</si>
  <si>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</si>
  <si>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</si>
  <si>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</si>
  <si>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</si>
  <si>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</si>
  <si>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</si>
  <si>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</si>
  <si>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</si>
  <si>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</si>
  <si>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</si>
  <si>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</si>
  <si>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</si>
  <si>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</si>
  <si>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</si>
  <si>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</si>
  <si>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</si>
  <si>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</si>
  <si>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</si>
  <si>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</si>
  <si>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</si>
  <si>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</si>
  <si>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</si>
  <si>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</si>
  <si>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</si>
  <si>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</si>
  <si>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</si>
  <si>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</si>
  <si>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</si>
  <si>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</si>
  <si>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</si>
  <si>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</si>
  <si>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</si>
  <si>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</si>
  <si>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</si>
  <si>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</si>
  <si>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</si>
  <si>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</si>
  <si>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</si>
  <si>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</si>
  <si>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</si>
  <si>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</si>
  <si>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</si>
  <si>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</si>
  <si>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</si>
  <si>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</si>
  <si>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</si>
  <si>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</si>
  <si>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</si>
  <si>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</si>
  <si>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</si>
  <si>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</si>
  <si>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</si>
  <si>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</si>
  <si>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</si>
  <si>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</si>
  <si>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</si>
  <si>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</si>
  <si>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</si>
  <si>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</si>
  <si>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</si>
  <si>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</si>
  <si>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</si>
  <si>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</si>
  <si>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</si>
  <si>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</si>
  <si>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</si>
  <si>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</si>
  <si>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</si>
  <si>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</si>
  <si>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</si>
  <si>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</si>
  <si>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</si>
  <si>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</si>
  <si>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</si>
  <si>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</si>
  <si>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</si>
  <si>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</si>
  <si>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</si>
  <si>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</si>
  <si>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</si>
  <si>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</si>
  <si>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</si>
  <si>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</si>
  <si>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</si>
  <si>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</si>
  <si>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</si>
  <si>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</si>
  <si>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31/07/2020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</si>
  <si>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ut="08/11/2020 05:53:31" si="2.000000011585ce2f6ee6d7abe7e20127144d67296d1b37824c7c6e3b730a440008c19ba21f966431fd788d6f1042eb0cf9ee4dbd326d73f282ba3c601e26cadc92201638973a5bf02a66a935942fdb5c299af821fe9a9f8440d35b9883151a31388a6f1f3d5d11b59106d991da089e249ceb51ef3bab17b075243a380d8590efd07b.3082.0.1.Europe/Madrid.upriv*_1*_pidn2*_22*_session*-lat*_1.000000017a04a2245cabc492b95c5bf10e99fe59bc6025e0847b9ddd8eb87abb6219dffde1cd7117e1eb9dbc8dcf4c7bb69769ac8da8fcb2.000000017f332b03946a73c5202dcf33870caf46bc6025e04818446cbb115195356dee149fb488ee83a792da853942fcd1cc1a65b83d6d60.0.1.1.BDEbi.D066E1C611E6257C10D00080EF253B44.0-3082.1.1_-0.1.0_-3082.1.1_5.5.0.*0.00000001a73f1a66cd10e9bb3faeb4af11d12a6ac911585a2b08cae84299c1bdfe374c0b81aedd69.0.10*.25*.15*.214.23.10*.4*.0400*.0074J.e.00000001cacdc92e180ff6b0a406783b5286a895c911585aa8e803a3c22c29d08b89da938b236f8a.0" msgID="F7C485F111EADB9637600080EF15927F"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</si>
  <si>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ut="08/11/2020 05:55:57" si="2.000000011585ce2f6ee6d7abe7e20127144d67296d1b37824c7c6e3b730a440008c19ba21f966431fd788d6f1042eb0cf9ee4dbd326d73f282ba3c601e26cadc92201638973a5bf02a66a935942fdb5c299af821fe9a9f8440d35b9883151a31388a6f1f3d5d11b59106d991da089e249ceb51ef3bab17b075243a380d8590efd07b.3082.0.1.Europe/Madrid.upriv*_1*_pidn2*_22*_session*-lat*_1.000000017a04a2245cabc492b95c5bf10e99fe59bc6025e0847b9ddd8eb87abb6219dffde1cd7117e1eb9dbc8dcf4c7bb69769ac8da8fcb2.000000017f332b03946a73c5202dcf33870caf46bc6025e04818446cbb115195356dee149fb488ee83a792da853942fcd1cc1a65b83d6d60.0.1.1.BDEbi.D066E1C611E6257C10D00080EF253B44.0-3082.1.1_-0.1.0_-3082.1.1_5.5.0.*0.00000001a73f1a66cd10e9bb3faeb4af11d12a6ac911585a2b08cae84299c1bdfe374c0b81aedd69.0.10*.25*.15*.214.23.10*.4*.0400*.0074J.e.00000001cacdc92e180ff6b0a406783b5286a895c911585aa8e803a3c22c29d08b89da938b236f8a.0" msgID="0937D43711EADB9737600080EF959280"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nrr="646" nrc="1216"&gt;&lt;pg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</si>
  <si>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Agosto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</si>
  <si>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ut="08/11/2020 05:57:58" si="2.000000011585ce2f6ee6d7abe7e20127144d67296d1b37824c7c6e3b730a440008c19ba21f966431fd788d6f1042eb0cf9ee4dbd326d73f282ba3c601e26cadc92201638973a5bf02a66a935942fdb5c299af821fe9a9f8440d35b9883151a31388a6f1f3d5d11b59106d991da089e249ceb51ef3bab17b075243a380d8590efd07b.3082.0.1.Europe/Madrid.upriv*_1*_pidn2*_22*_session*-lat*_1.000000017a04a2245cabc492b95c5bf10e99fe59bc6025e0847b9ddd8eb87abb6219dffde1cd7117e1eb9dbc8dcf4c7bb69769ac8da8fcb2.000000017f332b03946a73c5202dcf33870caf46bc6025e04818446cbb115195356dee149fb488ee83a792da853942fcd1cc1a65b83d6d60.0.1.1.BDEbi.D066E1C611E6257C10D00080EF253B44.0-3082.1.1_-0.1.0_-3082.1.1_5.5.0.*0.00000001a73f1a66cd10e9bb3faeb4af11d12a6ac911585a2b08cae84299c1bdfe374c0b81aedd69.0.10*.25*.15*.214.23.10*.4*.0400*.0074J.e.00000001cacdc92e180ff6b0a406783b5286a895c911585aa8e803a3c22c29d08b89da938b236f8a.0" msgID="6CDA138D11EADB9737600080EFC5F17C"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cols="22" /&gt;&lt;esdo ews="" ece="" ptn="" /&gt;&lt;/excel&gt;&lt;pgs&gt;&lt;pg rows="25" cols="20" nrr="902" nrc="699"&gt;&lt;pg /&gt;&lt;bls&gt;&lt;bl sr="1" sc="1" rfetch="25" cfetch="20" posid="1" darows="0" dacols="1"&gt;&lt;excel&gt;&lt;epo ews="Dat_01" ece="A85" enr="MSTR.Serie_Balance_B.C._Mensual_Baleares_y_Canarias" ptn="" qtn="" rows="28" cols="22" /&gt;&lt;esdo ews="" ece="" ptn="" /&gt;&lt;/excel&gt;&lt;gridRng&gt;&lt;sect id="TITLE_AREA" rngprop="1:1:3:2" /&gt;&lt;sect id="ROWHEADERS_AREA" rngprop="4:1:25:2" /&gt;&lt;sect id="COLUMNHEADERS_AREA" rngprop="1:3:3:20" /&gt;&lt;sect id="DATA_AREA" rngprop="4:3:25:20"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</si>
  <si>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ut="08/11/2020 05:59:05" si="2.00000001b557fffdc674b0c8cbd6c9ad4825fd7d5c1ada2ca67c2799519059cf0d4d264bb537938bd261530821d8c0bcdde0a71bc34ddbb33a625e34c3b52ffc1819fec0b6713311721d63f9a3588dd4ae9b2513ff4ef3b09eb17be08c3f777e0e9e1ff8da26fda58295e59c2e2a756381b80279568bf5902c094874869dab0ba856.3082.0.1.Europe/Madrid.upriv*_1*_pidn2*_143*_session*-lat*_1.00000001065feedbd642431566f8ad6e00974005bc6025e0de53fe58356402dd42db74d7887d319dd97601b6d080109c33eceac4459a8d97.0000000116cbcc102d294bd277b671efcf13ad96bc6025e02cc6f69b32410cec2b3010d355ebace4ef702c9a523fbe9165b099f6fe0241fe.0.1.1.BDEbi.D066E1C611E6257C10D00080EF253B44.0-3082.1.1_-0.1.0_-3082.1.1_5.5.0.*0.00000001c145f6a2ea53caed50ac20bc58dff511c911585a0393d362a3218cb99799f3a113671c8e.0.10*.25*.15*.214.23.10*.4*.0400*.0074J.e.0000000150ae27b3d9c1205fa8a31e3dd76c1df3c911585a581ad455e55d3351eaa870286a21bc41.0" msgID="BCB8238B11EADB9737600080EF25B17D"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nrr="12" nrc="156"&gt;&lt;pg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</si>
  <si>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cc9edd5921cd42b99b8be9e37429ac5a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</si>
  <si>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ut="08/11/2020 05:59:32" si="2.00000001b557fffdc674b0c8cbd6c9ad4825fd7d5c1ada2ca67c2799519059cf0d4d264bb537938bd261530821d8c0bcdde0a71bc34ddbb33a625e34c3b52ffc1819fec0b6713311721d63f9a3588dd4ae9b2513ff4ef3b09eb17be08c3f777e0e9e1ff8da26fda58295e59c2e2a756381b80279568bf5902c094874869dab0ba856.3082.0.1.Europe/Madrid.upriv*_1*_pidn2*_143*_session*-lat*_1.00000001065feedbd642431566f8ad6e00974005bc6025e0de53fe58356402dd42db74d7887d319dd97601b6d080109c33eceac4459a8d97.0000000116cbcc102d294bd277b671efcf13ad96bc6025e02cc6f69b32410cec2b3010d355ebace4ef702c9a523fbe9165b099f6fe0241fe.0.1.1.BDEbi.D066E1C611E6257C10D00080EF253B44.0-3082.1.1_-0.1.0_-3082.1.1_5.5.0.*0.00000001c145f6a2ea53caed50ac20bc58dff511c911585a0393d362a3218cb99799f3a113671c8e.0.10*.25*.15*.214.23.10*.4*.0400*.0074J.e.0000000150ae27b3d9c1205fa8a31e3dd76c1df3c911585a581ad455e55d3351eaa870286a21bc41.0" msgID="CE71543411EADB9737600080EF65307B"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nrr="18" nrc="228"&gt;&lt;pg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</si>
</sst>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4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3" fontId="5" fillId="12" borderId="0" xfId="3" applyNumberFormat="1" applyFont="1" applyFill="1" applyBorder="1" applyAlignment="1" applyProtection="1">
      <alignment horizontal="right" indent="1"/>
    </xf>
    <xf numFmtId="0" fontId="50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0" fontId="19" fillId="5" borderId="10" xfId="33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A99BBD"/>
      <color rgb="FF9FA5BD"/>
      <color rgb="FF9A5CBC"/>
      <color rgb="FFF5F5F5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6.1457586106306152</c:v>
                </c:pt>
                <c:pt idx="2">
                  <c:v>6.3580472122396996</c:v>
                </c:pt>
                <c:pt idx="3">
                  <c:v>48.77461578310259</c:v>
                </c:pt>
                <c:pt idx="5">
                  <c:v>0.43995142583321434</c:v>
                </c:pt>
                <c:pt idx="6">
                  <c:v>2.0322908293526187</c:v>
                </c:pt>
                <c:pt idx="7">
                  <c:v>2.0322908293526187</c:v>
                </c:pt>
                <c:pt idx="8">
                  <c:v>4.1449462615358076E-2</c:v>
                </c:pt>
                <c:pt idx="9">
                  <c:v>2.407568170027544</c:v>
                </c:pt>
                <c:pt idx="10">
                  <c:v>9.9107042359916943E-3</c:v>
                </c:pt>
                <c:pt idx="11">
                  <c:v>31.758116972609734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11.964676791853766</c:v>
                </c:pt>
                <c:pt idx="1">
                  <c:v>6.9149085604660669</c:v>
                </c:pt>
                <c:pt idx="2">
                  <c:v>30.030743490001122</c:v>
                </c:pt>
                <c:pt idx="3">
                  <c:v>42.558434716297434</c:v>
                </c:pt>
                <c:pt idx="5">
                  <c:v>0.52020549550651096</c:v>
                </c:pt>
                <c:pt idx="6">
                  <c:v>1.8552193698811399</c:v>
                </c:pt>
                <c:pt idx="7">
                  <c:v>1.8552193698811399</c:v>
                </c:pt>
                <c:pt idx="8">
                  <c:v>0.18043744539953552</c:v>
                </c:pt>
                <c:pt idx="9">
                  <c:v>4.0144965452628139</c:v>
                </c:pt>
                <c:pt idx="10">
                  <c:v>0.10565821545044994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173.44610299999999</c:v>
                </c:pt>
                <c:pt idx="1">
                  <c:v>257.56122599999998</c:v>
                </c:pt>
                <c:pt idx="2">
                  <c:v>239.89604299999999</c:v>
                </c:pt>
                <c:pt idx="3">
                  <c:v>190.859296</c:v>
                </c:pt>
                <c:pt idx="4">
                  <c:v>128.513947</c:v>
                </c:pt>
                <c:pt idx="5">
                  <c:v>137.71730099999999</c:v>
                </c:pt>
                <c:pt idx="6">
                  <c:v>-3.1773479999999998</c:v>
                </c:pt>
                <c:pt idx="7">
                  <c:v>-1.357415</c:v>
                </c:pt>
                <c:pt idx="8">
                  <c:v>-1.7178340000000001</c:v>
                </c:pt>
                <c:pt idx="9">
                  <c:v>-1.680847</c:v>
                </c:pt>
                <c:pt idx="10">
                  <c:v>-1.7940100000000001</c:v>
                </c:pt>
                <c:pt idx="11">
                  <c:v>-1.2808299999999999</c:v>
                </c:pt>
                <c:pt idx="12">
                  <c:v>-1.119569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140.89836099999999</c:v>
                </c:pt>
                <c:pt idx="1">
                  <c:v>139.42335</c:v>
                </c:pt>
                <c:pt idx="2">
                  <c:v>100.854845</c:v>
                </c:pt>
                <c:pt idx="3">
                  <c:v>70.492742000000007</c:v>
                </c:pt>
                <c:pt idx="4">
                  <c:v>55.934950000000001</c:v>
                </c:pt>
                <c:pt idx="5">
                  <c:v>39.850644000000003</c:v>
                </c:pt>
                <c:pt idx="6">
                  <c:v>46.988411999999997</c:v>
                </c:pt>
                <c:pt idx="7">
                  <c:v>37.597881999999998</c:v>
                </c:pt>
                <c:pt idx="8">
                  <c:v>34.745249000000001</c:v>
                </c:pt>
                <c:pt idx="9">
                  <c:v>28.608295999999999</c:v>
                </c:pt>
                <c:pt idx="10">
                  <c:v>29.693214999999999</c:v>
                </c:pt>
                <c:pt idx="11">
                  <c:v>33.872518999999997</c:v>
                </c:pt>
                <c:pt idx="12">
                  <c:v>66.275554999999997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160.980031</c:v>
                </c:pt>
                <c:pt idx="1">
                  <c:v>81.694967000000005</c:v>
                </c:pt>
                <c:pt idx="2">
                  <c:v>37.844405000000002</c:v>
                </c:pt>
                <c:pt idx="3">
                  <c:v>49.054825999999998</c:v>
                </c:pt>
                <c:pt idx="4">
                  <c:v>98.891853999999995</c:v>
                </c:pt>
                <c:pt idx="5">
                  <c:v>97.225685999999996</c:v>
                </c:pt>
                <c:pt idx="6">
                  <c:v>247.42845600000001</c:v>
                </c:pt>
                <c:pt idx="7">
                  <c:v>226.17381</c:v>
                </c:pt>
                <c:pt idx="8">
                  <c:v>223.68889899999999</c:v>
                </c:pt>
                <c:pt idx="9">
                  <c:v>190.73178300000001</c:v>
                </c:pt>
                <c:pt idx="10">
                  <c:v>192.66073600000001</c:v>
                </c:pt>
                <c:pt idx="11">
                  <c:v>191.22599500000001</c:v>
                </c:pt>
                <c:pt idx="12">
                  <c:v>258.52646600000003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0.23036599999999999</c:v>
                </c:pt>
                <c:pt idx="1">
                  <c:v>0.347945</c:v>
                </c:pt>
                <c:pt idx="2">
                  <c:v>0.51373500000000005</c:v>
                </c:pt>
                <c:pt idx="3">
                  <c:v>0.402117</c:v>
                </c:pt>
                <c:pt idx="4">
                  <c:v>0.49518299999999998</c:v>
                </c:pt>
                <c:pt idx="5">
                  <c:v>0.44528499999999999</c:v>
                </c:pt>
                <c:pt idx="6">
                  <c:v>0.37082599999999999</c:v>
                </c:pt>
                <c:pt idx="7">
                  <c:v>0.33927600000000002</c:v>
                </c:pt>
                <c:pt idx="8">
                  <c:v>0.53315400000000002</c:v>
                </c:pt>
                <c:pt idx="9">
                  <c:v>0.24332000000000001</c:v>
                </c:pt>
                <c:pt idx="10">
                  <c:v>0.35056999999999999</c:v>
                </c:pt>
                <c:pt idx="11">
                  <c:v>0.21834000000000001</c:v>
                </c:pt>
                <c:pt idx="12">
                  <c:v>0.21970000000000001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12.477155</c:v>
                </c:pt>
                <c:pt idx="1">
                  <c:v>12.245136</c:v>
                </c:pt>
                <c:pt idx="2">
                  <c:v>10.044699</c:v>
                </c:pt>
                <c:pt idx="3">
                  <c:v>9.1120260000000002</c:v>
                </c:pt>
                <c:pt idx="4">
                  <c:v>6.2902100000000001</c:v>
                </c:pt>
                <c:pt idx="5">
                  <c:v>5.905538</c:v>
                </c:pt>
                <c:pt idx="6">
                  <c:v>5.931076</c:v>
                </c:pt>
                <c:pt idx="7">
                  <c:v>8.7357479999999992</c:v>
                </c:pt>
                <c:pt idx="8">
                  <c:v>9.1979059999999997</c:v>
                </c:pt>
                <c:pt idx="9">
                  <c:v>10.819095000000001</c:v>
                </c:pt>
                <c:pt idx="10">
                  <c:v>12.879177</c:v>
                </c:pt>
                <c:pt idx="11">
                  <c:v>12.237156000000001</c:v>
                </c:pt>
                <c:pt idx="12">
                  <c:v>12.761148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9.8985000000000004E-2</c:v>
                </c:pt>
                <c:pt idx="1">
                  <c:v>8.3479999999999999E-2</c:v>
                </c:pt>
                <c:pt idx="2">
                  <c:v>1.2656000000000001E-2</c:v>
                </c:pt>
                <c:pt idx="3">
                  <c:v>9.9426E-2</c:v>
                </c:pt>
                <c:pt idx="4">
                  <c:v>9.2591999999999994E-2</c:v>
                </c:pt>
                <c:pt idx="5">
                  <c:v>0.18124699999999999</c:v>
                </c:pt>
                <c:pt idx="6">
                  <c:v>0.20147399999999999</c:v>
                </c:pt>
                <c:pt idx="7">
                  <c:v>8.1622E-2</c:v>
                </c:pt>
                <c:pt idx="8">
                  <c:v>2.6786999999999998E-2</c:v>
                </c:pt>
                <c:pt idx="9">
                  <c:v>1.5415999999999999E-2</c:v>
                </c:pt>
                <c:pt idx="10">
                  <c:v>2.3830000000000001E-3</c:v>
                </c:pt>
                <c:pt idx="11">
                  <c:v>5.9750999999999999E-2</c:v>
                </c:pt>
                <c:pt idx="12">
                  <c:v>5.2531000000000001E-2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1.194464</c:v>
                </c:pt>
                <c:pt idx="1">
                  <c:v>2.848757</c:v>
                </c:pt>
                <c:pt idx="2">
                  <c:v>2.8740579999999998</c:v>
                </c:pt>
                <c:pt idx="3">
                  <c:v>2.8082799999999999</c:v>
                </c:pt>
                <c:pt idx="4">
                  <c:v>3.3302809999999998</c:v>
                </c:pt>
                <c:pt idx="5">
                  <c:v>3.7760859999999998</c:v>
                </c:pt>
                <c:pt idx="6">
                  <c:v>4.0380969999999996</c:v>
                </c:pt>
                <c:pt idx="7">
                  <c:v>3.7449910000000002</c:v>
                </c:pt>
                <c:pt idx="8">
                  <c:v>3.4759910000000001</c:v>
                </c:pt>
                <c:pt idx="9">
                  <c:v>2.759617</c:v>
                </c:pt>
                <c:pt idx="10">
                  <c:v>2.681413</c:v>
                </c:pt>
                <c:pt idx="11">
                  <c:v>2.5969359999999999</c:v>
                </c:pt>
                <c:pt idx="12">
                  <c:v>2.3319320000000001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14.4424645</c:v>
                </c:pt>
                <c:pt idx="1">
                  <c:v>12.562136000000001</c:v>
                </c:pt>
                <c:pt idx="2">
                  <c:v>13.691565000000001</c:v>
                </c:pt>
                <c:pt idx="3">
                  <c:v>14.954476</c:v>
                </c:pt>
                <c:pt idx="4">
                  <c:v>13.874806</c:v>
                </c:pt>
                <c:pt idx="5">
                  <c:v>8.5480964999999998</c:v>
                </c:pt>
                <c:pt idx="6">
                  <c:v>9.2619229999999995</c:v>
                </c:pt>
                <c:pt idx="7">
                  <c:v>6.0955329999999996</c:v>
                </c:pt>
                <c:pt idx="8">
                  <c:v>10.531687</c:v>
                </c:pt>
                <c:pt idx="9">
                  <c:v>4.8152900000000001</c:v>
                </c:pt>
                <c:pt idx="10">
                  <c:v>5.3655939999999998</c:v>
                </c:pt>
                <c:pt idx="11">
                  <c:v>14.316091999999999</c:v>
                </c:pt>
                <c:pt idx="12">
                  <c:v>10.772016499999999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14.4424645</c:v>
                </c:pt>
                <c:pt idx="1">
                  <c:v>12.562136000000001</c:v>
                </c:pt>
                <c:pt idx="2">
                  <c:v>13.691565000000001</c:v>
                </c:pt>
                <c:pt idx="3">
                  <c:v>14.954476</c:v>
                </c:pt>
                <c:pt idx="4">
                  <c:v>13.874806</c:v>
                </c:pt>
                <c:pt idx="5">
                  <c:v>8.5480964999999998</c:v>
                </c:pt>
                <c:pt idx="6">
                  <c:v>9.2619229999999995</c:v>
                </c:pt>
                <c:pt idx="7">
                  <c:v>6.0955329999999996</c:v>
                </c:pt>
                <c:pt idx="8">
                  <c:v>10.531687</c:v>
                </c:pt>
                <c:pt idx="9">
                  <c:v>4.8152900000000001</c:v>
                </c:pt>
                <c:pt idx="10">
                  <c:v>5.3655939999999998</c:v>
                </c:pt>
                <c:pt idx="11">
                  <c:v>14.316091999999999</c:v>
                </c:pt>
                <c:pt idx="12">
                  <c:v>10.772016499999999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201.16611399999999</c:v>
                </c:pt>
                <c:pt idx="1">
                  <c:v>185.76976199999999</c:v>
                </c:pt>
                <c:pt idx="2">
                  <c:v>153.19726600000001</c:v>
                </c:pt>
                <c:pt idx="3">
                  <c:v>137.66557</c:v>
                </c:pt>
                <c:pt idx="4">
                  <c:v>91.396833999999998</c:v>
                </c:pt>
                <c:pt idx="5">
                  <c:v>119.614278</c:v>
                </c:pt>
                <c:pt idx="6">
                  <c:v>136.155901</c:v>
                </c:pt>
                <c:pt idx="7">
                  <c:v>115.92849699999999</c:v>
                </c:pt>
                <c:pt idx="8">
                  <c:v>112.780382</c:v>
                </c:pt>
                <c:pt idx="9">
                  <c:v>80.581305999999998</c:v>
                </c:pt>
                <c:pt idx="10">
                  <c:v>79.946523999999997</c:v>
                </c:pt>
                <c:pt idx="11">
                  <c:v>93.289579000000003</c:v>
                </c:pt>
                <c:pt idx="12">
                  <c:v>168.331695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16.451544908196844</c:v>
                </c:pt>
                <c:pt idx="1">
                  <c:v>18.482444205018531</c:v>
                </c:pt>
                <c:pt idx="2">
                  <c:v>16.010997004541306</c:v>
                </c:pt>
                <c:pt idx="3">
                  <c:v>28.668787525535794</c:v>
                </c:pt>
                <c:pt idx="4">
                  <c:v>0</c:v>
                </c:pt>
                <c:pt idx="5">
                  <c:v>6.7011051610254932E-2</c:v>
                </c:pt>
                <c:pt idx="6">
                  <c:v>0.37784944447564534</c:v>
                </c:pt>
                <c:pt idx="7">
                  <c:v>14.275178551320222</c:v>
                </c:pt>
                <c:pt idx="8">
                  <c:v>5.5435769891273914</c:v>
                </c:pt>
                <c:pt idx="9">
                  <c:v>0.12261032017401099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5934959349593497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6097573778887395"/>
                  <c:y val="-0.134803921568627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20.697007495459605</c:v>
                </c:pt>
                <c:pt idx="1">
                  <c:v>2.2168233350792916</c:v>
                </c:pt>
                <c:pt idx="2">
                  <c:v>16.841567176013214</c:v>
                </c:pt>
                <c:pt idx="3">
                  <c:v>33.789708861688865</c:v>
                </c:pt>
                <c:pt idx="4">
                  <c:v>0</c:v>
                </c:pt>
                <c:pt idx="5">
                  <c:v>4.2762465745751536E-2</c:v>
                </c:pt>
                <c:pt idx="6">
                  <c:v>0.5380159581401005</c:v>
                </c:pt>
                <c:pt idx="7">
                  <c:v>21.801571732770579</c:v>
                </c:pt>
                <c:pt idx="8">
                  <c:v>3.9703346999593858</c:v>
                </c:pt>
                <c:pt idx="9">
                  <c:v>0.10220827514320364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0.29841899999999999</c:v>
                </c:pt>
                <c:pt idx="1">
                  <c:v>0.29929</c:v>
                </c:pt>
                <c:pt idx="2">
                  <c:v>0.28253899999999998</c:v>
                </c:pt>
                <c:pt idx="3">
                  <c:v>0.297543</c:v>
                </c:pt>
                <c:pt idx="4">
                  <c:v>0.29652299999999998</c:v>
                </c:pt>
                <c:pt idx="5">
                  <c:v>0.29914499999999999</c:v>
                </c:pt>
                <c:pt idx="6">
                  <c:v>0.30431399999999997</c:v>
                </c:pt>
                <c:pt idx="7">
                  <c:v>0.26768999999999998</c:v>
                </c:pt>
                <c:pt idx="8">
                  <c:v>0.29889900000000003</c:v>
                </c:pt>
                <c:pt idx="9">
                  <c:v>0.288387</c:v>
                </c:pt>
                <c:pt idx="10">
                  <c:v>0.28846300000000002</c:v>
                </c:pt>
                <c:pt idx="11">
                  <c:v>0.27233299999999999</c:v>
                </c:pt>
                <c:pt idx="12">
                  <c:v>0.29030099999999998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310.36124699999999</c:v>
                </c:pt>
                <c:pt idx="1">
                  <c:v>307.670436</c:v>
                </c:pt>
                <c:pt idx="2">
                  <c:v>349.34223900000001</c:v>
                </c:pt>
                <c:pt idx="3">
                  <c:v>355.37539000000004</c:v>
                </c:pt>
                <c:pt idx="4">
                  <c:v>354.636663</c:v>
                </c:pt>
                <c:pt idx="5">
                  <c:v>357.24838199999999</c:v>
                </c:pt>
                <c:pt idx="6">
                  <c:v>339.84719799999999</c:v>
                </c:pt>
                <c:pt idx="7">
                  <c:v>310.92523399999999</c:v>
                </c:pt>
                <c:pt idx="8">
                  <c:v>260.14058899999998</c:v>
                </c:pt>
                <c:pt idx="9">
                  <c:v>222.93640199999999</c:v>
                </c:pt>
                <c:pt idx="10">
                  <c:v>252.956976</c:v>
                </c:pt>
                <c:pt idx="11">
                  <c:v>214.832064</c:v>
                </c:pt>
                <c:pt idx="12">
                  <c:v>269.88695799999999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262.048877</c:v>
                </c:pt>
                <c:pt idx="1">
                  <c:v>290.23648900000001</c:v>
                </c:pt>
                <c:pt idx="2">
                  <c:v>276.37973799999997</c:v>
                </c:pt>
                <c:pt idx="3">
                  <c:v>305.83225499999998</c:v>
                </c:pt>
                <c:pt idx="4">
                  <c:v>233.08126999999999</c:v>
                </c:pt>
                <c:pt idx="5">
                  <c:v>301.90038800000002</c:v>
                </c:pt>
                <c:pt idx="6">
                  <c:v>336.41169600000001</c:v>
                </c:pt>
                <c:pt idx="7">
                  <c:v>279.07848200000001</c:v>
                </c:pt>
                <c:pt idx="8">
                  <c:v>300.75480199999998</c:v>
                </c:pt>
                <c:pt idx="9">
                  <c:v>246.048203</c:v>
                </c:pt>
                <c:pt idx="10">
                  <c:v>229.928777</c:v>
                </c:pt>
                <c:pt idx="11">
                  <c:v>258.95318400000002</c:v>
                </c:pt>
                <c:pt idx="12">
                  <c:v>229.38776100000001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3.727338</c:v>
                </c:pt>
                <c:pt idx="1">
                  <c:v>3.4751189999999998</c:v>
                </c:pt>
                <c:pt idx="2">
                  <c:v>2.2183510000000002</c:v>
                </c:pt>
                <c:pt idx="3">
                  <c:v>1.582837</c:v>
                </c:pt>
                <c:pt idx="4">
                  <c:v>2.0965220000000002</c:v>
                </c:pt>
                <c:pt idx="5">
                  <c:v>1.15967</c:v>
                </c:pt>
                <c:pt idx="6">
                  <c:v>0.82455000000000001</c:v>
                </c:pt>
                <c:pt idx="7">
                  <c:v>1.3385149999999999</c:v>
                </c:pt>
                <c:pt idx="8">
                  <c:v>1.8236140000000001</c:v>
                </c:pt>
                <c:pt idx="9">
                  <c:v>0.99112500000000003</c:v>
                </c:pt>
                <c:pt idx="10">
                  <c:v>1.4427080000000001</c:v>
                </c:pt>
                <c:pt idx="11">
                  <c:v>0.74262799999999995</c:v>
                </c:pt>
                <c:pt idx="12">
                  <c:v>3.6524220000000001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158.18352999999999</c:v>
                </c:pt>
                <c:pt idx="1">
                  <c:v>158.502759</c:v>
                </c:pt>
                <c:pt idx="2">
                  <c:v>100.47458899999999</c:v>
                </c:pt>
                <c:pt idx="3">
                  <c:v>89.262077000000005</c:v>
                </c:pt>
                <c:pt idx="4">
                  <c:v>125.115903</c:v>
                </c:pt>
                <c:pt idx="5">
                  <c:v>68.820522999999994</c:v>
                </c:pt>
                <c:pt idx="6">
                  <c:v>60.201912999999998</c:v>
                </c:pt>
                <c:pt idx="7">
                  <c:v>93.150577999999996</c:v>
                </c:pt>
                <c:pt idx="8">
                  <c:v>97.165876999999995</c:v>
                </c:pt>
                <c:pt idx="9">
                  <c:v>54.728521000000001</c:v>
                </c:pt>
                <c:pt idx="10">
                  <c:v>69.748904999999993</c:v>
                </c:pt>
                <c:pt idx="11">
                  <c:v>103.362193</c:v>
                </c:pt>
                <c:pt idx="12">
                  <c:v>148.00404900000001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29.608312000000002</c:v>
                </c:pt>
                <c:pt idx="1">
                  <c:v>27.737331000000001</c:v>
                </c:pt>
                <c:pt idx="2">
                  <c:v>23.467742000000001</c:v>
                </c:pt>
                <c:pt idx="3">
                  <c:v>20.840191999999998</c:v>
                </c:pt>
                <c:pt idx="4">
                  <c:v>18.276879999999998</c:v>
                </c:pt>
                <c:pt idx="5">
                  <c:v>17.266753999999999</c:v>
                </c:pt>
                <c:pt idx="6">
                  <c:v>18.497091000000001</c:v>
                </c:pt>
                <c:pt idx="7">
                  <c:v>20.25189</c:v>
                </c:pt>
                <c:pt idx="8">
                  <c:v>21.169239000000001</c:v>
                </c:pt>
                <c:pt idx="9">
                  <c:v>22.608267999999999</c:v>
                </c:pt>
                <c:pt idx="10">
                  <c:v>26.001139999999999</c:v>
                </c:pt>
                <c:pt idx="11">
                  <c:v>23.728103999999998</c:v>
                </c:pt>
                <c:pt idx="12">
                  <c:v>26.95336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jul.-19</c:v>
                </c:pt>
                <c:pt idx="1">
                  <c:v>ago.-19</c:v>
                </c:pt>
                <c:pt idx="2">
                  <c:v>sep.-19</c:v>
                </c:pt>
                <c:pt idx="3">
                  <c:v>oct.-19</c:v>
                </c:pt>
                <c:pt idx="4">
                  <c:v>nov.-19</c:v>
                </c:pt>
                <c:pt idx="5">
                  <c:v>dic.-19</c:v>
                </c:pt>
                <c:pt idx="6">
                  <c:v>ene.-20</c:v>
                </c:pt>
                <c:pt idx="7">
                  <c:v>feb.-20</c:v>
                </c:pt>
                <c:pt idx="8">
                  <c:v>mar.-20</c:v>
                </c:pt>
                <c:pt idx="9">
                  <c:v>abr.-20</c:v>
                </c:pt>
                <c:pt idx="10">
                  <c:v>may.-20</c:v>
                </c:pt>
                <c:pt idx="11">
                  <c:v>jun.-20</c:v>
                </c:pt>
                <c:pt idx="12">
                  <c:v>jul.-20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0.917458</c:v>
                </c:pt>
                <c:pt idx="1">
                  <c:v>0.71267199999999997</c:v>
                </c:pt>
                <c:pt idx="2">
                  <c:v>0.43661899999999998</c:v>
                </c:pt>
                <c:pt idx="3">
                  <c:v>0.57729399999999997</c:v>
                </c:pt>
                <c:pt idx="4">
                  <c:v>0.87303399999999998</c:v>
                </c:pt>
                <c:pt idx="5">
                  <c:v>0.90510599999999997</c:v>
                </c:pt>
                <c:pt idx="6">
                  <c:v>0.87627999999999995</c:v>
                </c:pt>
                <c:pt idx="7">
                  <c:v>0.84570599999999996</c:v>
                </c:pt>
                <c:pt idx="8">
                  <c:v>0.82166799999999995</c:v>
                </c:pt>
                <c:pt idx="9">
                  <c:v>0.83979599999999999</c:v>
                </c:pt>
                <c:pt idx="10">
                  <c:v>0.70590200000000003</c:v>
                </c:pt>
                <c:pt idx="11">
                  <c:v>0.78505800000000003</c:v>
                </c:pt>
                <c:pt idx="12">
                  <c:v>0.69386000000000003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Julio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topLeftCell="R1" zoomScaleNormal="100" workbookViewId="0">
      <selection activeCell="T10" sqref="T10"/>
    </sheetView>
  </sheetViews>
  <sheetFormatPr baseColWidth="10" defaultColWidth="11.42578125" defaultRowHeight="12"/>
  <cols>
    <col min="1" max="1" width="7.8554687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124</v>
      </c>
      <c r="B2" s="144" t="s">
        <v>125</v>
      </c>
    </row>
    <row r="4" spans="1:33" ht="15">
      <c r="A4" s="145" t="s">
        <v>67</v>
      </c>
      <c r="B4" s="205" t="s">
        <v>124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1:33" ht="15">
      <c r="A5" s="145" t="s">
        <v>68</v>
      </c>
      <c r="B5" s="221" t="s">
        <v>15</v>
      </c>
      <c r="C5" s="222"/>
      <c r="D5" s="222"/>
      <c r="E5" s="222"/>
      <c r="F5" s="222"/>
      <c r="G5" s="222"/>
      <c r="H5" s="222"/>
      <c r="I5" s="223"/>
      <c r="J5" s="221" t="s">
        <v>14</v>
      </c>
      <c r="K5" s="222"/>
      <c r="L5" s="222"/>
      <c r="M5" s="222"/>
      <c r="N5" s="222"/>
      <c r="O5" s="222"/>
      <c r="P5" s="222"/>
      <c r="Q5" s="223"/>
      <c r="R5" s="221" t="s">
        <v>57</v>
      </c>
      <c r="S5" s="222"/>
      <c r="T5" s="222"/>
      <c r="U5" s="222"/>
      <c r="V5" s="222"/>
      <c r="W5" s="222"/>
      <c r="X5" s="222"/>
      <c r="Y5" s="223"/>
      <c r="Z5" s="221" t="s">
        <v>58</v>
      </c>
      <c r="AA5" s="222"/>
      <c r="AB5" s="222"/>
      <c r="AC5" s="222"/>
      <c r="AD5" s="222"/>
      <c r="AE5" s="222"/>
      <c r="AF5" s="222"/>
      <c r="AG5" s="222"/>
    </row>
    <row r="6" spans="1:33">
      <c r="A6" s="145" t="s">
        <v>69</v>
      </c>
      <c r="B6" s="189" t="s">
        <v>59</v>
      </c>
      <c r="C6" s="189" t="s">
        <v>60</v>
      </c>
      <c r="D6" s="189" t="s">
        <v>61</v>
      </c>
      <c r="E6" s="189" t="s">
        <v>62</v>
      </c>
      <c r="F6" s="189" t="s">
        <v>63</v>
      </c>
      <c r="G6" s="189" t="s">
        <v>64</v>
      </c>
      <c r="H6" s="189" t="s">
        <v>65</v>
      </c>
      <c r="I6" s="189" t="s">
        <v>66</v>
      </c>
      <c r="J6" s="189" t="s">
        <v>59</v>
      </c>
      <c r="K6" s="189" t="s">
        <v>60</v>
      </c>
      <c r="L6" s="189" t="s">
        <v>61</v>
      </c>
      <c r="M6" s="189" t="s">
        <v>62</v>
      </c>
      <c r="N6" s="189" t="s">
        <v>63</v>
      </c>
      <c r="O6" s="189" t="s">
        <v>64</v>
      </c>
      <c r="P6" s="189" t="s">
        <v>65</v>
      </c>
      <c r="Q6" s="189" t="s">
        <v>66</v>
      </c>
      <c r="R6" s="189" t="s">
        <v>59</v>
      </c>
      <c r="S6" s="189" t="s">
        <v>60</v>
      </c>
      <c r="T6" s="189" t="s">
        <v>61</v>
      </c>
      <c r="U6" s="189" t="s">
        <v>62</v>
      </c>
      <c r="V6" s="189" t="s">
        <v>63</v>
      </c>
      <c r="W6" s="189" t="s">
        <v>64</v>
      </c>
      <c r="X6" s="189" t="s">
        <v>65</v>
      </c>
      <c r="Y6" s="189" t="s">
        <v>66</v>
      </c>
      <c r="Z6" s="189" t="s">
        <v>59</v>
      </c>
      <c r="AA6" s="189" t="s">
        <v>60</v>
      </c>
      <c r="AB6" s="189" t="s">
        <v>61</v>
      </c>
      <c r="AC6" s="189" t="s">
        <v>62</v>
      </c>
      <c r="AD6" s="189" t="s">
        <v>63</v>
      </c>
      <c r="AE6" s="189" t="s">
        <v>64</v>
      </c>
      <c r="AF6" s="189" t="s">
        <v>65</v>
      </c>
      <c r="AG6" s="189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290.30099999999999</v>
      </c>
      <c r="AA8" s="158">
        <v>298.41899999999998</v>
      </c>
      <c r="AB8" s="151">
        <v>-2.7203361700000001E-2</v>
      </c>
      <c r="AC8" s="158">
        <v>2010.3869999999999</v>
      </c>
      <c r="AD8" s="158">
        <v>2034.075</v>
      </c>
      <c r="AE8" s="151">
        <v>-1.1645588300000001E-2</v>
      </c>
      <c r="AF8" s="158">
        <v>3485.4270000000001</v>
      </c>
      <c r="AG8" s="151">
        <v>-7.8773709999999993E-3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-1119.569</v>
      </c>
      <c r="S9" s="158">
        <v>173446.103</v>
      </c>
      <c r="T9" s="151" t="s">
        <v>3</v>
      </c>
      <c r="U9" s="158">
        <v>-12127.852999999999</v>
      </c>
      <c r="V9" s="158">
        <v>1045392.145</v>
      </c>
      <c r="W9" s="151">
        <v>-1.0116012475</v>
      </c>
      <c r="X9" s="158">
        <v>942419.96</v>
      </c>
      <c r="Y9" s="151">
        <v>-0.53577816119999999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17915.205999999998</v>
      </c>
      <c r="C10" s="158">
        <v>18185.252</v>
      </c>
      <c r="D10" s="151">
        <v>-1.4849725500000001E-2</v>
      </c>
      <c r="E10" s="158">
        <v>115305.682</v>
      </c>
      <c r="F10" s="158">
        <v>117245.796</v>
      </c>
      <c r="G10" s="151">
        <v>-1.65474078E-2</v>
      </c>
      <c r="H10" s="158">
        <v>204024.11199999999</v>
      </c>
      <c r="I10" s="151">
        <v>-7.0154439000000004E-3</v>
      </c>
      <c r="J10" s="158">
        <v>20046.870999999999</v>
      </c>
      <c r="K10" s="158">
        <v>19120.079000000002</v>
      </c>
      <c r="L10" s="151">
        <v>4.8472184699999997E-2</v>
      </c>
      <c r="M10" s="158">
        <v>111268.16499999999</v>
      </c>
      <c r="N10" s="158">
        <v>113554.826</v>
      </c>
      <c r="O10" s="151">
        <v>-2.0137065799999999E-2</v>
      </c>
      <c r="P10" s="158">
        <v>197722.587</v>
      </c>
      <c r="Q10" s="151">
        <v>-2.1473137699999999E-2</v>
      </c>
      <c r="R10" s="158">
        <v>32575.167000000001</v>
      </c>
      <c r="S10" s="158">
        <v>64359.394</v>
      </c>
      <c r="T10" s="151">
        <v>-0.49385528709999998</v>
      </c>
      <c r="U10" s="158">
        <v>150564.465</v>
      </c>
      <c r="V10" s="158">
        <v>261028.712</v>
      </c>
      <c r="W10" s="151">
        <v>-0.42318810890000003</v>
      </c>
      <c r="X10" s="158">
        <v>352774.66100000002</v>
      </c>
      <c r="Y10" s="151">
        <v>-0.36480999289999999</v>
      </c>
      <c r="Z10" s="158">
        <v>140505.508</v>
      </c>
      <c r="AA10" s="158">
        <v>155889.087</v>
      </c>
      <c r="AB10" s="151">
        <v>-9.8682847500000004E-2</v>
      </c>
      <c r="AC10" s="158">
        <v>979435.65800000005</v>
      </c>
      <c r="AD10" s="158">
        <v>1118796.4569999999</v>
      </c>
      <c r="AE10" s="151">
        <v>-0.12456313939999999</v>
      </c>
      <c r="AF10" s="158">
        <v>1810584.317</v>
      </c>
      <c r="AG10" s="151">
        <v>-0.1096336181</v>
      </c>
    </row>
    <row r="11" spans="1:33">
      <c r="A11" s="144" t="s">
        <v>9</v>
      </c>
      <c r="B11" s="158">
        <v>2.306</v>
      </c>
      <c r="C11" s="158">
        <v>0</v>
      </c>
      <c r="D11" s="151">
        <v>0</v>
      </c>
      <c r="E11" s="158">
        <v>23.154</v>
      </c>
      <c r="F11" s="158">
        <v>4.33</v>
      </c>
      <c r="G11" s="151">
        <v>4.3473441108999999</v>
      </c>
      <c r="H11" s="158">
        <v>102.83799999999999</v>
      </c>
      <c r="I11" s="151">
        <v>-2.8161560400000001E-2</v>
      </c>
      <c r="J11" s="158">
        <v>1.2030000000000001</v>
      </c>
      <c r="K11" s="158">
        <v>1.2450000000000001</v>
      </c>
      <c r="L11" s="151">
        <v>-3.3734939800000002E-2</v>
      </c>
      <c r="M11" s="158">
        <v>8.9480000000000004</v>
      </c>
      <c r="N11" s="158">
        <v>15.420999999999999</v>
      </c>
      <c r="O11" s="151">
        <v>-0.41975228580000001</v>
      </c>
      <c r="P11" s="158">
        <v>14.534000000000001</v>
      </c>
      <c r="Q11" s="151">
        <v>-0.16548001840000001</v>
      </c>
      <c r="R11" s="158">
        <v>33700.387999999999</v>
      </c>
      <c r="S11" s="158">
        <v>72469.968999999997</v>
      </c>
      <c r="T11" s="151">
        <v>-0.53497443889999996</v>
      </c>
      <c r="U11" s="158">
        <v>127216.663</v>
      </c>
      <c r="V11" s="158">
        <v>248311.98699999999</v>
      </c>
      <c r="W11" s="151">
        <v>-0.48767409690000002</v>
      </c>
      <c r="X11" s="158">
        <v>320395.41700000002</v>
      </c>
      <c r="Y11" s="151">
        <v>-0.40262271989999998</v>
      </c>
      <c r="Z11" s="158">
        <v>15049.32</v>
      </c>
      <c r="AA11" s="158">
        <v>16517.121999999999</v>
      </c>
      <c r="AB11" s="151">
        <v>-8.8865481499999996E-2</v>
      </c>
      <c r="AC11" s="158">
        <v>90155.77</v>
      </c>
      <c r="AD11" s="158">
        <v>134595.283</v>
      </c>
      <c r="AE11" s="151">
        <v>-0.33017139979999999</v>
      </c>
      <c r="AF11" s="158">
        <v>184496.802</v>
      </c>
      <c r="AG11" s="151">
        <v>-0.27654816059999998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114332.13</v>
      </c>
      <c r="AA12" s="158">
        <v>137955.038</v>
      </c>
      <c r="AB12" s="151">
        <v>-0.1712362835</v>
      </c>
      <c r="AC12" s="158">
        <v>801933.99300000002</v>
      </c>
      <c r="AD12" s="158">
        <v>1390227.2490000001</v>
      </c>
      <c r="AE12" s="151">
        <v>-0.42316337590000003</v>
      </c>
      <c r="AF12" s="158">
        <v>1600717.412</v>
      </c>
      <c r="AG12" s="151">
        <v>-0.3404461956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258526.46599999999</v>
      </c>
      <c r="S13" s="158">
        <v>160980.03099999999</v>
      </c>
      <c r="T13" s="151">
        <v>0.60595363530000002</v>
      </c>
      <c r="U13" s="158">
        <v>1530436.145</v>
      </c>
      <c r="V13" s="158">
        <v>680479.83900000004</v>
      </c>
      <c r="W13" s="151">
        <v>1.2490543543999999</v>
      </c>
      <c r="X13" s="158">
        <v>1895147.8829999999</v>
      </c>
      <c r="Y13" s="151">
        <v>0.95790338549999998</v>
      </c>
      <c r="Z13" s="158">
        <v>229387.761</v>
      </c>
      <c r="AA13" s="158">
        <v>262048.87700000001</v>
      </c>
      <c r="AB13" s="151">
        <v>-0.1246374965</v>
      </c>
      <c r="AC13" s="158">
        <v>1880562.905</v>
      </c>
      <c r="AD13" s="158">
        <v>1646087.41</v>
      </c>
      <c r="AE13" s="151">
        <v>0.14244413359999999</v>
      </c>
      <c r="AF13" s="158">
        <v>3287993.0449999999</v>
      </c>
      <c r="AG13" s="151">
        <v>8.6184678000000001E-2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4068.998</v>
      </c>
      <c r="T14" s="151">
        <v>-1</v>
      </c>
      <c r="U14" s="158">
        <v>0</v>
      </c>
      <c r="V14" s="158">
        <v>5656.223</v>
      </c>
      <c r="W14" s="151">
        <v>-1</v>
      </c>
      <c r="X14" s="158">
        <v>11167.581</v>
      </c>
      <c r="Y14" s="151">
        <v>-0.16636041009999999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3652.422</v>
      </c>
      <c r="AA15" s="158">
        <v>3727.3380000000002</v>
      </c>
      <c r="AB15" s="151">
        <v>-2.00990627E-2</v>
      </c>
      <c r="AC15" s="158">
        <v>10815.562</v>
      </c>
      <c r="AD15" s="158">
        <v>12716.218999999999</v>
      </c>
      <c r="AE15" s="151">
        <v>-0.14946714899999999</v>
      </c>
      <c r="AF15" s="158">
        <v>21348.061000000002</v>
      </c>
      <c r="AG15" s="151">
        <v>4.5180782000000003E-2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219.7</v>
      </c>
      <c r="S16" s="158">
        <v>230.36600000000001</v>
      </c>
      <c r="T16" s="151">
        <v>-4.6300235299999999E-2</v>
      </c>
      <c r="U16" s="158">
        <v>2275.1860000000001</v>
      </c>
      <c r="V16" s="158">
        <v>3880.5549999999998</v>
      </c>
      <c r="W16" s="151">
        <v>-0.41369572139999999</v>
      </c>
      <c r="X16" s="158">
        <v>4479.451</v>
      </c>
      <c r="Y16" s="151">
        <v>-0.23631784389999999</v>
      </c>
      <c r="Z16" s="158">
        <v>148004.049</v>
      </c>
      <c r="AA16" s="158">
        <v>158183.53</v>
      </c>
      <c r="AB16" s="151">
        <v>-6.4352344399999997E-2</v>
      </c>
      <c r="AC16" s="158">
        <v>626362.03599999996</v>
      </c>
      <c r="AD16" s="158">
        <v>596031.46</v>
      </c>
      <c r="AE16" s="151">
        <v>5.0887542100000002E-2</v>
      </c>
      <c r="AF16" s="158">
        <v>1168537.8870000001</v>
      </c>
      <c r="AG16" s="151">
        <v>0.43918624010000001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7.9089999999999998</v>
      </c>
      <c r="K17" s="158">
        <v>8.1669999999999998</v>
      </c>
      <c r="L17" s="151">
        <v>-3.1590547300000001E-2</v>
      </c>
      <c r="M17" s="158">
        <v>46.829000000000001</v>
      </c>
      <c r="N17" s="158">
        <v>50.578000000000003</v>
      </c>
      <c r="O17" s="151">
        <v>-7.4123136500000006E-2</v>
      </c>
      <c r="P17" s="158">
        <v>76.623999999999995</v>
      </c>
      <c r="Q17" s="151">
        <v>-4.7959843000000002E-2</v>
      </c>
      <c r="R17" s="158">
        <v>12761.147999999999</v>
      </c>
      <c r="S17" s="158">
        <v>12477.155000000001</v>
      </c>
      <c r="T17" s="151">
        <v>2.2761038099999999E-2</v>
      </c>
      <c r="U17" s="158">
        <v>72561.305999999997</v>
      </c>
      <c r="V17" s="158">
        <v>77394.346000000005</v>
      </c>
      <c r="W17" s="151">
        <v>-6.2446939E-2</v>
      </c>
      <c r="X17" s="158">
        <v>116158.91499999999</v>
      </c>
      <c r="Y17" s="151">
        <v>-2.5132439600000001E-2</v>
      </c>
      <c r="Z17" s="158">
        <v>26953.360000000001</v>
      </c>
      <c r="AA17" s="158">
        <v>29608.312000000002</v>
      </c>
      <c r="AB17" s="151">
        <v>-8.9669144300000003E-2</v>
      </c>
      <c r="AC17" s="158">
        <v>159209.092</v>
      </c>
      <c r="AD17" s="158">
        <v>171190.59299999999</v>
      </c>
      <c r="AE17" s="151">
        <v>-6.9989248800000001E-2</v>
      </c>
      <c r="AF17" s="158">
        <v>266797.99099999998</v>
      </c>
      <c r="AG17" s="151">
        <v>-3.8335594799999997E-2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52.530999999999999</v>
      </c>
      <c r="S18" s="158">
        <v>98.984999999999999</v>
      </c>
      <c r="T18" s="151">
        <v>-0.4693034298</v>
      </c>
      <c r="U18" s="158">
        <v>439.964</v>
      </c>
      <c r="V18" s="158">
        <v>669.96600000000001</v>
      </c>
      <c r="W18" s="151">
        <v>-0.3433039886</v>
      </c>
      <c r="X18" s="158">
        <v>909.36500000000001</v>
      </c>
      <c r="Y18" s="151">
        <v>-9.6549887900000006E-2</v>
      </c>
      <c r="Z18" s="158">
        <v>693.86</v>
      </c>
      <c r="AA18" s="158">
        <v>917.45799999999997</v>
      </c>
      <c r="AB18" s="151">
        <v>-0.24371469870000001</v>
      </c>
      <c r="AC18" s="158">
        <v>5568.27</v>
      </c>
      <c r="AD18" s="158">
        <v>6268.8440000000001</v>
      </c>
      <c r="AE18" s="151">
        <v>-0.11175489449999999</v>
      </c>
      <c r="AF18" s="158">
        <v>9072.9950000000008</v>
      </c>
      <c r="AG18" s="151">
        <v>-0.1302096854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2331.9319999999998</v>
      </c>
      <c r="S19" s="158">
        <v>1194.4639999999999</v>
      </c>
      <c r="T19" s="151">
        <v>0.95228319979999998</v>
      </c>
      <c r="U19" s="158">
        <v>21628.976999999999</v>
      </c>
      <c r="V19" s="158">
        <v>18788.422999999999</v>
      </c>
      <c r="W19" s="151">
        <v>0.15118639810000001</v>
      </c>
      <c r="X19" s="158">
        <v>37266.438999999998</v>
      </c>
      <c r="Y19" s="151">
        <v>0.10523884629999999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542.46400000000006</v>
      </c>
      <c r="K20" s="158">
        <v>426.11700000000002</v>
      </c>
      <c r="L20" s="151">
        <v>0.27304003360000001</v>
      </c>
      <c r="M20" s="158">
        <v>3101.2584999999999</v>
      </c>
      <c r="N20" s="158">
        <v>3443.41</v>
      </c>
      <c r="O20" s="151">
        <v>-9.9364147700000002E-2</v>
      </c>
      <c r="P20" s="158">
        <v>5054.8469999999998</v>
      </c>
      <c r="Q20" s="151">
        <v>-7.1743030099999994E-2</v>
      </c>
      <c r="R20" s="158">
        <v>10772.0165</v>
      </c>
      <c r="S20" s="158">
        <v>14442.4645</v>
      </c>
      <c r="T20" s="151">
        <v>-0.25414277460000001</v>
      </c>
      <c r="U20" s="158">
        <v>61158.135499999997</v>
      </c>
      <c r="V20" s="158">
        <v>81832.181500000006</v>
      </c>
      <c r="W20" s="151">
        <v>-0.25263955599999999</v>
      </c>
      <c r="X20" s="158">
        <v>124789.215</v>
      </c>
      <c r="Y20" s="151">
        <v>-0.13522840219999999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542.46400000000006</v>
      </c>
      <c r="K21" s="158">
        <v>426.11700000000002</v>
      </c>
      <c r="L21" s="151">
        <v>0.27304003360000001</v>
      </c>
      <c r="M21" s="158">
        <v>3101.2584999999999</v>
      </c>
      <c r="N21" s="158">
        <v>3443.41</v>
      </c>
      <c r="O21" s="151">
        <v>-9.9364147700000002E-2</v>
      </c>
      <c r="P21" s="158">
        <v>5054.8469999999998</v>
      </c>
      <c r="Q21" s="151">
        <v>-7.1743030099999994E-2</v>
      </c>
      <c r="R21" s="158">
        <v>10772.0165</v>
      </c>
      <c r="S21" s="158">
        <v>14442.4645</v>
      </c>
      <c r="T21" s="151">
        <v>-0.25414277460000001</v>
      </c>
      <c r="U21" s="158">
        <v>61158.135499999997</v>
      </c>
      <c r="V21" s="158">
        <v>81832.181500000006</v>
      </c>
      <c r="W21" s="151">
        <v>-0.25263955599999999</v>
      </c>
      <c r="X21" s="158">
        <v>124789.215</v>
      </c>
      <c r="Y21" s="151">
        <v>-0.13522840219999999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17917.511999999999</v>
      </c>
      <c r="C22" s="159">
        <v>18185.252</v>
      </c>
      <c r="D22" s="152">
        <v>-1.4722919399999999E-2</v>
      </c>
      <c r="E22" s="159">
        <v>115328.836</v>
      </c>
      <c r="F22" s="159">
        <v>117250.126</v>
      </c>
      <c r="G22" s="152">
        <v>-1.6386251000000001E-2</v>
      </c>
      <c r="H22" s="159">
        <v>204126.95</v>
      </c>
      <c r="I22" s="152">
        <v>-7.0263289E-3</v>
      </c>
      <c r="J22" s="159">
        <v>21140.911</v>
      </c>
      <c r="K22" s="159">
        <v>19981.724999999999</v>
      </c>
      <c r="L22" s="152">
        <v>5.8012308700000001E-2</v>
      </c>
      <c r="M22" s="159">
        <v>117526.459</v>
      </c>
      <c r="N22" s="159">
        <v>120507.645</v>
      </c>
      <c r="O22" s="152">
        <v>-2.4738563299999999E-2</v>
      </c>
      <c r="P22" s="159">
        <v>207923.43900000001</v>
      </c>
      <c r="Q22" s="152">
        <v>-2.4064691900000001E-2</v>
      </c>
      <c r="R22" s="159">
        <v>360591.79599999997</v>
      </c>
      <c r="S22" s="159">
        <v>518210.39399999997</v>
      </c>
      <c r="T22" s="152">
        <v>-0.30415946849999997</v>
      </c>
      <c r="U22" s="159">
        <v>2015311.1240000001</v>
      </c>
      <c r="V22" s="159">
        <v>2505266.5589999999</v>
      </c>
      <c r="W22" s="152">
        <v>-0.1955701812</v>
      </c>
      <c r="X22" s="159">
        <v>3930298.102</v>
      </c>
      <c r="Y22" s="152">
        <v>-0.13648703009999999</v>
      </c>
      <c r="Z22" s="159">
        <v>678868.71100000001</v>
      </c>
      <c r="AA22" s="159">
        <v>765145.18099999998</v>
      </c>
      <c r="AB22" s="152">
        <v>-0.11275830019999999</v>
      </c>
      <c r="AC22" s="159">
        <v>4556053.6730000004</v>
      </c>
      <c r="AD22" s="159">
        <v>5077947.59</v>
      </c>
      <c r="AE22" s="152">
        <v>-0.1027765466</v>
      </c>
      <c r="AF22" s="159">
        <v>8353033.9369999999</v>
      </c>
      <c r="AG22" s="152">
        <v>-5.7896996100000001E-2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168331.69500000001</v>
      </c>
      <c r="S23" s="158">
        <v>201166.114</v>
      </c>
      <c r="T23" s="151">
        <v>-0.16322042689999999</v>
      </c>
      <c r="U23" s="158">
        <v>787013.88399999996</v>
      </c>
      <c r="V23" s="158">
        <v>1007196.812</v>
      </c>
      <c r="W23" s="151">
        <v>-0.21860963559999999</v>
      </c>
      <c r="X23" s="158">
        <v>1474657.594</v>
      </c>
      <c r="Y23" s="151">
        <v>-4.11306803E-2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17917.511999999999</v>
      </c>
      <c r="C24" s="159">
        <v>18185.252</v>
      </c>
      <c r="D24" s="152">
        <v>-1.4722919399999999E-2</v>
      </c>
      <c r="E24" s="159">
        <v>115328.836</v>
      </c>
      <c r="F24" s="159">
        <v>117250.126</v>
      </c>
      <c r="G24" s="152">
        <v>-1.6386251000000001E-2</v>
      </c>
      <c r="H24" s="159">
        <v>204126.95</v>
      </c>
      <c r="I24" s="152">
        <v>-7.0263289E-3</v>
      </c>
      <c r="J24" s="159">
        <v>21140.911</v>
      </c>
      <c r="K24" s="159">
        <v>19981.724999999999</v>
      </c>
      <c r="L24" s="152">
        <v>5.8012308700000001E-2</v>
      </c>
      <c r="M24" s="159">
        <v>117526.459</v>
      </c>
      <c r="N24" s="159">
        <v>120507.645</v>
      </c>
      <c r="O24" s="152">
        <v>-2.4738563299999999E-2</v>
      </c>
      <c r="P24" s="159">
        <v>207923.43900000001</v>
      </c>
      <c r="Q24" s="152">
        <v>-2.4064691900000001E-2</v>
      </c>
      <c r="R24" s="159">
        <v>528923.49100000004</v>
      </c>
      <c r="S24" s="159">
        <v>719376.50800000003</v>
      </c>
      <c r="T24" s="152">
        <v>-0.26474734010000001</v>
      </c>
      <c r="U24" s="159">
        <v>2802325.0079999999</v>
      </c>
      <c r="V24" s="159">
        <v>3512463.3709999998</v>
      </c>
      <c r="W24" s="152">
        <v>-0.2021767313</v>
      </c>
      <c r="X24" s="159">
        <v>5404955.6960000005</v>
      </c>
      <c r="Y24" s="152">
        <v>-0.112404373</v>
      </c>
      <c r="Z24" s="159">
        <v>678868.71100000001</v>
      </c>
      <c r="AA24" s="159">
        <v>765145.18099999998</v>
      </c>
      <c r="AB24" s="152">
        <v>-0.11275830019999999</v>
      </c>
      <c r="AC24" s="159">
        <v>4556053.6730000004</v>
      </c>
      <c r="AD24" s="159">
        <v>5077947.59</v>
      </c>
      <c r="AE24" s="152">
        <v>-0.1027765466</v>
      </c>
      <c r="AF24" s="159">
        <v>8353033.9369999999</v>
      </c>
      <c r="AG24" s="152">
        <v>-5.7896996100000001E-2</v>
      </c>
    </row>
    <row r="26" spans="1:33">
      <c r="A26" s="111" t="s">
        <v>114</v>
      </c>
      <c r="B26" s="180">
        <f>SUM(B24,J24,R24,Z24)</f>
        <v>1246850.625</v>
      </c>
      <c r="C26" s="180">
        <f>SUM(C24,K24,S24,AA24)</f>
        <v>1522688.666</v>
      </c>
      <c r="D26" s="181">
        <f>((B26/C26)-1)*100</f>
        <v>-18.115196307634427</v>
      </c>
      <c r="R26" s="181"/>
    </row>
    <row r="29" spans="1:33" ht="15">
      <c r="A29" s="145" t="s">
        <v>67</v>
      </c>
      <c r="B29" s="205" t="str">
        <f>A2</f>
        <v>Julio 2020</v>
      </c>
      <c r="C29" s="206"/>
    </row>
    <row r="30" spans="1:33" ht="15">
      <c r="A30" s="145" t="s">
        <v>69</v>
      </c>
      <c r="B30" s="217" t="s">
        <v>72</v>
      </c>
      <c r="C30" s="218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430.315</v>
      </c>
    </row>
    <row r="42" spans="1:3">
      <c r="A42" s="144" t="s">
        <v>4</v>
      </c>
      <c r="B42" s="147">
        <v>80.929604999999839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2015.9341050000003</v>
      </c>
      <c r="C47" s="179">
        <f>SUM(C33:C46)</f>
        <v>3014.4281449999994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B52/$B$63*100</f>
        <v>11.964676791853766</v>
      </c>
      <c r="F52" s="114" t="s">
        <v>10</v>
      </c>
      <c r="G52" s="115">
        <f>C35</f>
        <v>495.92</v>
      </c>
      <c r="H52" s="116">
        <f>G52/$G$62*100</f>
        <v>16.451544908196844</v>
      </c>
    </row>
    <row r="53" spans="1:8">
      <c r="A53" s="114" t="s">
        <v>10</v>
      </c>
      <c r="B53" s="115">
        <f t="shared" ref="B53:B54" si="0">B35</f>
        <v>139.4</v>
      </c>
      <c r="C53" s="116">
        <f>B53/$B$63*100</f>
        <v>6.9149085604660669</v>
      </c>
      <c r="F53" s="114" t="s">
        <v>9</v>
      </c>
      <c r="G53" s="115">
        <f>C36</f>
        <v>557.1400000000001</v>
      </c>
      <c r="H53" s="116">
        <f t="shared" ref="H53:H61" si="1">G53/$G$62*100</f>
        <v>18.482444205018531</v>
      </c>
    </row>
    <row r="54" spans="1:8">
      <c r="A54" s="114" t="s">
        <v>9</v>
      </c>
      <c r="B54" s="115">
        <f t="shared" si="0"/>
        <v>605.4</v>
      </c>
      <c r="C54" s="116">
        <f>B54/$B$63*100</f>
        <v>30.030743490001122</v>
      </c>
      <c r="F54" s="114" t="s">
        <v>8</v>
      </c>
      <c r="G54" s="115">
        <f>C37</f>
        <v>482.64</v>
      </c>
      <c r="H54" s="116">
        <f t="shared" si="1"/>
        <v>16.010997004541306</v>
      </c>
    </row>
    <row r="55" spans="1:8">
      <c r="A55" s="114" t="s">
        <v>25</v>
      </c>
      <c r="B55" s="115">
        <f>B38</f>
        <v>857.95</v>
      </c>
      <c r="C55" s="116">
        <f>B55/$B$63*100</f>
        <v>42.558434716297434</v>
      </c>
      <c r="F55" s="114" t="s">
        <v>25</v>
      </c>
      <c r="G55" s="115">
        <f>C38</f>
        <v>864.2</v>
      </c>
      <c r="H55" s="116">
        <f t="shared" si="1"/>
        <v>28.668787525535794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si="1"/>
        <v>0</v>
      </c>
    </row>
    <row r="57" spans="1:8">
      <c r="A57" s="114" t="s">
        <v>23</v>
      </c>
      <c r="B57" s="115">
        <f>B44</f>
        <v>10.486999999999998</v>
      </c>
      <c r="C57" s="116">
        <f>B57/$B$63*100</f>
        <v>0.52020549550651096</v>
      </c>
      <c r="F57" s="114" t="s">
        <v>12</v>
      </c>
      <c r="G57" s="116">
        <f>C33</f>
        <v>2.02</v>
      </c>
      <c r="H57" s="116">
        <f t="shared" si="1"/>
        <v>6.7011051610254932E-2</v>
      </c>
    </row>
    <row r="58" spans="1:8">
      <c r="A58" s="114" t="s">
        <v>55</v>
      </c>
      <c r="B58" s="115">
        <f>B46</f>
        <v>37.400000000000006</v>
      </c>
      <c r="C58" s="116">
        <f t="shared" ref="C58:C62" si="2">B58/$B$63*100</f>
        <v>1.8552193698811399</v>
      </c>
      <c r="F58" s="114" t="s">
        <v>6</v>
      </c>
      <c r="G58" s="115">
        <f>C40</f>
        <v>11.39</v>
      </c>
      <c r="H58" s="116">
        <f t="shared" si="1"/>
        <v>0.37784944447564534</v>
      </c>
    </row>
    <row r="59" spans="1:8">
      <c r="A59" s="114" t="s">
        <v>54</v>
      </c>
      <c r="B59" s="115">
        <f>B45</f>
        <v>37.400000000000006</v>
      </c>
      <c r="C59" s="116">
        <f t="shared" si="2"/>
        <v>1.8552193698811399</v>
      </c>
      <c r="F59" s="114" t="s">
        <v>5</v>
      </c>
      <c r="G59" s="115">
        <f>C41</f>
        <v>430.315</v>
      </c>
      <c r="H59" s="116">
        <f t="shared" si="1"/>
        <v>14.275178551320222</v>
      </c>
    </row>
    <row r="60" spans="1:8">
      <c r="A60" s="114" t="s">
        <v>5</v>
      </c>
      <c r="B60" s="115">
        <f>B41</f>
        <v>3.6374999999999909</v>
      </c>
      <c r="C60" s="116">
        <f t="shared" si="2"/>
        <v>0.18043744539953552</v>
      </c>
      <c r="F60" s="114" t="s">
        <v>4</v>
      </c>
      <c r="G60" s="115">
        <f>C42</f>
        <v>167.10714499999966</v>
      </c>
      <c r="H60" s="116">
        <f t="shared" si="1"/>
        <v>5.5435769891273914</v>
      </c>
    </row>
    <row r="61" spans="1:8">
      <c r="A61" s="114" t="s">
        <v>4</v>
      </c>
      <c r="B61" s="115">
        <f>B42</f>
        <v>80.929604999999839</v>
      </c>
      <c r="C61" s="116">
        <f t="shared" si="2"/>
        <v>4.0144965452628139</v>
      </c>
      <c r="F61" s="114" t="s">
        <v>22</v>
      </c>
      <c r="G61" s="115">
        <f>C43</f>
        <v>3.6960000000000002</v>
      </c>
      <c r="H61" s="116">
        <f t="shared" si="1"/>
        <v>0.12261032017401099</v>
      </c>
    </row>
    <row r="62" spans="1:8">
      <c r="A62" s="114" t="s">
        <v>22</v>
      </c>
      <c r="B62" s="115">
        <f>B43</f>
        <v>2.13</v>
      </c>
      <c r="C62" s="116">
        <f t="shared" si="2"/>
        <v>0.10565821545044994</v>
      </c>
      <c r="F62" s="117" t="s">
        <v>20</v>
      </c>
      <c r="G62" s="118">
        <f>SUM(G52:G61)</f>
        <v>3014.4281449999999</v>
      </c>
      <c r="H62" s="119">
        <f>SUM(H52:H61)</f>
        <v>99.999999999999986</v>
      </c>
    </row>
    <row r="63" spans="1:8">
      <c r="A63" s="117" t="s">
        <v>20</v>
      </c>
      <c r="B63" s="118">
        <f>SUM(B52:B62)</f>
        <v>2015.9341050000003</v>
      </c>
      <c r="C63" s="119">
        <f>SUM(C52:C62)</f>
        <v>99.999999999999972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IF(R9&lt;0,0)</f>
        <v>0</v>
      </c>
      <c r="D68" s="183">
        <f>(C68/SUM($C$68:$C$78))*100</f>
        <v>0</v>
      </c>
      <c r="F68" s="114" t="s">
        <v>10</v>
      </c>
      <c r="G68" s="116">
        <f>Z10/Z$24*100</f>
        <v>20.697007495459605</v>
      </c>
    </row>
    <row r="69" spans="1:7">
      <c r="A69" s="114" t="s">
        <v>10</v>
      </c>
      <c r="B69" s="116">
        <f t="shared" ref="B69:B79" si="3">C69/$C$80*100</f>
        <v>6.1457586106306152</v>
      </c>
      <c r="C69" s="115">
        <f>R10</f>
        <v>32575.167000000001</v>
      </c>
      <c r="D69" s="183">
        <f t="shared" ref="D69:D78" si="4">(C69/SUM($C$68:$C$78))*100</f>
        <v>9.0058455863005573</v>
      </c>
      <c r="F69" s="114" t="s">
        <v>9</v>
      </c>
      <c r="G69" s="116">
        <f>Z11/Z$24*100</f>
        <v>2.2168233350792916</v>
      </c>
    </row>
    <row r="70" spans="1:7">
      <c r="A70" s="114" t="s">
        <v>9</v>
      </c>
      <c r="B70" s="116">
        <f t="shared" si="3"/>
        <v>6.3580472122396996</v>
      </c>
      <c r="C70" s="115">
        <f>R11</f>
        <v>33700.387999999999</v>
      </c>
      <c r="D70" s="183">
        <f t="shared" si="4"/>
        <v>9.3169281534739721</v>
      </c>
      <c r="F70" s="114" t="s">
        <v>8</v>
      </c>
      <c r="G70" s="116">
        <f>Z12/Z$24*100</f>
        <v>16.841567176013214</v>
      </c>
    </row>
    <row r="71" spans="1:7">
      <c r="A71" s="114" t="s">
        <v>25</v>
      </c>
      <c r="B71" s="116">
        <f t="shared" si="3"/>
        <v>48.77461578310259</v>
      </c>
      <c r="C71" s="115">
        <f>R13</f>
        <v>258526.46599999999</v>
      </c>
      <c r="D71" s="183">
        <f>(C71/SUM($C$68:$C$78))*100</f>
        <v>71.47313881055409</v>
      </c>
      <c r="F71" s="114" t="s">
        <v>25</v>
      </c>
      <c r="G71" s="116">
        <f>Z13/Z$24*100</f>
        <v>33.789708861688865</v>
      </c>
    </row>
    <row r="72" spans="1:7">
      <c r="A72" s="114"/>
      <c r="B72" s="116"/>
      <c r="C72" s="115"/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3"/>
        <v>0.43995142583321434</v>
      </c>
      <c r="C73" s="115">
        <f>R19</f>
        <v>2331.9319999999998</v>
      </c>
      <c r="D73" s="183">
        <f t="shared" si="4"/>
        <v>0.64469414722426532</v>
      </c>
      <c r="F73" s="114" t="s">
        <v>12</v>
      </c>
      <c r="G73" s="116">
        <f>Z8/Z$24*100</f>
        <v>4.2762465745751536E-2</v>
      </c>
    </row>
    <row r="74" spans="1:7">
      <c r="A74" s="114" t="s">
        <v>55</v>
      </c>
      <c r="B74" s="116">
        <f t="shared" si="3"/>
        <v>2.0322908293526187</v>
      </c>
      <c r="C74" s="115">
        <f>R21</f>
        <v>10772.0165</v>
      </c>
      <c r="D74" s="183">
        <f t="shared" si="4"/>
        <v>2.9780696827151116</v>
      </c>
      <c r="F74" s="114" t="s">
        <v>6</v>
      </c>
      <c r="G74" s="116">
        <f>Z15/Z$24*100</f>
        <v>0.5380159581401005</v>
      </c>
    </row>
    <row r="75" spans="1:7">
      <c r="A75" s="114" t="s">
        <v>54</v>
      </c>
      <c r="B75" s="116">
        <f t="shared" si="3"/>
        <v>2.0322908293526187</v>
      </c>
      <c r="C75" s="115">
        <f>R20</f>
        <v>10772.0165</v>
      </c>
      <c r="D75" s="183">
        <f t="shared" si="4"/>
        <v>2.9780696827151116</v>
      </c>
      <c r="F75" s="114" t="s">
        <v>5</v>
      </c>
      <c r="G75" s="116">
        <f>Z16/Z$24*100</f>
        <v>21.801571732770579</v>
      </c>
    </row>
    <row r="76" spans="1:7">
      <c r="A76" s="114" t="s">
        <v>5</v>
      </c>
      <c r="B76" s="116">
        <f t="shared" si="3"/>
        <v>4.1449462615358076E-2</v>
      </c>
      <c r="C76" s="115">
        <f>R16</f>
        <v>219.7</v>
      </c>
      <c r="D76" s="183">
        <f t="shared" si="4"/>
        <v>6.0739037049609979E-2</v>
      </c>
      <c r="F76" s="114" t="s">
        <v>4</v>
      </c>
      <c r="G76" s="116">
        <f>Z17/Z$24*100</f>
        <v>3.9703346999593858</v>
      </c>
    </row>
    <row r="77" spans="1:7">
      <c r="A77" s="114" t="s">
        <v>4</v>
      </c>
      <c r="B77" s="116">
        <f t="shared" si="3"/>
        <v>2.407568170027544</v>
      </c>
      <c r="C77" s="115">
        <f>R17</f>
        <v>12761.147999999999</v>
      </c>
      <c r="D77" s="183">
        <f t="shared" si="4"/>
        <v>3.5279919943903337</v>
      </c>
      <c r="F77" s="114" t="s">
        <v>22</v>
      </c>
      <c r="G77" s="116">
        <f>Z18/Z$24*100</f>
        <v>0.10220827514320364</v>
      </c>
    </row>
    <row r="78" spans="1:7">
      <c r="A78" s="114" t="s">
        <v>22</v>
      </c>
      <c r="B78" s="116">
        <f t="shared" si="3"/>
        <v>9.9107042359916943E-3</v>
      </c>
      <c r="C78" s="115">
        <f>R18</f>
        <v>52.530999999999999</v>
      </c>
      <c r="D78" s="183">
        <f t="shared" si="4"/>
        <v>1.4522905576937013E-2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 t="shared" si="3"/>
        <v>31.758116972609734</v>
      </c>
      <c r="C79" s="115">
        <f>R23</f>
        <v>168331.69500000001</v>
      </c>
      <c r="D79" s="186"/>
    </row>
    <row r="80" spans="1:7">
      <c r="A80" s="117" t="s">
        <v>20</v>
      </c>
      <c r="B80" s="119">
        <f>SUM(B68:B79)</f>
        <v>100</v>
      </c>
      <c r="C80" s="118">
        <f>SUM(C68:C79)</f>
        <v>530043.06000000006</v>
      </c>
      <c r="D80" s="186"/>
    </row>
    <row r="85" spans="1:26" ht="15">
      <c r="A85" s="145"/>
      <c r="B85" s="145" t="s">
        <v>69</v>
      </c>
      <c r="C85" s="219" t="s">
        <v>13</v>
      </c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/>
      <c r="X85"/>
      <c r="Y85"/>
      <c r="Z85"/>
    </row>
    <row r="86" spans="1:26" ht="15">
      <c r="A86" s="145"/>
      <c r="B86" s="143" t="s">
        <v>67</v>
      </c>
      <c r="C86" s="187" t="s">
        <v>80</v>
      </c>
      <c r="D86" s="187" t="s">
        <v>81</v>
      </c>
      <c r="E86" s="187" t="s">
        <v>82</v>
      </c>
      <c r="F86" s="187" t="s">
        <v>83</v>
      </c>
      <c r="G86" s="187" t="s">
        <v>84</v>
      </c>
      <c r="H86" s="187" t="s">
        <v>85</v>
      </c>
      <c r="I86" s="187" t="s">
        <v>94</v>
      </c>
      <c r="J86" s="187" t="s">
        <v>97</v>
      </c>
      <c r="K86" s="187" t="s">
        <v>98</v>
      </c>
      <c r="L86" s="187" t="s">
        <v>112</v>
      </c>
      <c r="M86" s="187" t="s">
        <v>113</v>
      </c>
      <c r="N86" s="187" t="s">
        <v>115</v>
      </c>
      <c r="O86" s="187" t="s">
        <v>116</v>
      </c>
      <c r="P86" s="187" t="s">
        <v>117</v>
      </c>
      <c r="Q86" s="187" t="s">
        <v>119</v>
      </c>
      <c r="R86" s="187" t="s">
        <v>121</v>
      </c>
      <c r="S86" s="187" t="s">
        <v>122</v>
      </c>
      <c r="T86" s="187" t="s">
        <v>123</v>
      </c>
      <c r="U86" s="187" t="s">
        <v>124</v>
      </c>
      <c r="V86" s="187" t="s">
        <v>128</v>
      </c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/>
      <c r="X87"/>
      <c r="Y87"/>
      <c r="Z87"/>
    </row>
    <row r="88" spans="1:26" ht="15">
      <c r="A88" s="216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-1.7178340000000001</v>
      </c>
      <c r="R88" s="147">
        <v>-1.680847</v>
      </c>
      <c r="S88" s="147">
        <v>-1.7940100000000001</v>
      </c>
      <c r="T88" s="147">
        <v>-1.2808299999999999</v>
      </c>
      <c r="U88" s="147">
        <v>-1.119569</v>
      </c>
      <c r="V88" s="147">
        <v>0</v>
      </c>
      <c r="W88"/>
      <c r="X88"/>
      <c r="Y88"/>
      <c r="Z88"/>
    </row>
    <row r="89" spans="1:26" ht="15">
      <c r="A89" s="214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17.902134</v>
      </c>
      <c r="U89" s="147">
        <v>32.575167</v>
      </c>
      <c r="V89" s="147">
        <v>12.793372</v>
      </c>
      <c r="W89"/>
      <c r="X89"/>
      <c r="Y89"/>
      <c r="Z89"/>
    </row>
    <row r="90" spans="1:26" ht="15">
      <c r="A90" s="214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18.899491999999999</v>
      </c>
      <c r="R90" s="147">
        <v>9.9217499999999994</v>
      </c>
      <c r="S90" s="147">
        <v>9.5129249999999992</v>
      </c>
      <c r="T90" s="147">
        <v>15.970385</v>
      </c>
      <c r="U90" s="147">
        <v>33.700387999999997</v>
      </c>
      <c r="V90" s="147">
        <v>8.8058619999999994</v>
      </c>
      <c r="W90"/>
      <c r="X90"/>
      <c r="Y90"/>
      <c r="Z90"/>
    </row>
    <row r="91" spans="1:26" ht="15">
      <c r="A91" s="214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223.68889899999999</v>
      </c>
      <c r="R91" s="147">
        <v>190.73178300000001</v>
      </c>
      <c r="S91" s="147">
        <v>192.66073600000001</v>
      </c>
      <c r="T91" s="147">
        <v>191.22599500000001</v>
      </c>
      <c r="U91" s="147">
        <v>258.52646600000003</v>
      </c>
      <c r="V91" s="147">
        <v>88.924087999999998</v>
      </c>
      <c r="W91"/>
      <c r="X91"/>
      <c r="Y91"/>
      <c r="Z91"/>
    </row>
    <row r="92" spans="1:26" ht="15">
      <c r="A92" s="214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4.0689979999999997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0.56184999999999996</v>
      </c>
      <c r="W92"/>
      <c r="X92"/>
      <c r="Y92"/>
      <c r="Z92"/>
    </row>
    <row r="93" spans="1:26" ht="15">
      <c r="A93" s="214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0.35056999999999999</v>
      </c>
      <c r="T93" s="147">
        <v>0.21834000000000001</v>
      </c>
      <c r="U93" s="147">
        <v>0.21970000000000001</v>
      </c>
      <c r="V93" s="147">
        <v>6.8629999999999997E-2</v>
      </c>
      <c r="W93"/>
      <c r="X93"/>
      <c r="Y93"/>
      <c r="Z93"/>
    </row>
    <row r="94" spans="1:26" ht="15">
      <c r="A94" s="214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13.303602</v>
      </c>
      <c r="I94" s="147">
        <v>12.477155</v>
      </c>
      <c r="J94" s="147">
        <v>12.245136</v>
      </c>
      <c r="K94" s="147">
        <v>10.044699</v>
      </c>
      <c r="L94" s="147">
        <v>9.1120260000000002</v>
      </c>
      <c r="M94" s="147">
        <v>6.2902100000000001</v>
      </c>
      <c r="N94" s="147">
        <v>5.905538</v>
      </c>
      <c r="O94" s="147">
        <v>5.931076</v>
      </c>
      <c r="P94" s="147">
        <v>8.7357479999999992</v>
      </c>
      <c r="Q94" s="147">
        <v>9.1979059999999997</v>
      </c>
      <c r="R94" s="147">
        <v>10.819095000000001</v>
      </c>
      <c r="S94" s="147">
        <v>12.879177</v>
      </c>
      <c r="T94" s="147">
        <v>12.237156000000001</v>
      </c>
      <c r="U94" s="147">
        <v>12.761148</v>
      </c>
      <c r="V94" s="147">
        <v>4.0030000000000001</v>
      </c>
      <c r="W94"/>
      <c r="X94"/>
      <c r="Y94"/>
      <c r="Z94"/>
    </row>
    <row r="95" spans="1:26" ht="15">
      <c r="A95" s="214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5.9750999999999999E-2</v>
      </c>
      <c r="U95" s="147">
        <v>5.2531000000000001E-2</v>
      </c>
      <c r="V95" s="147">
        <v>5.7000000000000002E-3</v>
      </c>
      <c r="W95"/>
      <c r="X95"/>
      <c r="Y95"/>
      <c r="Z95"/>
    </row>
    <row r="96" spans="1:26" ht="15">
      <c r="A96" s="214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2.5969359999999999</v>
      </c>
      <c r="U96" s="147">
        <v>2.3319320000000001</v>
      </c>
      <c r="V96" s="147">
        <v>0.59860000000000002</v>
      </c>
      <c r="W96"/>
      <c r="X96"/>
      <c r="Y96"/>
      <c r="Z96"/>
    </row>
    <row r="97" spans="1:26" ht="15">
      <c r="A97" s="214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14.316091999999999</v>
      </c>
      <c r="U97" s="147">
        <v>10.772016499999999</v>
      </c>
      <c r="V97" s="147">
        <v>3.4079000000000002</v>
      </c>
      <c r="W97"/>
      <c r="X97"/>
      <c r="Y97"/>
      <c r="Z97"/>
    </row>
    <row r="98" spans="1:26" ht="15">
      <c r="A98" s="214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14.316091999999999</v>
      </c>
      <c r="U98" s="147">
        <v>10.772016499999999</v>
      </c>
      <c r="V98" s="147">
        <v>3.4079000000000002</v>
      </c>
      <c r="W98"/>
      <c r="X98"/>
      <c r="Y98"/>
      <c r="Z98"/>
    </row>
    <row r="99" spans="1:26" ht="15">
      <c r="A99" s="214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380.077606</v>
      </c>
      <c r="I99" s="150">
        <v>518.21039399999995</v>
      </c>
      <c r="J99" s="150">
        <v>519.32913299999996</v>
      </c>
      <c r="K99" s="150">
        <v>419.42357099999998</v>
      </c>
      <c r="L99" s="150">
        <v>352.73766499999999</v>
      </c>
      <c r="M99" s="150">
        <v>321.29862900000001</v>
      </c>
      <c r="N99" s="150">
        <v>302.19797999999997</v>
      </c>
      <c r="O99" s="150">
        <v>320.30483900000002</v>
      </c>
      <c r="P99" s="150">
        <v>287.50698</v>
      </c>
      <c r="Q99" s="150">
        <v>291.01352600000001</v>
      </c>
      <c r="R99" s="150">
        <v>241.12726000000001</v>
      </c>
      <c r="S99" s="150">
        <v>247.20467199999999</v>
      </c>
      <c r="T99" s="150">
        <v>267.562051</v>
      </c>
      <c r="U99" s="150">
        <v>360.59179599999999</v>
      </c>
      <c r="V99" s="150">
        <v>122.576902</v>
      </c>
      <c r="W99"/>
      <c r="X99"/>
      <c r="Y99"/>
      <c r="Z99"/>
    </row>
    <row r="100" spans="1:26" ht="15">
      <c r="A100" s="214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93.289579000000003</v>
      </c>
      <c r="U100" s="147">
        <v>168.331695</v>
      </c>
      <c r="V100" s="147">
        <v>60.491900000000001</v>
      </c>
      <c r="W100"/>
      <c r="X100"/>
      <c r="Y100"/>
      <c r="Z100"/>
    </row>
    <row r="101" spans="1:26" ht="15">
      <c r="A101" s="215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539.71227699999997</v>
      </c>
      <c r="I101" s="150">
        <v>719.37650799999994</v>
      </c>
      <c r="J101" s="150">
        <v>705.09889499999997</v>
      </c>
      <c r="K101" s="150">
        <v>572.62083700000005</v>
      </c>
      <c r="L101" s="150">
        <v>490.403235</v>
      </c>
      <c r="M101" s="150">
        <v>412.69546300000002</v>
      </c>
      <c r="N101" s="150">
        <v>421.81225799999999</v>
      </c>
      <c r="O101" s="150">
        <v>456.46073999999999</v>
      </c>
      <c r="P101" s="150">
        <v>403.43547699999999</v>
      </c>
      <c r="Q101" s="150">
        <v>403.79390799999999</v>
      </c>
      <c r="R101" s="150">
        <v>321.70856600000002</v>
      </c>
      <c r="S101" s="150">
        <v>327.15119600000003</v>
      </c>
      <c r="T101" s="150">
        <v>360.85163</v>
      </c>
      <c r="U101" s="150">
        <v>528.92349100000001</v>
      </c>
      <c r="V101" s="150">
        <v>183.06880200000001</v>
      </c>
      <c r="W101"/>
      <c r="X101"/>
      <c r="Y101"/>
      <c r="Z101"/>
    </row>
    <row r="102" spans="1:26" ht="15">
      <c r="A102" s="213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0.29889900000000003</v>
      </c>
      <c r="R102" s="147">
        <v>0.288387</v>
      </c>
      <c r="S102" s="147">
        <v>0.28846300000000002</v>
      </c>
      <c r="T102" s="147">
        <v>0.27233299999999999</v>
      </c>
      <c r="U102" s="147">
        <v>0.29030099999999998</v>
      </c>
      <c r="V102" s="147">
        <v>0</v>
      </c>
      <c r="W102"/>
      <c r="X102"/>
      <c r="Y102"/>
      <c r="Z102"/>
    </row>
    <row r="103" spans="1:26" ht="15">
      <c r="A103" s="214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160.705896</v>
      </c>
      <c r="Q103" s="147">
        <v>133.86502100000001</v>
      </c>
      <c r="R103" s="147">
        <v>118.219841</v>
      </c>
      <c r="S103" s="147">
        <v>127.46646200000001</v>
      </c>
      <c r="T103" s="147">
        <v>122.84934</v>
      </c>
      <c r="U103" s="147">
        <v>140.50550799999999</v>
      </c>
      <c r="V103" s="147">
        <v>51.937888999999998</v>
      </c>
      <c r="W103"/>
      <c r="X103"/>
      <c r="Y103"/>
      <c r="Z103"/>
    </row>
    <row r="104" spans="1:26" ht="15">
      <c r="A104" s="214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8.6874149999999997</v>
      </c>
      <c r="U104" s="147">
        <v>15.04932</v>
      </c>
      <c r="V104" s="147">
        <v>6.7863699999999998</v>
      </c>
      <c r="W104"/>
      <c r="X104"/>
      <c r="Y104"/>
      <c r="Z104"/>
    </row>
    <row r="105" spans="1:26" ht="15">
      <c r="A105" s="214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83.295309000000003</v>
      </c>
      <c r="U105" s="147">
        <v>114.33213000000001</v>
      </c>
      <c r="V105" s="147">
        <v>44.102463999999998</v>
      </c>
      <c r="W105"/>
      <c r="X105"/>
      <c r="Y105"/>
      <c r="Z105"/>
    </row>
    <row r="106" spans="1:26" ht="15">
      <c r="A106" s="214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258.95318400000002</v>
      </c>
      <c r="U106" s="147">
        <v>229.38776100000001</v>
      </c>
      <c r="V106" s="147">
        <v>75.555431999999996</v>
      </c>
      <c r="W106"/>
      <c r="X106"/>
      <c r="Y106"/>
      <c r="Z106"/>
    </row>
    <row r="107" spans="1:26" ht="15">
      <c r="A107" s="214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0.74262799999999995</v>
      </c>
      <c r="U107" s="147">
        <v>3.6524220000000001</v>
      </c>
      <c r="V107" s="147">
        <v>1.174439</v>
      </c>
      <c r="W107"/>
      <c r="X107"/>
      <c r="Y107"/>
      <c r="Z107"/>
    </row>
    <row r="108" spans="1:26" ht="15">
      <c r="A108" s="214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158.18352999999999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68.820522999999994</v>
      </c>
      <c r="O108" s="147">
        <v>60.201912999999998</v>
      </c>
      <c r="P108" s="147">
        <v>93.150577999999996</v>
      </c>
      <c r="Q108" s="147">
        <v>97.165876999999995</v>
      </c>
      <c r="R108" s="147">
        <v>54.728521000000001</v>
      </c>
      <c r="S108" s="147">
        <v>69.748904999999993</v>
      </c>
      <c r="T108" s="147">
        <v>103.362193</v>
      </c>
      <c r="U108" s="147">
        <v>148.00404900000001</v>
      </c>
      <c r="V108" s="147">
        <v>40.773066999999998</v>
      </c>
      <c r="W108"/>
      <c r="X108"/>
      <c r="Y108"/>
      <c r="Z108"/>
    </row>
    <row r="109" spans="1:26" ht="15">
      <c r="A109" s="214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23.361749</v>
      </c>
      <c r="I109" s="147">
        <v>29.608312000000002</v>
      </c>
      <c r="J109" s="147">
        <v>27.737331000000001</v>
      </c>
      <c r="K109" s="147">
        <v>23.467742000000001</v>
      </c>
      <c r="L109" s="147">
        <v>20.840191999999998</v>
      </c>
      <c r="M109" s="147">
        <v>18.276879999999998</v>
      </c>
      <c r="N109" s="147">
        <v>17.266753999999999</v>
      </c>
      <c r="O109" s="147">
        <v>18.497091000000001</v>
      </c>
      <c r="P109" s="147">
        <v>20.25189</v>
      </c>
      <c r="Q109" s="147">
        <v>21.169239000000001</v>
      </c>
      <c r="R109" s="147">
        <v>22.608267999999999</v>
      </c>
      <c r="S109" s="147">
        <v>26.001139999999999</v>
      </c>
      <c r="T109" s="147">
        <v>23.728103999999998</v>
      </c>
      <c r="U109" s="147">
        <v>26.95336</v>
      </c>
      <c r="V109" s="147">
        <v>8.4415449999999996</v>
      </c>
      <c r="W109"/>
      <c r="X109"/>
      <c r="Y109"/>
      <c r="Z109"/>
    </row>
    <row r="110" spans="1:26" ht="15">
      <c r="A110" s="214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0.82166799999999995</v>
      </c>
      <c r="R110" s="147">
        <v>0.83979599999999999</v>
      </c>
      <c r="S110" s="147">
        <v>0.70590200000000003</v>
      </c>
      <c r="T110" s="147">
        <v>0.78505800000000003</v>
      </c>
      <c r="U110" s="147">
        <v>0.69386000000000003</v>
      </c>
      <c r="V110" s="147">
        <v>0</v>
      </c>
      <c r="W110"/>
      <c r="X110"/>
      <c r="Y110"/>
      <c r="Z110"/>
    </row>
    <row r="111" spans="1:26" ht="15">
      <c r="A111" s="214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714.68723699999998</v>
      </c>
      <c r="I111" s="150">
        <v>765.14518099999998</v>
      </c>
      <c r="J111" s="150">
        <v>788.634096</v>
      </c>
      <c r="K111" s="150">
        <v>752.60181699999998</v>
      </c>
      <c r="L111" s="150">
        <v>773.76758800000005</v>
      </c>
      <c r="M111" s="150">
        <v>734.37679500000002</v>
      </c>
      <c r="N111" s="150">
        <v>747.59996799999999</v>
      </c>
      <c r="O111" s="150">
        <v>756.96304199999997</v>
      </c>
      <c r="P111" s="150">
        <v>705.85809500000005</v>
      </c>
      <c r="Q111" s="150">
        <v>682.17468799999995</v>
      </c>
      <c r="R111" s="150">
        <v>548.44070199999999</v>
      </c>
      <c r="S111" s="150">
        <v>581.07287099999996</v>
      </c>
      <c r="T111" s="150">
        <v>602.67556400000001</v>
      </c>
      <c r="U111" s="150">
        <v>678.86871099999996</v>
      </c>
      <c r="V111" s="150">
        <v>228.77120600000001</v>
      </c>
      <c r="W111"/>
      <c r="X111"/>
      <c r="Y111"/>
      <c r="Z111"/>
    </row>
    <row r="112" spans="1:26" ht="15">
      <c r="A112" s="215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714.68723699999998</v>
      </c>
      <c r="I112" s="150">
        <v>765.14518099999998</v>
      </c>
      <c r="J112" s="150">
        <v>788.634096</v>
      </c>
      <c r="K112" s="150">
        <v>752.60181699999998</v>
      </c>
      <c r="L112" s="150">
        <v>773.76758800000005</v>
      </c>
      <c r="M112" s="150">
        <v>734.37679500000002</v>
      </c>
      <c r="N112" s="150">
        <v>747.59996799999999</v>
      </c>
      <c r="O112" s="150">
        <v>756.96304199999997</v>
      </c>
      <c r="P112" s="150">
        <v>705.85809500000005</v>
      </c>
      <c r="Q112" s="150">
        <v>682.17468799999995</v>
      </c>
      <c r="R112" s="150">
        <v>548.44070199999999</v>
      </c>
      <c r="S112" s="150">
        <v>581.07287099999996</v>
      </c>
      <c r="T112" s="150">
        <v>602.67556400000001</v>
      </c>
      <c r="U112" s="150">
        <v>678.86871099999996</v>
      </c>
      <c r="V112" s="150">
        <v>228.77120600000001</v>
      </c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1" t="s">
        <v>73</v>
      </c>
      <c r="C117" s="120" t="str">
        <f>TEXT(EDATE(D117,-1),"mmmm aaaa")</f>
        <v>julio 2019</v>
      </c>
      <c r="D117" s="120" t="str">
        <f t="shared" ref="D117:M117" si="5">TEXT(EDATE(E117,-1),"mmmm aaaa")</f>
        <v>agosto 2019</v>
      </c>
      <c r="E117" s="120" t="str">
        <f t="shared" si="5"/>
        <v>septiembre 2019</v>
      </c>
      <c r="F117" s="120" t="str">
        <f t="shared" si="5"/>
        <v>octubre 2019</v>
      </c>
      <c r="G117" s="120" t="str">
        <f t="shared" si="5"/>
        <v>noviembre 2019</v>
      </c>
      <c r="H117" s="120" t="str">
        <f t="shared" si="5"/>
        <v>diciembre 2019</v>
      </c>
      <c r="I117" s="120" t="str">
        <f t="shared" si="5"/>
        <v>enero 2020</v>
      </c>
      <c r="J117" s="120" t="str">
        <f t="shared" si="5"/>
        <v>febrero 2020</v>
      </c>
      <c r="K117" s="120" t="str">
        <f t="shared" si="5"/>
        <v>marzo 2020</v>
      </c>
      <c r="L117" s="120" t="str">
        <f t="shared" si="5"/>
        <v>abril 2020</v>
      </c>
      <c r="M117" s="120" t="str">
        <f t="shared" si="5"/>
        <v>mayo 2020</v>
      </c>
      <c r="N117" s="120" t="str">
        <f>TEXT(EDATE(O117,-1),"mmmm aaaa")</f>
        <v>junio 2020</v>
      </c>
      <c r="O117" s="121" t="str">
        <f>A2</f>
        <v>Julio 2020</v>
      </c>
    </row>
    <row r="118" spans="1:19">
      <c r="B118" s="212"/>
      <c r="C118" s="131" t="str">
        <f>TEXT(EDATE($A$2,-12),"mmm")&amp;".-"&amp;TEXT(EDATE($A$2,-12),"aa")</f>
        <v>jul.-19</v>
      </c>
      <c r="D118" s="131" t="str">
        <f>TEXT(EDATE($A$2,-11),"mmm")&amp;".-"&amp;TEXT(EDATE($A$2,-11),"aa")</f>
        <v>ago.-19</v>
      </c>
      <c r="E118" s="131" t="str">
        <f>TEXT(EDATE($A$2,-10),"mmm")&amp;".-"&amp;TEXT(EDATE($A$2,-10),"aa")</f>
        <v>sep.-19</v>
      </c>
      <c r="F118" s="131" t="str">
        <f>TEXT(EDATE($A$2,-9),"mmm")&amp;".-"&amp;TEXT(EDATE($A$2,-9),"aa")</f>
        <v>oct.-19</v>
      </c>
      <c r="G118" s="131" t="str">
        <f>TEXT(EDATE($A$2,-8),"mmm")&amp;".-"&amp;TEXT(EDATE($A$2,-8),"aa")</f>
        <v>nov.-19</v>
      </c>
      <c r="H118" s="131" t="str">
        <f>TEXT(EDATE($A$2,-7),"mmm")&amp;".-"&amp;TEXT(EDATE($A$2,-7),"aa")</f>
        <v>dic.-19</v>
      </c>
      <c r="I118" s="131" t="str">
        <f>TEXT(EDATE($A$2,-6),"mmm")&amp;".-"&amp;TEXT(EDATE($A$2,-6),"aa")</f>
        <v>ene.-20</v>
      </c>
      <c r="J118" s="131" t="str">
        <f>TEXT(EDATE($A$2,-5),"mmm")&amp;".-"&amp;TEXT(EDATE($A$2,-5),"aa")</f>
        <v>feb.-20</v>
      </c>
      <c r="K118" s="131" t="str">
        <f>TEXT(EDATE($A$2,-4),"mmm")&amp;".-"&amp;TEXT(EDATE($A$2,-4),"aa")</f>
        <v>mar.-20</v>
      </c>
      <c r="L118" s="131" t="str">
        <f>TEXT(EDATE($A$2,-3),"mmm")&amp;".-"&amp;TEXT(EDATE($A$2,-3),"aa")</f>
        <v>abr.-20</v>
      </c>
      <c r="M118" s="131" t="str">
        <f>TEXT(EDATE($A$2,-2),"mmm")&amp;".-"&amp;TEXT(EDATE($A$2,-2),"aa")</f>
        <v>may.-20</v>
      </c>
      <c r="N118" s="131" t="str">
        <f>TEXT(EDATE($A$2,-1),"mmm")&amp;".-"&amp;TEXT(EDATE($A$2,-1),"aa")</f>
        <v>jun.-20</v>
      </c>
      <c r="O118" s="160" t="str">
        <f>TEXT($A$2,"mmm")&amp;".-"&amp;TEXT($A$2,"aa")</f>
        <v>jul.-20</v>
      </c>
    </row>
    <row r="119" spans="1:19">
      <c r="A119" s="208" t="s">
        <v>76</v>
      </c>
      <c r="B119" s="132" t="s">
        <v>11</v>
      </c>
      <c r="C119" s="133">
        <f>HLOOKUP(C$117,$86:$101,3,FALSE)</f>
        <v>173.44610299999999</v>
      </c>
      <c r="D119" s="133">
        <f t="shared" ref="D119:N119" si="6">HLOOKUP(D$117,$86:$101,3,FALSE)</f>
        <v>257.56122599999998</v>
      </c>
      <c r="E119" s="133">
        <f t="shared" si="6"/>
        <v>239.89604299999999</v>
      </c>
      <c r="F119" s="133">
        <f t="shared" si="6"/>
        <v>190.859296</v>
      </c>
      <c r="G119" s="133">
        <f t="shared" si="6"/>
        <v>128.513947</v>
      </c>
      <c r="H119" s="133">
        <f t="shared" si="6"/>
        <v>137.71730099999999</v>
      </c>
      <c r="I119" s="133">
        <f t="shared" si="6"/>
        <v>-3.1773479999999998</v>
      </c>
      <c r="J119" s="133">
        <f t="shared" si="6"/>
        <v>-1.357415</v>
      </c>
      <c r="K119" s="133">
        <f t="shared" si="6"/>
        <v>-1.7178340000000001</v>
      </c>
      <c r="L119" s="133">
        <f t="shared" si="6"/>
        <v>-1.680847</v>
      </c>
      <c r="M119" s="133">
        <f t="shared" si="6"/>
        <v>-1.7940100000000001</v>
      </c>
      <c r="N119" s="133">
        <f t="shared" si="6"/>
        <v>-1.2808299999999999</v>
      </c>
      <c r="O119" s="134">
        <f>HLOOKUP(O$117,$86:$101,3,FALSE)</f>
        <v>-1.119569</v>
      </c>
    </row>
    <row r="120" spans="1:19">
      <c r="A120" s="209"/>
      <c r="B120" s="122" t="s">
        <v>10</v>
      </c>
      <c r="C120" s="116">
        <f>HLOOKUP(C$117,$86:$101,4,FALSE)</f>
        <v>64.359393999999995</v>
      </c>
      <c r="D120" s="116">
        <f t="shared" ref="D120:O120" si="7">HLOOKUP(D$117,$86:$101,4,FALSE)</f>
        <v>64.194573000000005</v>
      </c>
      <c r="E120" s="116">
        <f t="shared" si="7"/>
        <v>50.613649000000002</v>
      </c>
      <c r="F120" s="116">
        <f t="shared" si="7"/>
        <v>40.788257999999999</v>
      </c>
      <c r="G120" s="116">
        <f t="shared" si="7"/>
        <v>27.174427999999999</v>
      </c>
      <c r="H120" s="116">
        <f t="shared" si="7"/>
        <v>19.439288000000001</v>
      </c>
      <c r="I120" s="116">
        <f t="shared" si="7"/>
        <v>25.163323999999999</v>
      </c>
      <c r="J120" s="116">
        <f t="shared" si="7"/>
        <v>20.211247</v>
      </c>
      <c r="K120" s="116">
        <f t="shared" si="7"/>
        <v>15.845757000000001</v>
      </c>
      <c r="L120" s="116">
        <f t="shared" si="7"/>
        <v>18.686546</v>
      </c>
      <c r="M120" s="116">
        <f t="shared" si="7"/>
        <v>20.180289999999999</v>
      </c>
      <c r="N120" s="116">
        <f t="shared" si="7"/>
        <v>17.902134</v>
      </c>
      <c r="O120" s="134">
        <f t="shared" si="7"/>
        <v>32.575167</v>
      </c>
    </row>
    <row r="121" spans="1:19">
      <c r="A121" s="209"/>
      <c r="B121" s="122" t="s">
        <v>9</v>
      </c>
      <c r="C121" s="116">
        <f>HLOOKUP(C$117,$86:$101,5,FALSE)</f>
        <v>72.469969000000006</v>
      </c>
      <c r="D121" s="116">
        <f t="shared" ref="D121:O121" si="8">HLOOKUP(D$117,$86:$101,5,FALSE)</f>
        <v>70.419168999999997</v>
      </c>
      <c r="E121" s="116">
        <f t="shared" si="8"/>
        <v>45.651693999999999</v>
      </c>
      <c r="F121" s="116">
        <f t="shared" si="8"/>
        <v>27.936012999999999</v>
      </c>
      <c r="G121" s="116">
        <f t="shared" si="8"/>
        <v>28.760522000000002</v>
      </c>
      <c r="H121" s="116">
        <f t="shared" si="8"/>
        <v>20.411356000000001</v>
      </c>
      <c r="I121" s="116">
        <f t="shared" si="8"/>
        <v>21.825088000000001</v>
      </c>
      <c r="J121" s="116">
        <f t="shared" si="8"/>
        <v>17.386634999999998</v>
      </c>
      <c r="K121" s="116">
        <f t="shared" si="8"/>
        <v>18.899491999999999</v>
      </c>
      <c r="L121" s="116">
        <f t="shared" si="8"/>
        <v>9.9217499999999994</v>
      </c>
      <c r="M121" s="116">
        <f t="shared" si="8"/>
        <v>9.5129249999999992</v>
      </c>
      <c r="N121" s="116">
        <f t="shared" si="8"/>
        <v>15.970385</v>
      </c>
      <c r="O121" s="134">
        <f t="shared" si="8"/>
        <v>33.700387999999997</v>
      </c>
    </row>
    <row r="122" spans="1:19" ht="14.25">
      <c r="A122" s="209"/>
      <c r="B122" s="122" t="s">
        <v>74</v>
      </c>
      <c r="C122" s="116">
        <f>HLOOKUP(C$117,$86:$101,6,FALSE)</f>
        <v>160.980031</v>
      </c>
      <c r="D122" s="116">
        <f t="shared" ref="D122:O122" si="9">HLOOKUP(D$117,$86:$101,6,FALSE)</f>
        <v>81.694967000000005</v>
      </c>
      <c r="E122" s="116">
        <f t="shared" si="9"/>
        <v>37.844405000000002</v>
      </c>
      <c r="F122" s="116">
        <f t="shared" si="9"/>
        <v>49.054825999999998</v>
      </c>
      <c r="G122" s="116">
        <f t="shared" si="9"/>
        <v>98.891853999999995</v>
      </c>
      <c r="H122" s="116">
        <f t="shared" si="9"/>
        <v>97.225685999999996</v>
      </c>
      <c r="I122" s="116">
        <f t="shared" si="9"/>
        <v>247.42845600000001</v>
      </c>
      <c r="J122" s="116">
        <f t="shared" si="9"/>
        <v>226.17381</v>
      </c>
      <c r="K122" s="116">
        <f t="shared" si="9"/>
        <v>223.68889899999999</v>
      </c>
      <c r="L122" s="116">
        <f t="shared" si="9"/>
        <v>190.73178300000001</v>
      </c>
      <c r="M122" s="116">
        <f t="shared" si="9"/>
        <v>192.66073600000001</v>
      </c>
      <c r="N122" s="116">
        <f t="shared" si="9"/>
        <v>191.22599500000001</v>
      </c>
      <c r="O122" s="134">
        <f t="shared" si="9"/>
        <v>258.52646600000003</v>
      </c>
    </row>
    <row r="123" spans="1:19">
      <c r="A123" s="209"/>
      <c r="B123" s="122" t="s">
        <v>24</v>
      </c>
      <c r="C123" s="116">
        <f>HLOOKUP(C$117,$86:$101,7,FALSE)</f>
        <v>4.0689979999999997</v>
      </c>
      <c r="D123" s="116">
        <f t="shared" ref="D123:O123" si="10">HLOOKUP(D$117,$86:$101,7,FALSE)</f>
        <v>4.8096079999999999</v>
      </c>
      <c r="E123" s="116">
        <f t="shared" si="10"/>
        <v>4.5895020000000004</v>
      </c>
      <c r="F123" s="116">
        <f t="shared" si="10"/>
        <v>1.7684709999999999</v>
      </c>
      <c r="G123" s="116">
        <f t="shared" si="10"/>
        <v>0</v>
      </c>
      <c r="H123" s="116">
        <f t="shared" si="10"/>
        <v>0</v>
      </c>
      <c r="I123" s="116">
        <f t="shared" si="10"/>
        <v>0</v>
      </c>
      <c r="J123" s="116">
        <f t="shared" si="10"/>
        <v>0</v>
      </c>
      <c r="K123" s="116">
        <f t="shared" si="10"/>
        <v>0</v>
      </c>
      <c r="L123" s="116">
        <f t="shared" si="10"/>
        <v>0</v>
      </c>
      <c r="M123" s="116">
        <f t="shared" si="10"/>
        <v>0</v>
      </c>
      <c r="N123" s="116">
        <f t="shared" si="10"/>
        <v>0</v>
      </c>
      <c r="O123" s="134">
        <f t="shared" si="10"/>
        <v>0</v>
      </c>
    </row>
    <row r="124" spans="1:19">
      <c r="A124" s="209"/>
      <c r="B124" s="122" t="s">
        <v>5</v>
      </c>
      <c r="C124" s="116">
        <f>HLOOKUP(C$117,$86:$102,8,FALSE)</f>
        <v>0.23036599999999999</v>
      </c>
      <c r="D124" s="116">
        <f t="shared" ref="D124:O124" si="11">HLOOKUP(D$117,$86:$102,8,FALSE)</f>
        <v>0.347945</v>
      </c>
      <c r="E124" s="116">
        <f t="shared" si="11"/>
        <v>0.51373500000000005</v>
      </c>
      <c r="F124" s="116">
        <f t="shared" si="11"/>
        <v>0.402117</v>
      </c>
      <c r="G124" s="116">
        <f t="shared" si="11"/>
        <v>0.49518299999999998</v>
      </c>
      <c r="H124" s="116">
        <f t="shared" si="11"/>
        <v>0.44528499999999999</v>
      </c>
      <c r="I124" s="116">
        <f t="shared" si="11"/>
        <v>0.37082599999999999</v>
      </c>
      <c r="J124" s="116">
        <f t="shared" si="11"/>
        <v>0.33927600000000002</v>
      </c>
      <c r="K124" s="116">
        <f t="shared" si="11"/>
        <v>0.53315400000000002</v>
      </c>
      <c r="L124" s="116">
        <f t="shared" si="11"/>
        <v>0.24332000000000001</v>
      </c>
      <c r="M124" s="116">
        <f t="shared" si="11"/>
        <v>0.35056999999999999</v>
      </c>
      <c r="N124" s="116">
        <f t="shared" si="11"/>
        <v>0.21834000000000001</v>
      </c>
      <c r="O124" s="134">
        <f t="shared" si="11"/>
        <v>0.21970000000000001</v>
      </c>
    </row>
    <row r="125" spans="1:19">
      <c r="A125" s="209"/>
      <c r="B125" s="122" t="s">
        <v>4</v>
      </c>
      <c r="C125" s="116">
        <f>HLOOKUP(C$117,$86:$102,9,FALSE)</f>
        <v>12.477155</v>
      </c>
      <c r="D125" s="116">
        <f t="shared" ref="D125:O125" si="12">HLOOKUP(D$117,$86:$102,9,FALSE)</f>
        <v>12.245136</v>
      </c>
      <c r="E125" s="116">
        <f t="shared" si="12"/>
        <v>10.044699</v>
      </c>
      <c r="F125" s="116">
        <f t="shared" si="12"/>
        <v>9.1120260000000002</v>
      </c>
      <c r="G125" s="116">
        <f t="shared" si="12"/>
        <v>6.2902100000000001</v>
      </c>
      <c r="H125" s="116">
        <f t="shared" si="12"/>
        <v>5.905538</v>
      </c>
      <c r="I125" s="116">
        <f t="shared" si="12"/>
        <v>5.931076</v>
      </c>
      <c r="J125" s="116">
        <f t="shared" si="12"/>
        <v>8.7357479999999992</v>
      </c>
      <c r="K125" s="116">
        <f t="shared" si="12"/>
        <v>9.1979059999999997</v>
      </c>
      <c r="L125" s="116">
        <f t="shared" si="12"/>
        <v>10.819095000000001</v>
      </c>
      <c r="M125" s="116">
        <f t="shared" si="12"/>
        <v>12.879177</v>
      </c>
      <c r="N125" s="116">
        <f t="shared" si="12"/>
        <v>12.237156000000001</v>
      </c>
      <c r="O125" s="134">
        <f t="shared" si="12"/>
        <v>12.761148</v>
      </c>
    </row>
    <row r="126" spans="1:19">
      <c r="A126" s="209"/>
      <c r="B126" s="123" t="s">
        <v>22</v>
      </c>
      <c r="C126" s="116">
        <f>HLOOKUP(C$117,$86:$102,10,FALSE)</f>
        <v>9.8985000000000004E-2</v>
      </c>
      <c r="D126" s="116">
        <f t="shared" ref="D126:O126" si="13">HLOOKUP(D$117,$86:$102,10,FALSE)</f>
        <v>8.3479999999999999E-2</v>
      </c>
      <c r="E126" s="116">
        <f t="shared" si="13"/>
        <v>1.2656000000000001E-2</v>
      </c>
      <c r="F126" s="116">
        <f t="shared" si="13"/>
        <v>9.9426E-2</v>
      </c>
      <c r="G126" s="116">
        <f t="shared" si="13"/>
        <v>9.2591999999999994E-2</v>
      </c>
      <c r="H126" s="116">
        <f t="shared" si="13"/>
        <v>0.18124699999999999</v>
      </c>
      <c r="I126" s="116">
        <f t="shared" si="13"/>
        <v>0.20147399999999999</v>
      </c>
      <c r="J126" s="116">
        <f t="shared" si="13"/>
        <v>8.1622E-2</v>
      </c>
      <c r="K126" s="116">
        <f t="shared" si="13"/>
        <v>2.6786999999999998E-2</v>
      </c>
      <c r="L126" s="116">
        <f t="shared" si="13"/>
        <v>1.5415999999999999E-2</v>
      </c>
      <c r="M126" s="116">
        <f t="shared" si="13"/>
        <v>2.3830000000000001E-3</v>
      </c>
      <c r="N126" s="116">
        <f t="shared" si="13"/>
        <v>5.9750999999999999E-2</v>
      </c>
      <c r="O126" s="134">
        <f t="shared" si="13"/>
        <v>5.2531000000000001E-2</v>
      </c>
    </row>
    <row r="127" spans="1:19">
      <c r="A127" s="209"/>
      <c r="B127" s="123" t="s">
        <v>23</v>
      </c>
      <c r="C127" s="116">
        <f>HLOOKUP(C$117,$86:$102,11,FALSE)</f>
        <v>1.194464</v>
      </c>
      <c r="D127" s="116">
        <f t="shared" ref="D127:O127" si="14">HLOOKUP(D$117,$86:$102,11,FALSE)</f>
        <v>2.848757</v>
      </c>
      <c r="E127" s="116">
        <f t="shared" si="14"/>
        <v>2.8740579999999998</v>
      </c>
      <c r="F127" s="116">
        <f t="shared" si="14"/>
        <v>2.8082799999999999</v>
      </c>
      <c r="G127" s="116">
        <f t="shared" si="14"/>
        <v>3.3302809999999998</v>
      </c>
      <c r="H127" s="116">
        <f t="shared" si="14"/>
        <v>3.7760859999999998</v>
      </c>
      <c r="I127" s="116">
        <f t="shared" si="14"/>
        <v>4.0380969999999996</v>
      </c>
      <c r="J127" s="116">
        <f t="shared" si="14"/>
        <v>3.7449910000000002</v>
      </c>
      <c r="K127" s="116">
        <f t="shared" si="14"/>
        <v>3.4759910000000001</v>
      </c>
      <c r="L127" s="116">
        <f t="shared" si="14"/>
        <v>2.759617</v>
      </c>
      <c r="M127" s="116">
        <f t="shared" si="14"/>
        <v>2.681413</v>
      </c>
      <c r="N127" s="116">
        <f t="shared" si="14"/>
        <v>2.5969359999999999</v>
      </c>
      <c r="O127" s="134">
        <f t="shared" si="14"/>
        <v>2.3319320000000001</v>
      </c>
    </row>
    <row r="128" spans="1:19">
      <c r="A128" s="209"/>
      <c r="B128" s="122" t="s">
        <v>55</v>
      </c>
      <c r="C128" s="116">
        <f t="shared" ref="C128:O128" si="15">HLOOKUP(C$117,$86:$102,13,FALSE)</f>
        <v>14.4424645</v>
      </c>
      <c r="D128" s="116">
        <f t="shared" si="15"/>
        <v>12.562136000000001</v>
      </c>
      <c r="E128" s="116">
        <f t="shared" si="15"/>
        <v>13.691565000000001</v>
      </c>
      <c r="F128" s="116">
        <f t="shared" si="15"/>
        <v>14.954476</v>
      </c>
      <c r="G128" s="116">
        <f t="shared" si="15"/>
        <v>13.874806</v>
      </c>
      <c r="H128" s="116">
        <f t="shared" si="15"/>
        <v>8.5480964999999998</v>
      </c>
      <c r="I128" s="116">
        <f t="shared" si="15"/>
        <v>9.2619229999999995</v>
      </c>
      <c r="J128" s="116">
        <f t="shared" si="15"/>
        <v>6.0955329999999996</v>
      </c>
      <c r="K128" s="116">
        <f t="shared" si="15"/>
        <v>10.531687</v>
      </c>
      <c r="L128" s="116">
        <f t="shared" si="15"/>
        <v>4.8152900000000001</v>
      </c>
      <c r="M128" s="116">
        <f t="shared" si="15"/>
        <v>5.3655939999999998</v>
      </c>
      <c r="N128" s="116">
        <f t="shared" si="15"/>
        <v>14.316091999999999</v>
      </c>
      <c r="O128" s="134">
        <f t="shared" si="15"/>
        <v>10.772016499999999</v>
      </c>
    </row>
    <row r="129" spans="1:15">
      <c r="A129" s="209"/>
      <c r="B129" s="122" t="s">
        <v>54</v>
      </c>
      <c r="C129" s="116">
        <f>HLOOKUP(C$117,$86:$102,12,FALSE)</f>
        <v>14.4424645</v>
      </c>
      <c r="D129" s="116">
        <f t="shared" ref="D129:O129" si="16">HLOOKUP(D$117,$86:$102,12,FALSE)</f>
        <v>12.562136000000001</v>
      </c>
      <c r="E129" s="116">
        <f t="shared" si="16"/>
        <v>13.691565000000001</v>
      </c>
      <c r="F129" s="116">
        <f t="shared" si="16"/>
        <v>14.954476</v>
      </c>
      <c r="G129" s="116">
        <f t="shared" si="16"/>
        <v>13.874806</v>
      </c>
      <c r="H129" s="116">
        <f t="shared" si="16"/>
        <v>8.5480964999999998</v>
      </c>
      <c r="I129" s="116">
        <f t="shared" si="16"/>
        <v>9.2619229999999995</v>
      </c>
      <c r="J129" s="116">
        <f t="shared" si="16"/>
        <v>6.0955329999999996</v>
      </c>
      <c r="K129" s="116">
        <f t="shared" si="16"/>
        <v>10.531687</v>
      </c>
      <c r="L129" s="116">
        <f t="shared" si="16"/>
        <v>4.8152900000000001</v>
      </c>
      <c r="M129" s="116">
        <f t="shared" si="16"/>
        <v>5.3655939999999998</v>
      </c>
      <c r="N129" s="116">
        <f t="shared" si="16"/>
        <v>14.316091999999999</v>
      </c>
      <c r="O129" s="134">
        <f t="shared" si="16"/>
        <v>10.772016499999999</v>
      </c>
    </row>
    <row r="130" spans="1:15">
      <c r="A130" s="209"/>
      <c r="B130" s="124" t="s">
        <v>2</v>
      </c>
      <c r="C130" s="125">
        <f>HLOOKUP(C$117,$86:$102,14,FALSE)</f>
        <v>518.21039399999995</v>
      </c>
      <c r="D130" s="125">
        <f t="shared" ref="D130:O130" si="17">HLOOKUP(D$117,$86:$102,14,FALSE)</f>
        <v>519.32913299999996</v>
      </c>
      <c r="E130" s="125">
        <f t="shared" si="17"/>
        <v>419.42357099999998</v>
      </c>
      <c r="F130" s="125">
        <f t="shared" si="17"/>
        <v>352.73766499999999</v>
      </c>
      <c r="G130" s="125">
        <f t="shared" si="17"/>
        <v>321.29862900000001</v>
      </c>
      <c r="H130" s="125">
        <f t="shared" si="17"/>
        <v>302.19797999999997</v>
      </c>
      <c r="I130" s="125">
        <f t="shared" si="17"/>
        <v>320.30483900000002</v>
      </c>
      <c r="J130" s="125">
        <f t="shared" si="17"/>
        <v>287.50698</v>
      </c>
      <c r="K130" s="125">
        <f t="shared" si="17"/>
        <v>291.01352600000001</v>
      </c>
      <c r="L130" s="125">
        <f t="shared" si="17"/>
        <v>241.12726000000001</v>
      </c>
      <c r="M130" s="125">
        <f t="shared" si="17"/>
        <v>247.20467199999999</v>
      </c>
      <c r="N130" s="125">
        <f t="shared" si="17"/>
        <v>267.562051</v>
      </c>
      <c r="O130" s="135">
        <f t="shared" si="17"/>
        <v>360.59179599999999</v>
      </c>
    </row>
    <row r="131" spans="1:15">
      <c r="A131" s="209"/>
      <c r="B131" s="122" t="s">
        <v>21</v>
      </c>
      <c r="C131" s="126">
        <f>HLOOKUP(C$117,$86:$102,15,FALSE)</f>
        <v>201.16611399999999</v>
      </c>
      <c r="D131" s="126">
        <f t="shared" ref="D131:O131" si="18">HLOOKUP(D$117,$86:$102,15,FALSE)</f>
        <v>185.76976199999999</v>
      </c>
      <c r="E131" s="126">
        <f t="shared" si="18"/>
        <v>153.19726600000001</v>
      </c>
      <c r="F131" s="126">
        <f t="shared" si="18"/>
        <v>137.66557</v>
      </c>
      <c r="G131" s="126">
        <f t="shared" si="18"/>
        <v>91.396833999999998</v>
      </c>
      <c r="H131" s="126">
        <f t="shared" si="18"/>
        <v>119.614278</v>
      </c>
      <c r="I131" s="126">
        <f t="shared" si="18"/>
        <v>136.155901</v>
      </c>
      <c r="J131" s="126">
        <f t="shared" si="18"/>
        <v>115.92849699999999</v>
      </c>
      <c r="K131" s="126">
        <f t="shared" si="18"/>
        <v>112.780382</v>
      </c>
      <c r="L131" s="126">
        <f t="shared" si="18"/>
        <v>80.581305999999998</v>
      </c>
      <c r="M131" s="126">
        <f t="shared" si="18"/>
        <v>79.946523999999997</v>
      </c>
      <c r="N131" s="126">
        <f t="shared" si="18"/>
        <v>93.289579000000003</v>
      </c>
      <c r="O131" s="126">
        <f t="shared" si="18"/>
        <v>168.331695</v>
      </c>
    </row>
    <row r="132" spans="1:15">
      <c r="A132" s="209"/>
      <c r="B132" s="127" t="s">
        <v>1</v>
      </c>
      <c r="C132" s="128">
        <f>HLOOKUP(C$117,$86:$102,16,FALSE)</f>
        <v>719.37650799999994</v>
      </c>
      <c r="D132" s="128">
        <f t="shared" ref="D132:O132" si="19">HLOOKUP(D$117,$86:$102,16,FALSE)</f>
        <v>705.09889499999997</v>
      </c>
      <c r="E132" s="128">
        <f t="shared" si="19"/>
        <v>572.62083700000005</v>
      </c>
      <c r="F132" s="128">
        <f t="shared" si="19"/>
        <v>490.403235</v>
      </c>
      <c r="G132" s="128">
        <f t="shared" si="19"/>
        <v>412.69546300000002</v>
      </c>
      <c r="H132" s="128">
        <f t="shared" si="19"/>
        <v>421.81225799999999</v>
      </c>
      <c r="I132" s="128">
        <f t="shared" si="19"/>
        <v>456.46073999999999</v>
      </c>
      <c r="J132" s="128">
        <f t="shared" si="19"/>
        <v>403.43547699999999</v>
      </c>
      <c r="K132" s="128">
        <f t="shared" si="19"/>
        <v>403.79390799999999</v>
      </c>
      <c r="L132" s="128">
        <f t="shared" si="19"/>
        <v>321.70856600000002</v>
      </c>
      <c r="M132" s="128">
        <f t="shared" si="19"/>
        <v>327.15119600000003</v>
      </c>
      <c r="N132" s="128">
        <f t="shared" si="19"/>
        <v>360.85163</v>
      </c>
      <c r="O132" s="128">
        <f t="shared" si="19"/>
        <v>528.92349100000001</v>
      </c>
    </row>
    <row r="133" spans="1:15" ht="14.25">
      <c r="A133" s="210"/>
      <c r="B133" s="137" t="s">
        <v>75</v>
      </c>
      <c r="C133" s="138">
        <f>C120+C121+C123</f>
        <v>140.89836099999999</v>
      </c>
      <c r="D133" s="138">
        <f>D120+D121+D123</f>
        <v>139.42335</v>
      </c>
      <c r="E133" s="138">
        <f t="shared" ref="E133:O133" si="20">E120+E121+E123</f>
        <v>100.854845</v>
      </c>
      <c r="F133" s="138">
        <f t="shared" si="20"/>
        <v>70.492742000000007</v>
      </c>
      <c r="G133" s="138">
        <f t="shared" si="20"/>
        <v>55.934950000000001</v>
      </c>
      <c r="H133" s="138">
        <f t="shared" si="20"/>
        <v>39.850644000000003</v>
      </c>
      <c r="I133" s="138">
        <f t="shared" si="20"/>
        <v>46.988411999999997</v>
      </c>
      <c r="J133" s="138">
        <f t="shared" si="20"/>
        <v>37.597881999999998</v>
      </c>
      <c r="K133" s="138">
        <f t="shared" si="20"/>
        <v>34.745249000000001</v>
      </c>
      <c r="L133" s="138">
        <f t="shared" si="20"/>
        <v>28.608295999999999</v>
      </c>
      <c r="M133" s="138">
        <f t="shared" si="20"/>
        <v>29.693214999999999</v>
      </c>
      <c r="N133" s="138">
        <f t="shared" si="20"/>
        <v>33.872518999999997</v>
      </c>
      <c r="O133" s="138">
        <f t="shared" si="20"/>
        <v>66.275554999999997</v>
      </c>
    </row>
    <row r="134" spans="1:15">
      <c r="A134" s="208" t="s">
        <v>77</v>
      </c>
      <c r="B134" s="139" t="s">
        <v>73</v>
      </c>
      <c r="C134" s="120" t="str">
        <f>TEXT(EDATE($A$2,-12),"mmm")&amp;".-"&amp;TEXT(EDATE($A$2,-12),"aa")</f>
        <v>jul.-19</v>
      </c>
      <c r="D134" s="120" t="str">
        <f>TEXT(EDATE($A$2,-11),"mmm")&amp;".-"&amp;TEXT(EDATE($A$2,-11),"aa")</f>
        <v>ago.-19</v>
      </c>
      <c r="E134" s="120" t="str">
        <f>TEXT(EDATE($A$2,-10),"mmm")&amp;".-"&amp;TEXT(EDATE($A$2,-10),"aa")</f>
        <v>sep.-19</v>
      </c>
      <c r="F134" s="120" t="str">
        <f>TEXT(EDATE($A$2,-9),"mmm")&amp;".-"&amp;TEXT(EDATE($A$2,-9),"aa")</f>
        <v>oct.-19</v>
      </c>
      <c r="G134" s="120" t="str">
        <f>TEXT(EDATE($A$2,-8),"mmm")&amp;".-"&amp;TEXT(EDATE($A$2,-8),"aa")</f>
        <v>nov.-19</v>
      </c>
      <c r="H134" s="120" t="str">
        <f>TEXT(EDATE($A$2,-7),"mmm")&amp;".-"&amp;TEXT(EDATE($A$2,-7),"aa")</f>
        <v>dic.-19</v>
      </c>
      <c r="I134" s="120" t="str">
        <f>TEXT(EDATE($A$2,-6),"mmm")&amp;".-"&amp;TEXT(EDATE($A$2,-6),"aa")</f>
        <v>ene.-20</v>
      </c>
      <c r="J134" s="120" t="str">
        <f>TEXT(EDATE($A$2,-5),"mmm")&amp;".-"&amp;TEXT(EDATE($A$2,-5),"aa")</f>
        <v>feb.-20</v>
      </c>
      <c r="K134" s="120" t="str">
        <f>TEXT(EDATE($A$2,-4),"mmm")&amp;".-"&amp;TEXT(EDATE($A$2,-4),"aa")</f>
        <v>mar.-20</v>
      </c>
      <c r="L134" s="120" t="str">
        <f>TEXT(EDATE($A$2,-3),"mmm")&amp;".-"&amp;TEXT(EDATE($A$2,-3),"aa")</f>
        <v>abr.-20</v>
      </c>
      <c r="M134" s="120" t="str">
        <f>TEXT(EDATE($A$2,-2),"mmm")&amp;".-"&amp;TEXT(EDATE($A$2,-2),"aa")</f>
        <v>may.-20</v>
      </c>
      <c r="N134" s="120" t="str">
        <f>TEXT(EDATE($A$2,-1),"mmm")&amp;".-"&amp;TEXT(EDATE($A$2,-1),"aa")</f>
        <v>jun.-20</v>
      </c>
      <c r="O134" s="121" t="str">
        <f>TEXT($A$2,"mmm")&amp;".-"&amp;TEXT($A$2,"aa")</f>
        <v>jul.-20</v>
      </c>
    </row>
    <row r="135" spans="1:15" ht="15" customHeight="1">
      <c r="A135" s="209"/>
      <c r="B135" s="122" t="s">
        <v>12</v>
      </c>
      <c r="C135" s="116">
        <f>HLOOKUP(C$117,$86:$115,17,FALSE)</f>
        <v>0.29841899999999999</v>
      </c>
      <c r="D135" s="116">
        <f t="shared" ref="D135:O135" si="21">HLOOKUP(D$117,$86:$115,17,FALSE)</f>
        <v>0.29929</v>
      </c>
      <c r="E135" s="116">
        <f t="shared" si="21"/>
        <v>0.28253899999999998</v>
      </c>
      <c r="F135" s="116">
        <f t="shared" si="21"/>
        <v>0.297543</v>
      </c>
      <c r="G135" s="116">
        <f t="shared" si="21"/>
        <v>0.29652299999999998</v>
      </c>
      <c r="H135" s="116">
        <f t="shared" si="21"/>
        <v>0.29914499999999999</v>
      </c>
      <c r="I135" s="116">
        <f t="shared" si="21"/>
        <v>0.30431399999999997</v>
      </c>
      <c r="J135" s="116">
        <f t="shared" si="21"/>
        <v>0.26768999999999998</v>
      </c>
      <c r="K135" s="116">
        <f t="shared" si="21"/>
        <v>0.29889900000000003</v>
      </c>
      <c r="L135" s="116">
        <f t="shared" si="21"/>
        <v>0.288387</v>
      </c>
      <c r="M135" s="116">
        <f t="shared" si="21"/>
        <v>0.28846300000000002</v>
      </c>
      <c r="N135" s="116">
        <f t="shared" si="21"/>
        <v>0.27233299999999999</v>
      </c>
      <c r="O135" s="161">
        <f t="shared" si="21"/>
        <v>0.29030099999999998</v>
      </c>
    </row>
    <row r="136" spans="1:15">
      <c r="A136" s="209"/>
      <c r="B136" s="122" t="s">
        <v>10</v>
      </c>
      <c r="C136" s="116">
        <f>HLOOKUP(C$117,$86:$115,18,FALSE)</f>
        <v>155.88908699999999</v>
      </c>
      <c r="D136" s="116">
        <f t="shared" ref="D136:O136" si="22">HLOOKUP(D$117,$86:$115,18,FALSE)</f>
        <v>173.50264200000001</v>
      </c>
      <c r="E136" s="116">
        <f t="shared" si="22"/>
        <v>167.04003</v>
      </c>
      <c r="F136" s="116">
        <f t="shared" si="22"/>
        <v>168.13456400000001</v>
      </c>
      <c r="G136" s="116">
        <f t="shared" si="22"/>
        <v>151.11739399999999</v>
      </c>
      <c r="H136" s="116">
        <f t="shared" si="22"/>
        <v>171.354029</v>
      </c>
      <c r="I136" s="116">
        <f t="shared" si="22"/>
        <v>175.82359</v>
      </c>
      <c r="J136" s="116">
        <f t="shared" si="22"/>
        <v>160.705896</v>
      </c>
      <c r="K136" s="116">
        <f t="shared" si="22"/>
        <v>133.86502100000001</v>
      </c>
      <c r="L136" s="116">
        <f t="shared" si="22"/>
        <v>118.219841</v>
      </c>
      <c r="M136" s="116">
        <f t="shared" si="22"/>
        <v>127.46646200000001</v>
      </c>
      <c r="N136" s="116">
        <f t="shared" si="22"/>
        <v>122.84934</v>
      </c>
      <c r="O136" s="134">
        <f t="shared" si="22"/>
        <v>140.50550799999999</v>
      </c>
    </row>
    <row r="137" spans="1:15">
      <c r="A137" s="209"/>
      <c r="B137" s="122" t="s">
        <v>9</v>
      </c>
      <c r="C137" s="116">
        <f>HLOOKUP(C$117,$86:$115,19,FALSE)</f>
        <v>16.517122000000001</v>
      </c>
      <c r="D137" s="116">
        <f t="shared" ref="D137:O137" si="23">HLOOKUP(D$117,$86:$115,19,FALSE)</f>
        <v>17.472964999999999</v>
      </c>
      <c r="E137" s="116">
        <f t="shared" si="23"/>
        <v>24.793182999999999</v>
      </c>
      <c r="F137" s="116">
        <f t="shared" si="23"/>
        <v>16.664884000000001</v>
      </c>
      <c r="G137" s="116">
        <f t="shared" si="23"/>
        <v>18.703745999999999</v>
      </c>
      <c r="H137" s="116">
        <f t="shared" si="23"/>
        <v>16.706254000000001</v>
      </c>
      <c r="I137" s="116">
        <f t="shared" si="23"/>
        <v>17.105090000000001</v>
      </c>
      <c r="J137" s="116">
        <f t="shared" si="23"/>
        <v>21.870190999999998</v>
      </c>
      <c r="K137" s="116">
        <f t="shared" si="23"/>
        <v>12.226845000000001</v>
      </c>
      <c r="L137" s="116">
        <f t="shared" si="23"/>
        <v>5.7932370000000004</v>
      </c>
      <c r="M137" s="116">
        <f t="shared" si="23"/>
        <v>9.4236719999999998</v>
      </c>
      <c r="N137" s="116">
        <f t="shared" si="23"/>
        <v>8.6874149999999997</v>
      </c>
      <c r="O137" s="134">
        <f t="shared" si="23"/>
        <v>15.04932</v>
      </c>
    </row>
    <row r="138" spans="1:15">
      <c r="A138" s="209"/>
      <c r="B138" s="122" t="s">
        <v>8</v>
      </c>
      <c r="C138" s="116">
        <f>HLOOKUP(C$117,$86:$115,20,FALSE)</f>
        <v>137.955038</v>
      </c>
      <c r="D138" s="116">
        <f t="shared" ref="D138:O138" si="24">HLOOKUP(D$117,$86:$115,20,FALSE)</f>
        <v>116.694829</v>
      </c>
      <c r="E138" s="116">
        <f t="shared" si="24"/>
        <v>157.50902600000001</v>
      </c>
      <c r="F138" s="116">
        <f t="shared" si="24"/>
        <v>170.575942</v>
      </c>
      <c r="G138" s="116">
        <f t="shared" si="24"/>
        <v>184.81552300000001</v>
      </c>
      <c r="H138" s="116">
        <f t="shared" si="24"/>
        <v>169.18809899999999</v>
      </c>
      <c r="I138" s="116">
        <f t="shared" si="24"/>
        <v>146.91851800000001</v>
      </c>
      <c r="J138" s="116">
        <f t="shared" si="24"/>
        <v>128.34914699999999</v>
      </c>
      <c r="K138" s="116">
        <f t="shared" si="24"/>
        <v>114.048723</v>
      </c>
      <c r="L138" s="116">
        <f t="shared" si="24"/>
        <v>98.923323999999994</v>
      </c>
      <c r="M138" s="116">
        <f t="shared" si="24"/>
        <v>116.06684199999999</v>
      </c>
      <c r="N138" s="116">
        <f t="shared" si="24"/>
        <v>83.295309000000003</v>
      </c>
      <c r="O138" s="134">
        <f t="shared" si="24"/>
        <v>114.33213000000001</v>
      </c>
    </row>
    <row r="139" spans="1:15" ht="14.25">
      <c r="A139" s="209"/>
      <c r="B139" s="122" t="s">
        <v>74</v>
      </c>
      <c r="C139" s="116">
        <f>HLOOKUP(C$117,$86:$115,21,FALSE)</f>
        <v>262.048877</v>
      </c>
      <c r="D139" s="116">
        <f t="shared" ref="D139:O139" si="25">HLOOKUP(D$117,$86:$115,21,FALSE)</f>
        <v>290.23648900000001</v>
      </c>
      <c r="E139" s="116">
        <f t="shared" si="25"/>
        <v>276.37973799999997</v>
      </c>
      <c r="F139" s="116">
        <f t="shared" si="25"/>
        <v>305.83225499999998</v>
      </c>
      <c r="G139" s="116">
        <f t="shared" si="25"/>
        <v>233.08126999999999</v>
      </c>
      <c r="H139" s="116">
        <f t="shared" si="25"/>
        <v>301.90038800000002</v>
      </c>
      <c r="I139" s="116">
        <f t="shared" si="25"/>
        <v>336.41169600000001</v>
      </c>
      <c r="J139" s="116">
        <f t="shared" si="25"/>
        <v>279.07848200000001</v>
      </c>
      <c r="K139" s="116">
        <f t="shared" si="25"/>
        <v>300.75480199999998</v>
      </c>
      <c r="L139" s="116">
        <f t="shared" si="25"/>
        <v>246.048203</v>
      </c>
      <c r="M139" s="116">
        <f t="shared" si="25"/>
        <v>229.928777</v>
      </c>
      <c r="N139" s="116">
        <f t="shared" si="25"/>
        <v>258.95318400000002</v>
      </c>
      <c r="O139" s="134">
        <f t="shared" si="25"/>
        <v>229.38776100000001</v>
      </c>
    </row>
    <row r="140" spans="1:15">
      <c r="A140" s="209"/>
      <c r="B140" s="122" t="s">
        <v>6</v>
      </c>
      <c r="C140" s="116">
        <f>HLOOKUP(C$117,$86:$115,22,FALSE)</f>
        <v>3.727338</v>
      </c>
      <c r="D140" s="116">
        <f t="shared" ref="D140:O140" si="26">HLOOKUP(D$117,$86:$115,22,FALSE)</f>
        <v>3.4751189999999998</v>
      </c>
      <c r="E140" s="116">
        <f t="shared" si="26"/>
        <v>2.2183510000000002</v>
      </c>
      <c r="F140" s="116">
        <f t="shared" si="26"/>
        <v>1.582837</v>
      </c>
      <c r="G140" s="116">
        <f t="shared" si="26"/>
        <v>2.0965220000000002</v>
      </c>
      <c r="H140" s="116">
        <f t="shared" si="26"/>
        <v>1.15967</v>
      </c>
      <c r="I140" s="116">
        <f t="shared" si="26"/>
        <v>0.82455000000000001</v>
      </c>
      <c r="J140" s="116">
        <f t="shared" si="26"/>
        <v>1.3385149999999999</v>
      </c>
      <c r="K140" s="116">
        <f t="shared" si="26"/>
        <v>1.8236140000000001</v>
      </c>
      <c r="L140" s="116">
        <f t="shared" si="26"/>
        <v>0.99112500000000003</v>
      </c>
      <c r="M140" s="116">
        <f t="shared" si="26"/>
        <v>1.4427080000000001</v>
      </c>
      <c r="N140" s="116">
        <f t="shared" si="26"/>
        <v>0.74262799999999995</v>
      </c>
      <c r="O140" s="134">
        <f t="shared" si="26"/>
        <v>3.6524220000000001</v>
      </c>
    </row>
    <row r="141" spans="1:15">
      <c r="A141" s="209"/>
      <c r="B141" s="122" t="s">
        <v>5</v>
      </c>
      <c r="C141" s="116">
        <f>HLOOKUP(C$117,$86:$115,23,FALSE)</f>
        <v>158.18352999999999</v>
      </c>
      <c r="D141" s="116">
        <f t="shared" ref="D141:O141" si="27">HLOOKUP(D$117,$86:$115,23,FALSE)</f>
        <v>158.502759</v>
      </c>
      <c r="E141" s="116">
        <f t="shared" si="27"/>
        <v>100.47458899999999</v>
      </c>
      <c r="F141" s="116">
        <f t="shared" si="27"/>
        <v>89.262077000000005</v>
      </c>
      <c r="G141" s="116">
        <f t="shared" si="27"/>
        <v>125.115903</v>
      </c>
      <c r="H141" s="116">
        <f t="shared" si="27"/>
        <v>68.820522999999994</v>
      </c>
      <c r="I141" s="116">
        <f t="shared" si="27"/>
        <v>60.201912999999998</v>
      </c>
      <c r="J141" s="116">
        <f t="shared" si="27"/>
        <v>93.150577999999996</v>
      </c>
      <c r="K141" s="116">
        <f t="shared" si="27"/>
        <v>97.165876999999995</v>
      </c>
      <c r="L141" s="116">
        <f t="shared" si="27"/>
        <v>54.728521000000001</v>
      </c>
      <c r="M141" s="116">
        <f t="shared" si="27"/>
        <v>69.748904999999993</v>
      </c>
      <c r="N141" s="116">
        <f t="shared" si="27"/>
        <v>103.362193</v>
      </c>
      <c r="O141" s="134">
        <f t="shared" si="27"/>
        <v>148.00404900000001</v>
      </c>
    </row>
    <row r="142" spans="1:15">
      <c r="A142" s="209"/>
      <c r="B142" s="122" t="s">
        <v>4</v>
      </c>
      <c r="C142" s="116">
        <f>HLOOKUP(C$117,$86:$115,24,FALSE)</f>
        <v>29.608312000000002</v>
      </c>
      <c r="D142" s="116">
        <f t="shared" ref="D142:O142" si="28">HLOOKUP(D$117,$86:$115,24,FALSE)</f>
        <v>27.737331000000001</v>
      </c>
      <c r="E142" s="116">
        <f t="shared" si="28"/>
        <v>23.467742000000001</v>
      </c>
      <c r="F142" s="116">
        <f t="shared" si="28"/>
        <v>20.840191999999998</v>
      </c>
      <c r="G142" s="116">
        <f t="shared" si="28"/>
        <v>18.276879999999998</v>
      </c>
      <c r="H142" s="116">
        <f t="shared" si="28"/>
        <v>17.266753999999999</v>
      </c>
      <c r="I142" s="116">
        <f t="shared" si="28"/>
        <v>18.497091000000001</v>
      </c>
      <c r="J142" s="116">
        <f t="shared" si="28"/>
        <v>20.25189</v>
      </c>
      <c r="K142" s="116">
        <f t="shared" si="28"/>
        <v>21.169239000000001</v>
      </c>
      <c r="L142" s="116">
        <f t="shared" si="28"/>
        <v>22.608267999999999</v>
      </c>
      <c r="M142" s="116">
        <f t="shared" si="28"/>
        <v>26.001139999999999</v>
      </c>
      <c r="N142" s="116">
        <f t="shared" si="28"/>
        <v>23.728103999999998</v>
      </c>
      <c r="O142" s="134">
        <f t="shared" si="28"/>
        <v>26.95336</v>
      </c>
    </row>
    <row r="143" spans="1:15">
      <c r="A143" s="209"/>
      <c r="B143" s="122" t="s">
        <v>22</v>
      </c>
      <c r="C143" s="116">
        <f>HLOOKUP(C$117,$86:$115,25,FALSE)</f>
        <v>0.917458</v>
      </c>
      <c r="D143" s="116">
        <f t="shared" ref="D143:O143" si="29">HLOOKUP(D$117,$86:$115,25,FALSE)</f>
        <v>0.71267199999999997</v>
      </c>
      <c r="E143" s="116">
        <f t="shared" si="29"/>
        <v>0.43661899999999998</v>
      </c>
      <c r="F143" s="116">
        <f t="shared" si="29"/>
        <v>0.57729399999999997</v>
      </c>
      <c r="G143" s="116">
        <f t="shared" si="29"/>
        <v>0.87303399999999998</v>
      </c>
      <c r="H143" s="116">
        <f t="shared" si="29"/>
        <v>0.90510599999999997</v>
      </c>
      <c r="I143" s="116">
        <f t="shared" si="29"/>
        <v>0.87627999999999995</v>
      </c>
      <c r="J143" s="116">
        <f t="shared" si="29"/>
        <v>0.84570599999999996</v>
      </c>
      <c r="K143" s="116">
        <f t="shared" si="29"/>
        <v>0.82166799999999995</v>
      </c>
      <c r="L143" s="116">
        <f t="shared" si="29"/>
        <v>0.83979599999999999</v>
      </c>
      <c r="M143" s="116">
        <f t="shared" si="29"/>
        <v>0.70590200000000003</v>
      </c>
      <c r="N143" s="116">
        <f t="shared" si="29"/>
        <v>0.78505800000000003</v>
      </c>
      <c r="O143" s="134">
        <f t="shared" si="29"/>
        <v>0.69386000000000003</v>
      </c>
    </row>
    <row r="144" spans="1:15">
      <c r="A144" s="209"/>
      <c r="B144" s="127" t="s">
        <v>1</v>
      </c>
      <c r="C144" s="128">
        <f>HLOOKUP(C$117,$86:$115,26,FALSE)</f>
        <v>765.14518099999998</v>
      </c>
      <c r="D144" s="128">
        <f t="shared" ref="D144:O144" si="30">HLOOKUP(D$117,$86:$115,26,FALSE)</f>
        <v>788.634096</v>
      </c>
      <c r="E144" s="128">
        <f t="shared" si="30"/>
        <v>752.60181699999998</v>
      </c>
      <c r="F144" s="128">
        <f t="shared" si="30"/>
        <v>773.76758800000005</v>
      </c>
      <c r="G144" s="128">
        <f t="shared" si="30"/>
        <v>734.37679500000002</v>
      </c>
      <c r="H144" s="128">
        <f t="shared" si="30"/>
        <v>747.59996799999999</v>
      </c>
      <c r="I144" s="128">
        <f t="shared" si="30"/>
        <v>756.96304199999997</v>
      </c>
      <c r="J144" s="128">
        <f t="shared" si="30"/>
        <v>705.85809500000005</v>
      </c>
      <c r="K144" s="128">
        <f t="shared" si="30"/>
        <v>682.17468799999995</v>
      </c>
      <c r="L144" s="128">
        <f t="shared" si="30"/>
        <v>548.44070199999999</v>
      </c>
      <c r="M144" s="128">
        <f t="shared" si="30"/>
        <v>581.07287099999996</v>
      </c>
      <c r="N144" s="128">
        <f t="shared" si="30"/>
        <v>602.67556400000001</v>
      </c>
      <c r="O144" s="136">
        <f t="shared" si="30"/>
        <v>678.86871099999996</v>
      </c>
    </row>
    <row r="145" spans="1:26">
      <c r="A145" s="209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0"/>
      <c r="B146" s="137" t="s">
        <v>75</v>
      </c>
      <c r="C146" s="141">
        <f>SUM(C136:C138)</f>
        <v>310.36124699999999</v>
      </c>
      <c r="D146" s="141">
        <f t="shared" ref="D146:O146" si="31">SUM(D136:D138)</f>
        <v>307.670436</v>
      </c>
      <c r="E146" s="141">
        <f t="shared" si="31"/>
        <v>349.34223900000001</v>
      </c>
      <c r="F146" s="141">
        <f t="shared" si="31"/>
        <v>355.37539000000004</v>
      </c>
      <c r="G146" s="141">
        <f t="shared" si="31"/>
        <v>354.636663</v>
      </c>
      <c r="H146" s="141">
        <f t="shared" si="31"/>
        <v>357.24838199999999</v>
      </c>
      <c r="I146" s="141">
        <f t="shared" si="31"/>
        <v>339.84719799999999</v>
      </c>
      <c r="J146" s="141">
        <f t="shared" si="31"/>
        <v>310.92523399999999</v>
      </c>
      <c r="K146" s="141">
        <f t="shared" si="31"/>
        <v>260.14058899999998</v>
      </c>
      <c r="L146" s="141">
        <f t="shared" si="31"/>
        <v>222.93640199999999</v>
      </c>
      <c r="M146" s="141">
        <f t="shared" si="31"/>
        <v>252.956976</v>
      </c>
      <c r="N146" s="141">
        <f t="shared" si="31"/>
        <v>214.832064</v>
      </c>
      <c r="O146" s="142">
        <f t="shared" si="31"/>
        <v>269.88695799999999</v>
      </c>
    </row>
    <row r="149" spans="1:26" ht="15">
      <c r="A149" s="174"/>
      <c r="B149" s="174" t="s">
        <v>68</v>
      </c>
      <c r="C149" s="207" t="s">
        <v>57</v>
      </c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8" t="s">
        <v>99</v>
      </c>
      <c r="D150" s="188" t="s">
        <v>100</v>
      </c>
      <c r="E150" s="188" t="s">
        <v>101</v>
      </c>
      <c r="F150" s="188" t="s">
        <v>102</v>
      </c>
      <c r="G150" s="188" t="s">
        <v>103</v>
      </c>
      <c r="H150" s="188" t="s">
        <v>104</v>
      </c>
      <c r="I150" s="188" t="s">
        <v>105</v>
      </c>
      <c r="J150" s="188" t="s">
        <v>106</v>
      </c>
      <c r="K150" s="188" t="s">
        <v>107</v>
      </c>
      <c r="L150" s="188" t="s">
        <v>108</v>
      </c>
      <c r="M150" s="188" t="s">
        <v>109</v>
      </c>
      <c r="N150" s="188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124</v>
      </c>
      <c r="B152" s="176" t="s">
        <v>125</v>
      </c>
      <c r="C152" s="190">
        <v>-0.26474999999999999</v>
      </c>
      <c r="D152" s="190">
        <v>1.57E-3</v>
      </c>
      <c r="E152" s="190">
        <v>-2.0119999999999999E-2</v>
      </c>
      <c r="F152" s="190">
        <v>-0.2462</v>
      </c>
      <c r="G152" s="190">
        <v>-0.20218</v>
      </c>
      <c r="H152" s="190">
        <v>3.2000000000000003E-4</v>
      </c>
      <c r="I152" s="190">
        <v>-1.123E-2</v>
      </c>
      <c r="J152" s="190">
        <v>-0.19127</v>
      </c>
      <c r="K152" s="190">
        <v>-0.1124</v>
      </c>
      <c r="L152" s="190">
        <v>1.7600000000000001E-3</v>
      </c>
      <c r="M152" s="190">
        <v>-7.9500000000000005E-3</v>
      </c>
      <c r="N152" s="190">
        <v>-0.10621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7" t="s">
        <v>58</v>
      </c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8" t="s">
        <v>99</v>
      </c>
      <c r="D156" s="188" t="s">
        <v>100</v>
      </c>
      <c r="E156" s="188" t="s">
        <v>101</v>
      </c>
      <c r="F156" s="188" t="s">
        <v>102</v>
      </c>
      <c r="G156" s="188" t="s">
        <v>103</v>
      </c>
      <c r="H156" s="188" t="s">
        <v>104</v>
      </c>
      <c r="I156" s="188" t="s">
        <v>105</v>
      </c>
      <c r="J156" s="188" t="s">
        <v>106</v>
      </c>
      <c r="K156" s="188" t="s">
        <v>107</v>
      </c>
      <c r="L156" s="188" t="s">
        <v>108</v>
      </c>
      <c r="M156" s="188" t="s">
        <v>109</v>
      </c>
      <c r="N156" s="188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124</v>
      </c>
      <c r="B158" s="176" t="s">
        <v>125</v>
      </c>
      <c r="C158" s="190">
        <v>-0.11276</v>
      </c>
      <c r="D158" s="190">
        <v>6.9999999999999999E-4</v>
      </c>
      <c r="E158" s="190">
        <v>6.9899999999999997E-3</v>
      </c>
      <c r="F158" s="190">
        <v>-0.12045</v>
      </c>
      <c r="G158" s="190">
        <v>-0.10278</v>
      </c>
      <c r="H158" s="190">
        <v>-6.6E-4</v>
      </c>
      <c r="I158" s="190">
        <v>5.5000000000000003E-4</v>
      </c>
      <c r="J158" s="190">
        <v>-0.10267</v>
      </c>
      <c r="K158" s="190">
        <v>-5.79E-2</v>
      </c>
      <c r="L158" s="190">
        <v>1.4300000000000001E-3</v>
      </c>
      <c r="M158" s="190">
        <v>9.6000000000000002E-4</v>
      </c>
      <c r="N158" s="190">
        <v>-6.0290000000000003E-2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V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2" t="s">
        <v>47</v>
      </c>
      <c r="E7" s="77"/>
      <c r="F7" s="193" t="str">
        <f>K3</f>
        <v>Julio 2020</v>
      </c>
      <c r="G7" s="194"/>
      <c r="H7" s="194" t="s">
        <v>37</v>
      </c>
      <c r="I7" s="194"/>
      <c r="J7" s="194" t="s">
        <v>38</v>
      </c>
      <c r="K7" s="194"/>
    </row>
    <row r="8" spans="3:12">
      <c r="C8" s="192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528.92349100000001</v>
      </c>
      <c r="G9" s="164">
        <f>Dat_01!T24*100</f>
        <v>-26.474734009999999</v>
      </c>
      <c r="H9" s="83">
        <f>Dat_01!U24/1000</f>
        <v>2802.3250079999998</v>
      </c>
      <c r="I9" s="164">
        <f>Dat_01!W24*100</f>
        <v>-20.217673129999998</v>
      </c>
      <c r="J9" s="83">
        <f>Dat_01!X24/1000</f>
        <v>5404.9556960000009</v>
      </c>
      <c r="K9" s="164">
        <f>Dat_01!Y24*100</f>
        <v>-11.2404373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0.157</v>
      </c>
      <c r="H12" s="103"/>
      <c r="I12" s="103">
        <f>Dat_01!H152*100</f>
        <v>3.2000000000000001E-2</v>
      </c>
      <c r="J12" s="103"/>
      <c r="K12" s="103">
        <f>Dat_01!L152*100</f>
        <v>0.17600000000000002</v>
      </c>
    </row>
    <row r="13" spans="3:12">
      <c r="E13" s="85" t="s">
        <v>42</v>
      </c>
      <c r="F13" s="84"/>
      <c r="G13" s="103">
        <f>Dat_01!E152*100</f>
        <v>-2.012</v>
      </c>
      <c r="H13" s="103"/>
      <c r="I13" s="103">
        <f>Dat_01!I152*100</f>
        <v>-1.123</v>
      </c>
      <c r="J13" s="103"/>
      <c r="K13" s="103">
        <f>Dat_01!M152*100</f>
        <v>-0.79500000000000004</v>
      </c>
    </row>
    <row r="14" spans="3:12">
      <c r="E14" s="86" t="s">
        <v>43</v>
      </c>
      <c r="F14" s="87"/>
      <c r="G14" s="104">
        <f>Dat_01!F152*100</f>
        <v>-24.62</v>
      </c>
      <c r="H14" s="104"/>
      <c r="I14" s="104">
        <f>Dat_01!J152*100</f>
        <v>-19.126999999999999</v>
      </c>
      <c r="J14" s="104"/>
      <c r="K14" s="104">
        <f>Dat_01!N152*100</f>
        <v>-10.621</v>
      </c>
    </row>
    <row r="15" spans="3:12">
      <c r="E15" s="195" t="s">
        <v>44</v>
      </c>
      <c r="F15" s="195"/>
      <c r="G15" s="195"/>
      <c r="H15" s="195"/>
      <c r="I15" s="195"/>
      <c r="J15" s="195"/>
      <c r="K15" s="195"/>
    </row>
    <row r="16" spans="3:12" ht="21.75" customHeight="1">
      <c r="E16" s="191" t="s">
        <v>45</v>
      </c>
      <c r="F16" s="191"/>
      <c r="G16" s="191"/>
      <c r="H16" s="191"/>
      <c r="I16" s="191"/>
      <c r="J16" s="191"/>
      <c r="K16" s="191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2" t="s">
        <v>48</v>
      </c>
      <c r="E7" s="77"/>
      <c r="F7" s="193" t="str">
        <f>K3</f>
        <v>Julio 2020</v>
      </c>
      <c r="G7" s="194"/>
      <c r="H7" s="194" t="s">
        <v>37</v>
      </c>
      <c r="I7" s="194"/>
      <c r="J7" s="194" t="s">
        <v>38</v>
      </c>
      <c r="K7" s="194"/>
    </row>
    <row r="8" spans="3:12">
      <c r="C8" s="192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678.86871099999996</v>
      </c>
      <c r="G9" s="164">
        <f>Dat_01!AB24*100</f>
        <v>-11.275830019999999</v>
      </c>
      <c r="H9" s="83">
        <f>Dat_01!AC24/1000</f>
        <v>4556.0536730000003</v>
      </c>
      <c r="I9" s="164">
        <f>Dat_01!AE24*100</f>
        <v>-10.27765466</v>
      </c>
      <c r="J9" s="83">
        <f>Dat_01!AF24/1000</f>
        <v>8353.0339370000002</v>
      </c>
      <c r="K9" s="164">
        <f>Dat_01!AG24*100</f>
        <v>-5.7896996100000004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6.9999999999999993E-2</v>
      </c>
      <c r="H12" s="103"/>
      <c r="I12" s="103">
        <f>Dat_01!H158*100</f>
        <v>-6.6000000000000003E-2</v>
      </c>
      <c r="J12" s="103"/>
      <c r="K12" s="103">
        <f>Dat_01!L158*100</f>
        <v>0.14300000000000002</v>
      </c>
    </row>
    <row r="13" spans="3:12">
      <c r="E13" s="85" t="s">
        <v>42</v>
      </c>
      <c r="F13" s="84"/>
      <c r="G13" s="103">
        <f>Dat_01!E158*100</f>
        <v>0.69899999999999995</v>
      </c>
      <c r="H13" s="103"/>
      <c r="I13" s="103">
        <f>Dat_01!I158*100</f>
        <v>5.5E-2</v>
      </c>
      <c r="J13" s="103"/>
      <c r="K13" s="103">
        <f>Dat_01!M158*100</f>
        <v>9.6000000000000002E-2</v>
      </c>
    </row>
    <row r="14" spans="3:12">
      <c r="E14" s="86" t="s">
        <v>43</v>
      </c>
      <c r="F14" s="87"/>
      <c r="G14" s="104">
        <f>Dat_01!F158*100</f>
        <v>-12.045</v>
      </c>
      <c r="H14" s="104"/>
      <c r="I14" s="104">
        <f>Dat_01!J158*100</f>
        <v>-10.266999999999999</v>
      </c>
      <c r="J14" s="104"/>
      <c r="K14" s="104">
        <f>Dat_01!N158*100</f>
        <v>-6.0289999999999999</v>
      </c>
    </row>
    <row r="15" spans="3:12">
      <c r="E15" s="195" t="s">
        <v>44</v>
      </c>
      <c r="F15" s="195"/>
      <c r="G15" s="195"/>
      <c r="H15" s="195"/>
      <c r="I15" s="195"/>
      <c r="J15" s="195"/>
      <c r="K15" s="195"/>
    </row>
    <row r="16" spans="3:12" ht="21.75" customHeight="1">
      <c r="E16" s="191" t="s">
        <v>45</v>
      </c>
      <c r="F16" s="191"/>
      <c r="G16" s="191"/>
      <c r="H16" s="191"/>
      <c r="I16" s="191"/>
      <c r="J16" s="191"/>
      <c r="K16" s="191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131</v>
      </c>
    </row>
    <row r="2" spans="1:2">
      <c r="A2" t="s">
        <v>126</v>
      </c>
    </row>
    <row r="3" spans="1:2">
      <c r="A3" t="s">
        <v>127</v>
      </c>
    </row>
    <row r="4" spans="1:2">
      <c r="A4" t="s">
        <v>129</v>
      </c>
    </row>
    <row r="5" spans="1:2">
      <c r="A5" t="s">
        <v>130</v>
      </c>
    </row>
    <row r="6" spans="1:2">
      <c r="A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Julio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6" t="s">
        <v>18</v>
      </c>
      <c r="E7" s="31"/>
      <c r="F7" s="197" t="s">
        <v>17</v>
      </c>
      <c r="G7" s="198"/>
      <c r="H7" s="197" t="s">
        <v>16</v>
      </c>
      <c r="I7" s="198"/>
      <c r="J7" s="197" t="s">
        <v>15</v>
      </c>
      <c r="K7" s="198"/>
      <c r="L7" s="197" t="s">
        <v>14</v>
      </c>
      <c r="M7" s="198"/>
    </row>
    <row r="8" spans="3:23" s="28" customFormat="1" ht="12.75" customHeight="1">
      <c r="C8" s="196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0.29030099999999998</v>
      </c>
      <c r="I9" s="17">
        <f>Dat_01!AB8*100</f>
        <v>-2.7203361699999999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3.6524220000000001</v>
      </c>
      <c r="I10" s="17">
        <f>Dat_01!AB15*100</f>
        <v>-2.0099062700000001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0.21969999999999998</v>
      </c>
      <c r="G11" s="17">
        <f>Dat_01!T16*100</f>
        <v>-4.6300235299999999</v>
      </c>
      <c r="H11" s="153">
        <f>Dat_01!Z16/1000</f>
        <v>148.00404900000001</v>
      </c>
      <c r="I11" s="17">
        <f>Dat_01!AB16*100</f>
        <v>-6.4352344399999994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12.761147999999999</v>
      </c>
      <c r="G12" s="17">
        <f>Dat_01!T17*100</f>
        <v>2.2761038099999999</v>
      </c>
      <c r="H12" s="153">
        <f>Dat_01!Z17/1000</f>
        <v>26.95336</v>
      </c>
      <c r="I12" s="17">
        <f>Dat_01!AB17*100</f>
        <v>-8.966914430000001</v>
      </c>
      <c r="J12" s="153" t="s">
        <v>3</v>
      </c>
      <c r="K12" s="17" t="s">
        <v>3</v>
      </c>
      <c r="L12" s="153">
        <f>Dat_01!J17/1000</f>
        <v>7.9089999999999994E-3</v>
      </c>
      <c r="M12" s="17">
        <f>IF(Dat_01!L17="-","-",Dat_01!L17*100)</f>
        <v>-3.1590547300000003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7">
        <f>Dat_01!R18/1000</f>
        <v>5.2531000000000001E-2</v>
      </c>
      <c r="G13" s="17">
        <f>Dat_01!T18*100</f>
        <v>-46.930342979999999</v>
      </c>
      <c r="H13" s="153">
        <f>Dat_01!Z18/1000</f>
        <v>0.69386000000000003</v>
      </c>
      <c r="I13" s="17">
        <f>Dat_01!AB18*100</f>
        <v>-24.371469870000002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10.772016499999999</v>
      </c>
      <c r="G14" s="17">
        <f>Dat_01!T21*100</f>
        <v>-25.414277460000001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0.54246400000000006</v>
      </c>
      <c r="M14" s="17">
        <f>Dat_01!L21*100</f>
        <v>27.304003359999999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23.805395499999996</v>
      </c>
      <c r="G15" s="173">
        <f>((SUM(Dat_01!R8,Dat_01!R15:R18,Dat_01!R20)/SUM(Dat_01!S8,Dat_01!S15:S18,Dat_01!S20))-1)*100</f>
        <v>-12.637449917603327</v>
      </c>
      <c r="H15" s="172">
        <f>SUM(H9:H14)</f>
        <v>179.59399200000001</v>
      </c>
      <c r="I15" s="173">
        <f>((SUM(Dat_01!Z8,Dat_01!Z15:Z18,Dat_01!Z20)/SUM(Dat_01!AA8,Dat_01!AA15:AA18,Dat_01!AA20))-1)*100</f>
        <v>-6.8182017348302431</v>
      </c>
      <c r="J15" s="172" t="s">
        <v>3</v>
      </c>
      <c r="K15" s="173" t="s">
        <v>3</v>
      </c>
      <c r="L15" s="173">
        <f>SUM(L9:L14)</f>
        <v>0.550373</v>
      </c>
      <c r="M15" s="173">
        <f>((SUM(Dat_01!J8,Dat_01!J15:J18,Dat_01!J21)/SUM(Dat_01!K8,Dat_01!K15:K18,Dat_01!K20))-1)*100</f>
        <v>26.731125254441814</v>
      </c>
      <c r="N15" s="10"/>
      <c r="O15" s="10"/>
    </row>
    <row r="16" spans="3:23" s="7" customFormat="1" ht="12.75" customHeight="1">
      <c r="C16" s="23"/>
      <c r="E16" s="20" t="s">
        <v>11</v>
      </c>
      <c r="F16" s="185">
        <f>Dat_01!R9/1000</f>
        <v>-1.119569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32.575167</v>
      </c>
      <c r="G17" s="24">
        <f>((SUM(Dat_01!R10,Dat_01!R14)/SUM(Dat_01!S10,Dat_01!S14))-1)*100</f>
        <v>-52.395246990459754</v>
      </c>
      <c r="H17" s="154">
        <f>Dat_01!Z10/1000</f>
        <v>140.50550799999999</v>
      </c>
      <c r="I17" s="24">
        <f>Dat_01!AB10*100</f>
        <v>-9.8682847500000008</v>
      </c>
      <c r="J17" s="154">
        <f>Dat_01!B10/1000</f>
        <v>17.915205999999998</v>
      </c>
      <c r="K17" s="24">
        <f>Dat_01!D10*100</f>
        <v>-1.4849725500000002</v>
      </c>
      <c r="L17" s="154">
        <f>Dat_01!J10/1000</f>
        <v>20.046870999999999</v>
      </c>
      <c r="M17" s="24">
        <f>Dat_01!L10*100</f>
        <v>4.8472184699999996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33.700387999999997</v>
      </c>
      <c r="G18" s="24">
        <f>Dat_01!T11*100</f>
        <v>-53.49744389</v>
      </c>
      <c r="H18" s="154">
        <f>Dat_01!Z11/1000</f>
        <v>15.04932</v>
      </c>
      <c r="I18" s="24">
        <f>Dat_01!AB11*100</f>
        <v>-8.8865481499999994</v>
      </c>
      <c r="J18" s="154">
        <f>Dat_01!B11/1000</f>
        <v>2.3059999999999999E-3</v>
      </c>
      <c r="K18" s="24">
        <f>Dat_01!D11*100</f>
        <v>0</v>
      </c>
      <c r="L18" s="154">
        <f>Dat_01!J11/1000</f>
        <v>1.2030000000000001E-3</v>
      </c>
      <c r="M18" s="24">
        <f>Dat_01!L11*100</f>
        <v>-3.3734939800000001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114.33213000000001</v>
      </c>
      <c r="I19" s="24">
        <f>Dat_01!AB12*100</f>
        <v>-17.123628350000001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66.275554999999997</v>
      </c>
      <c r="G20" s="17">
        <f>((SUM(Dat_01!R10:R12,Dat_01!R14)/SUM(Dat_01!S10:S12,Dat_01!S14))-1)*100</f>
        <v>-52.962153335481311</v>
      </c>
      <c r="H20" s="153">
        <f>SUM(H17:H19)</f>
        <v>269.88695799999999</v>
      </c>
      <c r="I20" s="17">
        <f>(H20/(H17/(I17/100+1)+H18/(I18/100+1)+H19/(I19/100+1))-1)*100</f>
        <v>-13.04102538162214</v>
      </c>
      <c r="J20" s="153">
        <f>SUM(J17:J19)</f>
        <v>17.917511999999999</v>
      </c>
      <c r="K20" s="17">
        <f>(J20/(J17/(K17/100+1)+J18/(K18/100+1))-1)*100</f>
        <v>-1.484784270369488</v>
      </c>
      <c r="L20" s="153">
        <f>SUM(L17:L19)</f>
        <v>20.048074</v>
      </c>
      <c r="M20" s="17">
        <f>(L20/(L17/(M17/100+1)+L18/(M18/100+1))-1)*100</f>
        <v>4.8466832148575723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258.52646599999997</v>
      </c>
      <c r="G21" s="17">
        <f>Dat_01!T13*100</f>
        <v>60.59536353</v>
      </c>
      <c r="H21" s="153">
        <f>Dat_01!Z13/1000</f>
        <v>229.38776100000001</v>
      </c>
      <c r="I21" s="17">
        <f>Dat_01!AB13*100</f>
        <v>-12.46374965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2.3319319999999997</v>
      </c>
      <c r="G22" s="17">
        <f>Dat_01!T19*100</f>
        <v>95.228319979999995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10.772016499999999</v>
      </c>
      <c r="G23" s="17">
        <f>Dat_01!T20*100</f>
        <v>-25.414277460000001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0.54246400000000006</v>
      </c>
      <c r="M23" s="17">
        <f>Dat_01!L20*100</f>
        <v>27.304003359999999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336.78640049999996</v>
      </c>
      <c r="G24" s="173">
        <f>((SUM(Dat_01!R9:R14,Dat_01!R19,Dat_01!R21)/SUM(Dat_01!S9:S14,Dat_01!S19,Dat_01!S21))-1)*100</f>
        <v>-31.402675570904602</v>
      </c>
      <c r="H24" s="155">
        <f>SUM(H16,H20:H23)</f>
        <v>499.274719</v>
      </c>
      <c r="I24" s="173">
        <f>((SUM(Dat_01!Z9:Z14,Dat_01!Z19,Dat_01!Z21)/SUM(Dat_01!AA9:AA14,Dat_01!AA19,Dat_01!AA21))-1)*100</f>
        <v>-12.776749035976165</v>
      </c>
      <c r="J24" s="155">
        <f>SUM(J16,J20:J23)</f>
        <v>17.917511999999999</v>
      </c>
      <c r="K24" s="173">
        <f>((SUM(Dat_01!B9:B14,Dat_01!B19,Dat_01!B21)/SUM(Dat_01!C9:C14,Dat_01!C19,Dat_01!C21))-1)*100</f>
        <v>-1.4722919429436598</v>
      </c>
      <c r="L24" s="155">
        <f>SUM(L16,L20:L23)</f>
        <v>20.590537999999999</v>
      </c>
      <c r="M24" s="173">
        <f>((SUM(Dat_01!J9:J14,Dat_01!J19,Dat_01!J21)/SUM(Dat_01!K9:K14,Dat_01!K19,Dat_01!K21))-1)*100</f>
        <v>5.3362330138251979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168.331695</v>
      </c>
      <c r="G25" s="14">
        <f>Dat_01!T23*100</f>
        <v>-16.32204269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528.92349100000001</v>
      </c>
      <c r="G26" s="11">
        <f>Dat_01!T24*100</f>
        <v>-26.474734009999999</v>
      </c>
      <c r="H26" s="157">
        <f>Dat_01!Z24/1000</f>
        <v>678.86871099999996</v>
      </c>
      <c r="I26" s="11">
        <f>Dat_01!AB24*100</f>
        <v>-11.275830019999999</v>
      </c>
      <c r="J26" s="157">
        <f>Dat_01!B24/1000</f>
        <v>17.917511999999999</v>
      </c>
      <c r="K26" s="11">
        <f>Dat_01!D24*100</f>
        <v>-1.4722919399999999</v>
      </c>
      <c r="L26" s="157">
        <f>Dat_01!J24/1000</f>
        <v>21.140910999999999</v>
      </c>
      <c r="M26" s="11">
        <f>Dat_01!L24*100</f>
        <v>5.8012308700000004</v>
      </c>
      <c r="N26" s="10"/>
      <c r="O26" s="10"/>
    </row>
    <row r="27" spans="3:23" s="2" customFormat="1" ht="16.350000000000001" customHeight="1">
      <c r="C27" s="13"/>
      <c r="E27" s="201" t="s">
        <v>56</v>
      </c>
      <c r="F27" s="201"/>
      <c r="G27" s="201"/>
      <c r="H27" s="201"/>
      <c r="I27" s="201"/>
      <c r="J27" s="201"/>
      <c r="K27" s="201"/>
      <c r="L27" s="170"/>
      <c r="M27" s="171"/>
      <c r="N27" s="10"/>
      <c r="O27" s="10"/>
    </row>
    <row r="28" spans="3:23" s="2" customFormat="1" ht="34.5" customHeight="1">
      <c r="C28" s="13"/>
      <c r="E28" s="202" t="s">
        <v>120</v>
      </c>
      <c r="F28" s="202"/>
      <c r="G28" s="202"/>
      <c r="H28" s="202"/>
      <c r="I28" s="202"/>
      <c r="J28" s="202"/>
      <c r="K28" s="202"/>
      <c r="L28" s="202"/>
      <c r="M28" s="202"/>
      <c r="N28" s="10"/>
      <c r="O28" s="10"/>
    </row>
    <row r="29" spans="3:23" s="2" customFormat="1" ht="12.75" customHeight="1">
      <c r="C29" s="8"/>
      <c r="D29" s="8"/>
      <c r="E29" s="200" t="s">
        <v>0</v>
      </c>
      <c r="F29" s="200"/>
      <c r="G29" s="200"/>
      <c r="H29" s="200"/>
      <c r="I29" s="200"/>
      <c r="J29" s="200"/>
      <c r="K29" s="200"/>
      <c r="L29" s="200"/>
      <c r="M29" s="200"/>
      <c r="O29" s="9"/>
    </row>
    <row r="30" spans="3:23" s="7" customFormat="1" ht="12.75" customHeight="1">
      <c r="E30" s="199" t="s">
        <v>88</v>
      </c>
      <c r="F30" s="199"/>
      <c r="G30" s="199"/>
      <c r="H30" s="199"/>
      <c r="I30" s="199"/>
      <c r="J30" s="199"/>
      <c r="K30" s="199"/>
      <c r="L30" s="199"/>
      <c r="M30" s="199"/>
    </row>
    <row r="31" spans="3:23" s="2" customFormat="1" ht="12.75" customHeight="1">
      <c r="C31" s="8"/>
      <c r="D31" s="8"/>
      <c r="E31" s="199" t="s">
        <v>91</v>
      </c>
      <c r="F31" s="199"/>
      <c r="G31" s="199"/>
      <c r="H31" s="199"/>
      <c r="I31" s="199"/>
      <c r="J31" s="199"/>
      <c r="K31" s="199"/>
      <c r="L31" s="199"/>
      <c r="M31" s="199"/>
    </row>
    <row r="32" spans="3:23" ht="12.75" customHeight="1">
      <c r="C32" s="1"/>
      <c r="D32" s="1"/>
      <c r="E32" s="199" t="s">
        <v>92</v>
      </c>
      <c r="F32" s="199"/>
      <c r="G32" s="199"/>
      <c r="H32" s="199"/>
      <c r="I32" s="199"/>
      <c r="J32" s="199"/>
      <c r="K32" s="199"/>
      <c r="L32" s="199"/>
      <c r="M32" s="199"/>
    </row>
    <row r="33" spans="3:13" ht="12.75" customHeight="1">
      <c r="C33" s="1"/>
      <c r="D33" s="1"/>
      <c r="E33" s="199"/>
      <c r="F33" s="199"/>
      <c r="G33" s="199"/>
      <c r="H33" s="199"/>
      <c r="I33" s="199"/>
      <c r="J33" s="199"/>
      <c r="K33" s="199"/>
      <c r="L33" s="199"/>
      <c r="M33" s="199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3" t="s">
        <v>31</v>
      </c>
      <c r="D7" s="44"/>
      <c r="E7" s="48"/>
    </row>
    <row r="8" spans="2:12" s="38" customFormat="1" ht="12.75" customHeight="1">
      <c r="B8" s="46"/>
      <c r="C8" s="203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3" t="s">
        <v>28</v>
      </c>
      <c r="E24" s="42"/>
      <c r="J24" s="38"/>
      <c r="K24" s="38"/>
    </row>
    <row r="25" spans="2:12">
      <c r="C25" s="203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4" t="s">
        <v>32</v>
      </c>
      <c r="D7" s="64"/>
      <c r="E7" s="68"/>
    </row>
    <row r="8" spans="1:20" s="56" customFormat="1" ht="12.75" customHeight="1">
      <c r="A8" s="67"/>
      <c r="B8" s="66"/>
      <c r="C8" s="204"/>
      <c r="D8" s="64"/>
      <c r="E8" s="68"/>
      <c r="F8" s="63"/>
    </row>
    <row r="9" spans="1:20" s="56" customFormat="1" ht="12.75" customHeight="1">
      <c r="A9" s="67"/>
      <c r="B9" s="66"/>
      <c r="C9" s="204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3" t="s">
        <v>35</v>
      </c>
      <c r="D7" s="44"/>
      <c r="E7" s="48"/>
    </row>
    <row r="8" spans="2:12" s="38" customFormat="1" ht="12.75" customHeight="1">
      <c r="B8" s="46"/>
      <c r="C8" s="203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3" t="s">
        <v>49</v>
      </c>
      <c r="E24" s="42"/>
      <c r="J24" s="38"/>
      <c r="K24" s="38"/>
    </row>
    <row r="25" spans="2:12">
      <c r="C25" s="203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4" t="s">
        <v>36</v>
      </c>
      <c r="D7" s="64"/>
      <c r="E7" s="68"/>
    </row>
    <row r="8" spans="1:20" s="56" customFormat="1" ht="12.75" customHeight="1">
      <c r="A8" s="67"/>
      <c r="B8" s="66"/>
      <c r="C8" s="204"/>
      <c r="D8" s="64"/>
      <c r="E8" s="68"/>
      <c r="F8" s="63"/>
    </row>
    <row r="9" spans="1:20" s="56" customFormat="1" ht="12.75" customHeight="1">
      <c r="A9" s="67"/>
      <c r="B9" s="66"/>
      <c r="C9" s="204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Sevilla Penas, Marta</cp:lastModifiedBy>
  <dcterms:created xsi:type="dcterms:W3CDTF">2016-11-17T11:02:48Z</dcterms:created>
  <dcterms:modified xsi:type="dcterms:W3CDTF">2020-08-14T09:59:51Z</dcterms:modified>
</cp:coreProperties>
</file>