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JUL\INF_ELABORADA\"/>
    </mc:Choice>
  </mc:AlternateContent>
  <xr:revisionPtr revIDLastSave="0" documentId="13_ncr:1_{5F5FE9B9-C750-4F9E-BA8A-626DA541EB57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>#N/A</definedName>
    <definedName name="Z_22B26D9C_611A_11D3_B8AC_0008C7298EBA_.wvu.PrintArea" localSheetId="0" hidden="1">Dat_01!$A$4:$AG$24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7" i="18" l="1"/>
  <c r="C47" i="18" l="1"/>
  <c r="L20" i="22" l="1"/>
  <c r="B53" i="18" l="1"/>
  <c r="G61" i="18" l="1"/>
  <c r="G60" i="18"/>
  <c r="G59" i="18"/>
  <c r="G58" i="18"/>
  <c r="G57" i="18"/>
  <c r="G56" i="18"/>
  <c r="G55" i="18"/>
  <c r="G54" i="18"/>
  <c r="G53" i="18"/>
  <c r="G52" i="18"/>
  <c r="B62" i="18"/>
  <c r="B61" i="18"/>
  <c r="B60" i="18"/>
  <c r="B59" i="18"/>
  <c r="B58" i="18"/>
  <c r="B57" i="18"/>
  <c r="B55" i="18"/>
  <c r="B54" i="18"/>
  <c r="B52" i="18"/>
  <c r="B78" i="18" l="1"/>
  <c r="B76" i="18"/>
  <c r="B75" i="18"/>
  <c r="B74" i="18"/>
  <c r="B73" i="18"/>
  <c r="B71" i="18"/>
  <c r="B70" i="18"/>
  <c r="B69" i="18"/>
  <c r="F17" i="22"/>
  <c r="M26" i="22" l="1"/>
  <c r="L26" i="22"/>
  <c r="K26" i="22"/>
  <c r="J26" i="22"/>
  <c r="I26" i="22"/>
  <c r="H26" i="22"/>
  <c r="G26" i="22"/>
  <c r="F26" i="22"/>
  <c r="G25" i="22"/>
  <c r="F25" i="22"/>
  <c r="M24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M18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G16" i="22"/>
  <c r="F16" i="22"/>
  <c r="M15" i="22"/>
  <c r="I15" i="22"/>
  <c r="G15" i="22"/>
  <c r="M14" i="22"/>
  <c r="L14" i="22"/>
  <c r="G14" i="22"/>
  <c r="F14" i="22"/>
  <c r="I13" i="22"/>
  <c r="H13" i="22"/>
  <c r="G13" i="22"/>
  <c r="F13" i="22"/>
  <c r="M12" i="22"/>
  <c r="L12" i="22"/>
  <c r="L15" i="22" s="1"/>
  <c r="I12" i="22"/>
  <c r="H12" i="22"/>
  <c r="G12" i="22"/>
  <c r="F12" i="22"/>
  <c r="I11" i="22"/>
  <c r="H11" i="22"/>
  <c r="G11" i="22"/>
  <c r="F11" i="22"/>
  <c r="I10" i="22"/>
  <c r="H10" i="22"/>
  <c r="I9" i="22"/>
  <c r="H9" i="22"/>
  <c r="L24" i="22" l="1"/>
  <c r="H15" i="22"/>
  <c r="F15" i="22"/>
  <c r="F24" i="22"/>
  <c r="H20" i="22"/>
  <c r="I20" i="22" s="1"/>
  <c r="J24" i="22"/>
  <c r="M20" i="22"/>
  <c r="H24" i="22" l="1"/>
  <c r="B77" i="18" l="1"/>
  <c r="B79" i="18"/>
  <c r="B68" i="18" l="1"/>
  <c r="B80" i="18" s="1"/>
  <c r="G77" i="18" l="1"/>
  <c r="G76" i="18"/>
  <c r="G75" i="18"/>
  <c r="G72" i="18"/>
  <c r="G73" i="18"/>
  <c r="G70" i="18"/>
  <c r="G69" i="18"/>
  <c r="G68" i="18"/>
  <c r="O117" i="18" l="1"/>
  <c r="O134" i="18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19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G74" i="18"/>
  <c r="G71" i="18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3" i="18" s="1"/>
  <c r="J120" i="18" l="1"/>
  <c r="J123" i="18"/>
  <c r="K133" i="18"/>
  <c r="H59" i="18"/>
  <c r="H52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H57" i="18"/>
  <c r="H54" i="18"/>
  <c r="H60" i="18"/>
  <c r="H53" i="18"/>
  <c r="H56" i="18"/>
  <c r="H58" i="18"/>
  <c r="H61" i="18"/>
  <c r="C54" i="18"/>
  <c r="C60" i="18"/>
  <c r="C58" i="18"/>
  <c r="C55" i="18"/>
  <c r="C61" i="18"/>
  <c r="C59" i="18"/>
  <c r="C57" i="18"/>
  <c r="C62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55" i="18"/>
  <c r="H62" i="18" s="1"/>
  <c r="C52" i="18"/>
  <c r="C63" i="18" s="1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<sst xmlns="http://schemas.openxmlformats.org/spreadsheetml/2006/main" count="382" uniqueCount="116">
  <si>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</si>
  <si>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</si>
  <si>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</si>
  <si>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</si>
  <si>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</si>
  <si>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</si>
  <si>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</si>
  <si>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</si>
  <si>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</si>
  <si>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</si>
  <si>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</si>
  <si>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</si>
  <si>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</si>
  <si>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</si>
  <si>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</si>
  <si>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</si>
  <si>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</si>
  <si>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</si>
  <si>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</si>
  <si>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</si>
  <si>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</si>
  <si>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</si>
  <si>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</si>
  <si>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</si>
  <si>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</si>
  <si>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</si>
  <si>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</si>
  <si>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</si>
  <si>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</si>
  <si>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</si>
  <si>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</si>
  <si>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</si>
  <si>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</si>
  <si>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</si>
  <si>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</si>
  <si>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</si>
  <si>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</si>
  <si>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</si>
  <si>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</si>
  <si>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</si>
  <si>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</si>
  <si>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</si>
  <si>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</si>
  <si>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</si>
  <si>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</si>
  <si>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</si>
  <si>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</si>
  <si>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</si>
  <si>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</si>
  <si>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</si>
  <si>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</si>
  <si>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</si>
  <si>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</si>
  <si>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</si>
  <si>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</si>
  <si>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</si>
  <si>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</si>
  <si>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Febrero 2018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</si>
  <si>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</si>
  <si>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</si>
  <si>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</si>
  <si>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</si>
  <si>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</si>
  <si>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</si>
  <si>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</si>
  <si>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</si>
  <si>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</si>
  <si>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</si>
  <si>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</si>
  <si>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</si>
  <si>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</si>
  <si>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</si>
  <si>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</si>
  <si>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</si>
  <si>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Enero 2018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</si>
  <si>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</si>
  <si>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</si>
  <si>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</si>
  <si>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</si>
  <si>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</si>
  <si>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Abril 2018</t>
  </si>
  <si>
    <t>Marzo 2018</t>
  </si>
  <si>
    <t>Mayo 2018</t>
  </si>
  <si>
    <t>Agosto 2018</t>
  </si>
  <si>
    <t>Motores diesel</t>
  </si>
  <si>
    <t>Demanda transporte (b.c.)</t>
  </si>
  <si>
    <t>Junio 2018</t>
  </si>
  <si>
    <t>Julio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</si>
  <si>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</si>
  <si>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</si>
  <si>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</si>
  <si>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</si>
  <si>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</si>
  <si>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</si>
  <si>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</si>
  <si>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</si>
  <si>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</si>
  <si>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</si>
  <si>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</si>
  <si>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</si>
  <si>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</si>
  <si>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</si>
  <si>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</si>
  <si>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</si>
  <si>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</si>
  <si>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</si>
  <si>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t>Julio 2019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</si>
  <si>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</si>
  <si>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</si>
  <si>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31/07/2019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</si>
  <si>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ut="08/12/2019 11:59:19" si="2.00000001dafbb39d2447dc98b1c5594a12270359e08ddc55c24a00a95efd99364253b9ee4b740edc016ab56554675e72893924e75aba440ed05e45e62eb1b8e01b3340e780137cfca12e76c815847b804f680f2542a0c7b3b26ddfa765fdede867dcc681c9d7bd6cc6c0794e6b699e5001dc0e037bd161141f6c4a9a5c1be40b53a3.3082.0.1.Europe/Madrid.upriv*_1*_pidn2*_4*_session*-lat*_1.000000010bc11dad3b0fb11b959cdae724d98800b5ee3e721a2f86a485bcc95f0886a4a0d3e6dcdc051a631fe049be8ea184d32544f04e09.00000001f7378f8650eafa10e51a1ab0b46170ebb5ee3e72576d061702e61928d8f622bb7a96488caa1bd88168c27f08ea02d02eace61205.0.1.1.BDEbi.D066E1C611E6257C10D00080EF253B44.0-3082.1.1_-0.1.0_-3082.1.1_5.5.0.*0.000000012117cb268bb1124201cd887383c549d1c911585a980de4b7eb86b691d35062425b1b376b.0.10*.25*.15*.214.23.10*.4*.0400*.0074J.e.000000015b80485315a4c998de10ac0ec8d66dadc911585a363850a31817e4cb89a37a1c63536806.0" msgID="9CD7D55711E9BCF80EA50080EF3523EE"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nrr="24"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</si>
  <si>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guid="9e1f976695ae4479bd2a9d9810fc7dcb" rank="0" ds="1"&gt;&lt;ri hasPG="0" name="Balance Potencia Mensual Baleares y Canarias" id="57A30EDF4E8F1228975B5BA9995BC744" path="Objetos públicos\Informes\Informes macros\Boletín\Balance Potencia Mensual Baleares y Canarias"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ut="08/12/2019 11:59:22" si="2.00000001dafbb39d2447dc98b1c5594a12270359e08ddc55c24a00a95efd99364253b9ee4b740edc016ab56554675e72893924e75aba440ed05e45e62eb1b8e01b3340e780137cfca12e76c815847b804f680f2542a0c7b3b26ddfa765fdede867dcc681c9d7bd6cc6c0794e6b699e5001dc0e037bd161141f6c4a9a5c1be40b53a3.3082.0.1.Europe/Madrid.upriv*_1*_pidn2*_4*_session*-lat*_1.000000010bc11dad3b0fb11b959cdae724d98800b5ee3e721a2f86a485bcc95f0886a4a0d3e6dcdc051a631fe049be8ea184d32544f04e09.00000001f7378f8650eafa10e51a1ab0b46170ebb5ee3e72576d061702e61928d8f622bb7a96488caa1bd88168c27f08ea02d02eace61205.0.1.1.BDEbi.D066E1C611E6257C10D00080EF253B44.0-3082.1.1_-0.1.0_-3082.1.1_5.5.0.*0.000000012117cb268bb1124201cd887383c549d1c911585a980de4b7eb86b691d35062425b1b376b.0.10*.25*.15*.214.23.10*.4*.0400*.0074J.e.000000015b80485315a4c998de10ac0ec8d66dadc911585a363850a31817e4cb89a37a1c63536806.0" msgID="9CD91C0E11E9BCF80EA50080EF6585F3"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ece="A29" enr="MSTR.Balance_Potencia_Mensual_Baleares_y_Canarias" ptn="" qtn="" rows="21" cols="3" /&gt;&lt;esdo ews="" ece="" ptn="" /&gt;&lt;/excel&gt;&lt;pgs&gt;&lt;pg rows="17" cols="2" nrr="367" nrc="46"&gt;&lt;pg /&gt;&lt;bls&gt;&lt;bl sr="1" sc="1" rfetch="17" cfetch="2" posid="1" darows="0" dacols="1"&gt;&lt;excel&gt;&lt;epo ews="Dat_01" ece="A29" enr="MSTR.Balance_Potencia_Mensual_Baleares_y_Canarias" ptn="" qtn="" rows="21" cols="3" /&gt;&lt;esdo ews="" ece="" ptn="" /&gt;&lt;/excel&gt;&lt;gridRng&gt;&lt;sect id="TITLE_AREA" rngprop="1:1:4:1" /&gt;&lt;sect id="ROWHEADERS_AREA" rngprop="5:1:17:1" /&gt;&lt;sect id="COLUMNHEADERS_AREA" rngprop="1:2:4:2" /&gt;&lt;sect id="DATA_AREA" rngprop="5:2:17:2" /&gt;&lt;/gridRng&gt;&lt;shapes /&gt;&lt;/bl&gt;&lt;/bls&gt;&lt;/pg&gt;&lt;/pgs&gt;&lt;/rptloc&gt;&lt;/mi&gt;</t>
  </si>
  <si>
    <t>Agosto 2019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</si>
  <si>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ut="08/12/2019 11:59:38" si="2.00000001dafbb39d2447dc98b1c5594a12270359e08ddc55c24a00a95efd99364253b9ee4b740edc016ab56554675e72893924e75aba440ed05e45e62eb1b8e01b3340e780137cfca12e76c815847b804f680f2542a0c7b3b26ddfa765fdede867dcc681c9d7bd6cc6c0794e6b699e5001dc0e037bd161141f6c4a9a5c1be40b53a3.3082.0.1.Europe/Madrid.upriv*_1*_pidn2*_4*_session*-lat*_1.000000010bc11dad3b0fb11b959cdae724d98800b5ee3e721a2f86a485bcc95f0886a4a0d3e6dcdc051a631fe049be8ea184d32544f04e09.00000001f7378f8650eafa10e51a1ab0b46170ebb5ee3e72576d061702e61928d8f622bb7a96488caa1bd88168c27f08ea02d02eace61205.0.1.1.BDEbi.D066E1C611E6257C10D00080EF253B44.0-3082.1.1_-0.1.0_-3082.1.1_5.5.0.*0.000000012117cb268bb1124201cd887383c549d1c911585a980de4b7eb86b691d35062425b1b376b.0.10*.25*.15*.214.23.10*.4*.0400*.0074J.e.000000015b80485315a4c998de10ac0ec8d66dadc911585a363850a31817e4cb89a37a1c63536806.0" msgID="9CCD55F511E9BCF80EA50080EFA503EF"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cols="22" /&gt;&lt;esdo ews="" ece="" ptn="" /&gt;&lt;/excel&gt;&lt;pgs&gt;&lt;pg rows="25" cols="20" nrr="602" nrc="466"&gt;&lt;pg /&gt;&lt;bls&gt;&lt;bl sr="1" sc="1" rfetch="25" cfetch="20" posid="1" darows="0" dacols="1"&gt;&lt;excel&gt;&lt;epo ews="Dat_01" ece="A85" enr="MSTR.Serie_Balance_B.C._Mensual_Baleares_y_Canarias" ptn="" qtn="" rows="28" cols="22" /&gt;&lt;esdo ews="" ece="" ptn="" /&gt;&lt;/excel&gt;&lt;gridRng&gt;&lt;sect id="TITLE_AREA" rngprop="1:1:3:2" /&gt;&lt;sect id="ROWHEADERS_AREA" rngprop="4:1:25:2" /&gt;&lt;sect id="COLUMNHEADERS_AREA" rngprop="1:3:3:20" /&gt;&lt;sect id="DATA_AREA" rngprop="4:3:25:20" /&gt;&lt;/gridRng&gt;&lt;shapes /&gt;&lt;/bl&gt;&lt;/bls&gt;&lt;/pg&gt;&lt;/pgs&gt;&lt;/rptloc&gt;&lt;/mi&gt;</t>
  </si>
  <si>
    <t>bea8bcb6955244989627e584fc8b7106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</si>
  <si>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ut="08/12/2019 11:59:58" si="2.00000001dafbb39d2447dc98b1c5594a12270359e08ddc55c24a00a95efd99364253b9ee4b740edc016ab56554675e72893924e75aba440ed05e45e62eb1b8e01b3340e780137cfca12e76c815847b804f680f2542a0c7b3b26ddfa765fdede867dcc681c9d7bd6cc6c0794e6b699e5001dc0e037bd161141f6c4a9a5c1be40b53a3.3082.0.1.Europe/Madrid.upriv*_1*_pidn2*_4*_session*-lat*_1.000000010bc11dad3b0fb11b959cdae724d98800b5ee3e721a2f86a485bcc95f0886a4a0d3e6dcdc051a631fe049be8ea184d32544f04e09.00000001f7378f8650eafa10e51a1ab0b46170ebb5ee3e72576d061702e61928d8f622bb7a96488caa1bd88168c27f08ea02d02eace61205.0.1.1.BDEbi.D066E1C611E6257C10D00080EF253B44.0-3082.1.1_-0.1.0_-3082.1.1_5.5.0.*0.000000012117cb268bb1124201cd887383c549d1c911585a980de4b7eb86b691d35062425b1b376b.0.10*.25*.15*.214.23.10*.4*.0400*.0074J.e.000000015b80485315a4c998de10ac0ec8d66dadc911585a363850a31817e4cb89a37a1c63536806.0" msgID="9CCD56F811E9BCF80EA50080EF15E5F2"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nrr="425" nrc="800"&gt;&lt;pg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</si>
</sst>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"/>
    <numFmt numFmtId="166" formatCode="0_)"/>
    <numFmt numFmtId="167" formatCode="0.0\ \ \ \ _)"/>
    <numFmt numFmtId="168" formatCode="0.0"/>
  </numFmts>
  <fonts count="47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0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</cellStyleXfs>
  <cellXfs count="207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33" fillId="7" borderId="10" xfId="23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</cellXfs>
  <cellStyles count="30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ac422d6a-d102-4f53-b7ea-bd7f18181498" xfId="15" xr:uid="{00000000-0005-0000-0000-00000F000000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0A0A0"/>
      <color rgb="FF6FB114"/>
      <color rgb="FFE48500"/>
      <color rgb="FF666666"/>
      <color rgb="FF8FA2D4"/>
      <color rgb="FF9A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8FA2D4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layout>
                <c:manualLayout>
                  <c:x val="0.16260162601626016"/>
                  <c:y val="1.2418171993206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3658536585365855"/>
                  <c:y val="0.136468658329473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8.7804878048780427E-2"/>
                  <c:y val="0.16601300756523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-0.1996288329812432"/>
                  <c:y val="0.161274509803921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28130094104090647"/>
                  <c:y val="0.12303921568627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3414634146341465"/>
                  <c:y val="1.90697853944727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22344497791434606"/>
                  <c:y val="-0.103458777211672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4.5528455284552849E-2"/>
                  <c:y val="-0.21935425351242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211382113821137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24.099999999999994</c:v>
                </c:pt>
                <c:pt idx="1">
                  <c:v>9.5</c:v>
                </c:pt>
                <c:pt idx="2">
                  <c:v>10.1</c:v>
                </c:pt>
                <c:pt idx="3">
                  <c:v>22.4</c:v>
                </c:pt>
                <c:pt idx="5">
                  <c:v>0.2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1.7</c:v>
                </c:pt>
                <c:pt idx="10">
                  <c:v>0</c:v>
                </c:pt>
                <c:pt idx="1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24065040650406491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6585365853658537"/>
                  <c:y val="0.12254901960784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8943089430894309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17560975609756099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4.878048780487805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9.9186863837142245E-2"/>
                  <c:y val="-0.16257796819515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0.20857025798604442"/>
                  <c:y val="-0.132521614945190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32520325203252032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20.40000000000002</c:v>
                </c:pt>
                <c:pt idx="1">
                  <c:v>8.5</c:v>
                </c:pt>
                <c:pt idx="2">
                  <c:v>26.3</c:v>
                </c:pt>
                <c:pt idx="3">
                  <c:v>37.299999999999997</c:v>
                </c:pt>
                <c:pt idx="5">
                  <c:v>0.5</c:v>
                </c:pt>
                <c:pt idx="6">
                  <c:v>1.6</c:v>
                </c:pt>
                <c:pt idx="7">
                  <c:v>1.6</c:v>
                </c:pt>
                <c:pt idx="8">
                  <c:v>0.2</c:v>
                </c:pt>
                <c:pt idx="9">
                  <c:v>3.5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jul.-18</c:v>
                </c:pt>
                <c:pt idx="1">
                  <c:v>ago.-18</c:v>
                </c:pt>
                <c:pt idx="2">
                  <c:v>sep.-18</c:v>
                </c:pt>
                <c:pt idx="3">
                  <c:v>oct.-18</c:v>
                </c:pt>
                <c:pt idx="4">
                  <c:v>nov.-18</c:v>
                </c:pt>
                <c:pt idx="5">
                  <c:v>dic.-18</c:v>
                </c:pt>
                <c:pt idx="6">
                  <c:v>ene.-19</c:v>
                </c:pt>
                <c:pt idx="7">
                  <c:v>feb.-19</c:v>
                </c:pt>
                <c:pt idx="8">
                  <c:v>mar.-19</c:v>
                </c:pt>
                <c:pt idx="9">
                  <c:v>abr.-19</c:v>
                </c:pt>
                <c:pt idx="10">
                  <c:v>may.-19</c:v>
                </c:pt>
                <c:pt idx="11">
                  <c:v>jun.-19</c:v>
                </c:pt>
                <c:pt idx="12">
                  <c:v>jul.-19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242.068479</c:v>
                </c:pt>
                <c:pt idx="1">
                  <c:v>257.31310999999999</c:v>
                </c:pt>
                <c:pt idx="2">
                  <c:v>250.63039499999999</c:v>
                </c:pt>
                <c:pt idx="3">
                  <c:v>186.34634299999999</c:v>
                </c:pt>
                <c:pt idx="4">
                  <c:v>105.71835900000001</c:v>
                </c:pt>
                <c:pt idx="5">
                  <c:v>181.17789999999999</c:v>
                </c:pt>
                <c:pt idx="6">
                  <c:v>216.788162</c:v>
                </c:pt>
                <c:pt idx="7">
                  <c:v>163.68409500000001</c:v>
                </c:pt>
                <c:pt idx="8">
                  <c:v>141.02476799999999</c:v>
                </c:pt>
                <c:pt idx="9">
                  <c:v>126.20684799999999</c:v>
                </c:pt>
                <c:pt idx="10">
                  <c:v>121.49093499999999</c:v>
                </c:pt>
                <c:pt idx="11">
                  <c:v>98.710933999999995</c:v>
                </c:pt>
                <c:pt idx="12">
                  <c:v>173.44610299999999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jul.-18</c:v>
                </c:pt>
                <c:pt idx="1">
                  <c:v>ago.-18</c:v>
                </c:pt>
                <c:pt idx="2">
                  <c:v>sep.-18</c:v>
                </c:pt>
                <c:pt idx="3">
                  <c:v>oct.-18</c:v>
                </c:pt>
                <c:pt idx="4">
                  <c:v>nov.-18</c:v>
                </c:pt>
                <c:pt idx="5">
                  <c:v>dic.-18</c:v>
                </c:pt>
                <c:pt idx="6">
                  <c:v>ene.-19</c:v>
                </c:pt>
                <c:pt idx="7">
                  <c:v>feb.-19</c:v>
                </c:pt>
                <c:pt idx="8">
                  <c:v>mar.-19</c:v>
                </c:pt>
                <c:pt idx="9">
                  <c:v>abr.-19</c:v>
                </c:pt>
                <c:pt idx="10">
                  <c:v>may.-19</c:v>
                </c:pt>
                <c:pt idx="11">
                  <c:v>jun.-19</c:v>
                </c:pt>
                <c:pt idx="12">
                  <c:v>jul.-19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181.892819</c:v>
                </c:pt>
                <c:pt idx="1">
                  <c:v>185.88845900000001</c:v>
                </c:pt>
                <c:pt idx="2">
                  <c:v>149.44745</c:v>
                </c:pt>
                <c:pt idx="3">
                  <c:v>112.509246</c:v>
                </c:pt>
                <c:pt idx="4">
                  <c:v>89.969028000000009</c:v>
                </c:pt>
                <c:pt idx="5">
                  <c:v>52.297241</c:v>
                </c:pt>
                <c:pt idx="6">
                  <c:v>57.736736000000008</c:v>
                </c:pt>
                <c:pt idx="7">
                  <c:v>49.177787000000002</c:v>
                </c:pt>
                <c:pt idx="8">
                  <c:v>51.184275999999997</c:v>
                </c:pt>
                <c:pt idx="9">
                  <c:v>60.374122999999997</c:v>
                </c:pt>
                <c:pt idx="10">
                  <c:v>61.287552000000005</c:v>
                </c:pt>
                <c:pt idx="11">
                  <c:v>89.729967000000002</c:v>
                </c:pt>
                <c:pt idx="12">
                  <c:v>140.971656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jul.-18</c:v>
                </c:pt>
                <c:pt idx="1">
                  <c:v>ago.-18</c:v>
                </c:pt>
                <c:pt idx="2">
                  <c:v>sep.-18</c:v>
                </c:pt>
                <c:pt idx="3">
                  <c:v>oct.-18</c:v>
                </c:pt>
                <c:pt idx="4">
                  <c:v>nov.-18</c:v>
                </c:pt>
                <c:pt idx="5">
                  <c:v>dic.-18</c:v>
                </c:pt>
                <c:pt idx="6">
                  <c:v>ene.-19</c:v>
                </c:pt>
                <c:pt idx="7">
                  <c:v>feb.-19</c:v>
                </c:pt>
                <c:pt idx="8">
                  <c:v>mar.-19</c:v>
                </c:pt>
                <c:pt idx="9">
                  <c:v>abr.-19</c:v>
                </c:pt>
                <c:pt idx="10">
                  <c:v>may.-19</c:v>
                </c:pt>
                <c:pt idx="11">
                  <c:v>jun.-19</c:v>
                </c:pt>
                <c:pt idx="12">
                  <c:v>jul.-19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53.754595000000002</c:v>
                </c:pt>
                <c:pt idx="1">
                  <c:v>62.510635000000001</c:v>
                </c:pt>
                <c:pt idx="2">
                  <c:v>31.103935</c:v>
                </c:pt>
                <c:pt idx="3">
                  <c:v>45.569164000000001</c:v>
                </c:pt>
                <c:pt idx="4">
                  <c:v>109.56093300000001</c:v>
                </c:pt>
                <c:pt idx="5">
                  <c:v>38.724245000000003</c:v>
                </c:pt>
                <c:pt idx="6">
                  <c:v>34.412135999999997</c:v>
                </c:pt>
                <c:pt idx="7">
                  <c:v>55.402149000000001</c:v>
                </c:pt>
                <c:pt idx="8">
                  <c:v>83.928335000000004</c:v>
                </c:pt>
                <c:pt idx="9">
                  <c:v>93.323053000000002</c:v>
                </c:pt>
                <c:pt idx="10">
                  <c:v>103.560644</c:v>
                </c:pt>
                <c:pt idx="11">
                  <c:v>148.873491</c:v>
                </c:pt>
                <c:pt idx="12">
                  <c:v>160.980031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jul.-18</c:v>
                </c:pt>
                <c:pt idx="1">
                  <c:v>ago.-18</c:v>
                </c:pt>
                <c:pt idx="2">
                  <c:v>sep.-18</c:v>
                </c:pt>
                <c:pt idx="3">
                  <c:v>oct.-18</c:v>
                </c:pt>
                <c:pt idx="4">
                  <c:v>nov.-18</c:v>
                </c:pt>
                <c:pt idx="5">
                  <c:v>dic.-18</c:v>
                </c:pt>
                <c:pt idx="6">
                  <c:v>ene.-19</c:v>
                </c:pt>
                <c:pt idx="7">
                  <c:v>feb.-19</c:v>
                </c:pt>
                <c:pt idx="8">
                  <c:v>mar.-19</c:v>
                </c:pt>
                <c:pt idx="9">
                  <c:v>abr.-19</c:v>
                </c:pt>
                <c:pt idx="10">
                  <c:v>may.-19</c:v>
                </c:pt>
                <c:pt idx="11">
                  <c:v>jun.-19</c:v>
                </c:pt>
                <c:pt idx="12">
                  <c:v>jul.-19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0.13932900000000001</c:v>
                </c:pt>
                <c:pt idx="1">
                  <c:v>0.19220799999999999</c:v>
                </c:pt>
                <c:pt idx="2">
                  <c:v>0.19817599999999999</c:v>
                </c:pt>
                <c:pt idx="3">
                  <c:v>0.620313</c:v>
                </c:pt>
                <c:pt idx="4">
                  <c:v>0.555396</c:v>
                </c:pt>
                <c:pt idx="5">
                  <c:v>0.41894799999999999</c:v>
                </c:pt>
                <c:pt idx="6">
                  <c:v>0.805427</c:v>
                </c:pt>
                <c:pt idx="7">
                  <c:v>0.49932900000000002</c:v>
                </c:pt>
                <c:pt idx="8">
                  <c:v>0.70238800000000001</c:v>
                </c:pt>
                <c:pt idx="9">
                  <c:v>0.63947100000000001</c:v>
                </c:pt>
                <c:pt idx="10">
                  <c:v>0.653721</c:v>
                </c:pt>
                <c:pt idx="11">
                  <c:v>0.34985300000000003</c:v>
                </c:pt>
                <c:pt idx="12">
                  <c:v>0.23036599999999999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jul.-18</c:v>
                </c:pt>
                <c:pt idx="1">
                  <c:v>ago.-18</c:v>
                </c:pt>
                <c:pt idx="2">
                  <c:v>sep.-18</c:v>
                </c:pt>
                <c:pt idx="3">
                  <c:v>oct.-18</c:v>
                </c:pt>
                <c:pt idx="4">
                  <c:v>nov.-18</c:v>
                </c:pt>
                <c:pt idx="5">
                  <c:v>dic.-18</c:v>
                </c:pt>
                <c:pt idx="6">
                  <c:v>ene.-19</c:v>
                </c:pt>
                <c:pt idx="7">
                  <c:v>feb.-19</c:v>
                </c:pt>
                <c:pt idx="8">
                  <c:v>mar.-19</c:v>
                </c:pt>
                <c:pt idx="9">
                  <c:v>abr.-19</c:v>
                </c:pt>
                <c:pt idx="10">
                  <c:v>may.-19</c:v>
                </c:pt>
                <c:pt idx="11">
                  <c:v>jun.-19</c:v>
                </c:pt>
                <c:pt idx="12">
                  <c:v>jul.-19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13.412572000000001</c:v>
                </c:pt>
                <c:pt idx="1">
                  <c:v>11.599539999999999</c:v>
                </c:pt>
                <c:pt idx="2">
                  <c:v>9.3011130000000009</c:v>
                </c:pt>
                <c:pt idx="3">
                  <c:v>8.042586</c:v>
                </c:pt>
                <c:pt idx="4">
                  <c:v>5.9828039999999998</c:v>
                </c:pt>
                <c:pt idx="5">
                  <c:v>6.6722400000000004</c:v>
                </c:pt>
                <c:pt idx="6">
                  <c:v>7.2773659999999998</c:v>
                </c:pt>
                <c:pt idx="7">
                  <c:v>9.3391369999999991</c:v>
                </c:pt>
                <c:pt idx="8">
                  <c:v>11.280421</c:v>
                </c:pt>
                <c:pt idx="9">
                  <c:v>10.643307999999999</c:v>
                </c:pt>
                <c:pt idx="10">
                  <c:v>12.906663999999999</c:v>
                </c:pt>
                <c:pt idx="11">
                  <c:v>13.247464000000001</c:v>
                </c:pt>
                <c:pt idx="12">
                  <c:v>12.374898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jul.-18</c:v>
                </c:pt>
                <c:pt idx="1">
                  <c:v>ago.-18</c:v>
                </c:pt>
                <c:pt idx="2">
                  <c:v>sep.-18</c:v>
                </c:pt>
                <c:pt idx="3">
                  <c:v>oct.-18</c:v>
                </c:pt>
                <c:pt idx="4">
                  <c:v>nov.-18</c:v>
                </c:pt>
                <c:pt idx="5">
                  <c:v>dic.-18</c:v>
                </c:pt>
                <c:pt idx="6">
                  <c:v>ene.-19</c:v>
                </c:pt>
                <c:pt idx="7">
                  <c:v>feb.-19</c:v>
                </c:pt>
                <c:pt idx="8">
                  <c:v>mar.-19</c:v>
                </c:pt>
                <c:pt idx="9">
                  <c:v>abr.-19</c:v>
                </c:pt>
                <c:pt idx="10">
                  <c:v>may.-19</c:v>
                </c:pt>
                <c:pt idx="11">
                  <c:v>jun.-19</c:v>
                </c:pt>
                <c:pt idx="12">
                  <c:v>jul.-19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5.7736999999999997E-2</c:v>
                </c:pt>
                <c:pt idx="1">
                  <c:v>5.6852E-2</c:v>
                </c:pt>
                <c:pt idx="2">
                  <c:v>1.917E-2</c:v>
                </c:pt>
                <c:pt idx="3">
                  <c:v>6.0415000000000003E-2</c:v>
                </c:pt>
                <c:pt idx="4">
                  <c:v>6.8765999999999994E-2</c:v>
                </c:pt>
                <c:pt idx="5">
                  <c:v>0.13137799999999999</c:v>
                </c:pt>
                <c:pt idx="6">
                  <c:v>0.107643</c:v>
                </c:pt>
                <c:pt idx="7">
                  <c:v>8.2346000000000003E-2</c:v>
                </c:pt>
                <c:pt idx="8">
                  <c:v>0.111343</c:v>
                </c:pt>
                <c:pt idx="9">
                  <c:v>8.9931999999999998E-2</c:v>
                </c:pt>
                <c:pt idx="10">
                  <c:v>5.4199999999999998E-2</c:v>
                </c:pt>
                <c:pt idx="11">
                  <c:v>0.12551699999999999</c:v>
                </c:pt>
                <c:pt idx="12">
                  <c:v>9.8985000000000004E-2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jul.-18</c:v>
                </c:pt>
                <c:pt idx="1">
                  <c:v>ago.-18</c:v>
                </c:pt>
                <c:pt idx="2">
                  <c:v>sep.-18</c:v>
                </c:pt>
                <c:pt idx="3">
                  <c:v>oct.-18</c:v>
                </c:pt>
                <c:pt idx="4">
                  <c:v>nov.-18</c:v>
                </c:pt>
                <c:pt idx="5">
                  <c:v>dic.-18</c:v>
                </c:pt>
                <c:pt idx="6">
                  <c:v>ene.-19</c:v>
                </c:pt>
                <c:pt idx="7">
                  <c:v>feb.-19</c:v>
                </c:pt>
                <c:pt idx="8">
                  <c:v>mar.-19</c:v>
                </c:pt>
                <c:pt idx="9">
                  <c:v>abr.-19</c:v>
                </c:pt>
                <c:pt idx="10">
                  <c:v>may.-19</c:v>
                </c:pt>
                <c:pt idx="11">
                  <c:v>jun.-19</c:v>
                </c:pt>
                <c:pt idx="12">
                  <c:v>jul.-19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3.5655640000000002</c:v>
                </c:pt>
                <c:pt idx="1">
                  <c:v>3.5154580000000002</c:v>
                </c:pt>
                <c:pt idx="2">
                  <c:v>2.43655</c:v>
                </c:pt>
                <c:pt idx="3">
                  <c:v>2.5715089999999998</c:v>
                </c:pt>
                <c:pt idx="4">
                  <c:v>3.145667</c:v>
                </c:pt>
                <c:pt idx="5">
                  <c:v>3.260389</c:v>
                </c:pt>
                <c:pt idx="6">
                  <c:v>3.3415469999999998</c:v>
                </c:pt>
                <c:pt idx="7">
                  <c:v>3.483536</c:v>
                </c:pt>
                <c:pt idx="8">
                  <c:v>3.2674569999999998</c:v>
                </c:pt>
                <c:pt idx="9">
                  <c:v>2.9153180000000001</c:v>
                </c:pt>
                <c:pt idx="10">
                  <c:v>2.2857509999999999</c:v>
                </c:pt>
                <c:pt idx="11">
                  <c:v>2.3003499999999999</c:v>
                </c:pt>
                <c:pt idx="12">
                  <c:v>1.194464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jul.-18</c:v>
                </c:pt>
                <c:pt idx="1">
                  <c:v>ago.-18</c:v>
                </c:pt>
                <c:pt idx="2">
                  <c:v>sep.-18</c:v>
                </c:pt>
                <c:pt idx="3">
                  <c:v>oct.-18</c:v>
                </c:pt>
                <c:pt idx="4">
                  <c:v>nov.-18</c:v>
                </c:pt>
                <c:pt idx="5">
                  <c:v>dic.-18</c:v>
                </c:pt>
                <c:pt idx="6">
                  <c:v>ene.-19</c:v>
                </c:pt>
                <c:pt idx="7">
                  <c:v>feb.-19</c:v>
                </c:pt>
                <c:pt idx="8">
                  <c:v>mar.-19</c:v>
                </c:pt>
                <c:pt idx="9">
                  <c:v>abr.-19</c:v>
                </c:pt>
                <c:pt idx="10">
                  <c:v>may.-19</c:v>
                </c:pt>
                <c:pt idx="11">
                  <c:v>jun.-19</c:v>
                </c:pt>
                <c:pt idx="12">
                  <c:v>jul.-19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14.429119</c:v>
                </c:pt>
                <c:pt idx="1">
                  <c:v>14.9613625</c:v>
                </c:pt>
                <c:pt idx="2">
                  <c:v>13.4535695</c:v>
                </c:pt>
                <c:pt idx="3">
                  <c:v>13.8976735</c:v>
                </c:pt>
                <c:pt idx="4">
                  <c:v>7.0333759999999996</c:v>
                </c:pt>
                <c:pt idx="5">
                  <c:v>13.124928499999999</c:v>
                </c:pt>
                <c:pt idx="6">
                  <c:v>9.5605395000000009</c:v>
                </c:pt>
                <c:pt idx="7">
                  <c:v>6.8600294999999996</c:v>
                </c:pt>
                <c:pt idx="8">
                  <c:v>11.083662500000001</c:v>
                </c:pt>
                <c:pt idx="9">
                  <c:v>13.4563305</c:v>
                </c:pt>
                <c:pt idx="10">
                  <c:v>13.087209</c:v>
                </c:pt>
                <c:pt idx="11">
                  <c:v>13.341946</c:v>
                </c:pt>
                <c:pt idx="12">
                  <c:v>14.4424645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14.429119</c:v>
                </c:pt>
                <c:pt idx="1">
                  <c:v>14.9613625</c:v>
                </c:pt>
                <c:pt idx="2">
                  <c:v>13.4535695</c:v>
                </c:pt>
                <c:pt idx="3">
                  <c:v>13.8976735</c:v>
                </c:pt>
                <c:pt idx="4">
                  <c:v>7.0333759999999996</c:v>
                </c:pt>
                <c:pt idx="5">
                  <c:v>13.124928499999999</c:v>
                </c:pt>
                <c:pt idx="6">
                  <c:v>9.5605395000000009</c:v>
                </c:pt>
                <c:pt idx="7">
                  <c:v>6.8600294999999996</c:v>
                </c:pt>
                <c:pt idx="8">
                  <c:v>11.083662500000001</c:v>
                </c:pt>
                <c:pt idx="9">
                  <c:v>13.4563305</c:v>
                </c:pt>
                <c:pt idx="10">
                  <c:v>13.087209</c:v>
                </c:pt>
                <c:pt idx="11">
                  <c:v>13.341946</c:v>
                </c:pt>
                <c:pt idx="12">
                  <c:v>14.4424645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jul.-18</c:v>
                </c:pt>
                <c:pt idx="1">
                  <c:v>ago.-18</c:v>
                </c:pt>
                <c:pt idx="2">
                  <c:v>sep.-18</c:v>
                </c:pt>
                <c:pt idx="3">
                  <c:v>oct.-18</c:v>
                </c:pt>
                <c:pt idx="4">
                  <c:v>nov.-18</c:v>
                </c:pt>
                <c:pt idx="5">
                  <c:v>dic.-18</c:v>
                </c:pt>
                <c:pt idx="6">
                  <c:v>ene.-19</c:v>
                </c:pt>
                <c:pt idx="7">
                  <c:v>feb.-19</c:v>
                </c:pt>
                <c:pt idx="8">
                  <c:v>mar.-19</c:v>
                </c:pt>
                <c:pt idx="9">
                  <c:v>abr.-19</c:v>
                </c:pt>
                <c:pt idx="10">
                  <c:v>may.-19</c:v>
                </c:pt>
                <c:pt idx="11">
                  <c:v>jun.-19</c:v>
                </c:pt>
                <c:pt idx="12">
                  <c:v>jul.-19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161.79160300000001</c:v>
                </c:pt>
                <c:pt idx="1">
                  <c:v>153.133589</c:v>
                </c:pt>
                <c:pt idx="2">
                  <c:v>107.931268</c:v>
                </c:pt>
                <c:pt idx="3">
                  <c:v>92.007576999999998</c:v>
                </c:pt>
                <c:pt idx="4">
                  <c:v>65.068314999999998</c:v>
                </c:pt>
                <c:pt idx="5">
                  <c:v>112.575441</c:v>
                </c:pt>
                <c:pt idx="6">
                  <c:v>137.254998</c:v>
                </c:pt>
                <c:pt idx="7">
                  <c:v>119.223619</c:v>
                </c:pt>
                <c:pt idx="8">
                  <c:v>122.32533599999999</c:v>
                </c:pt>
                <c:pt idx="9">
                  <c:v>124.430774</c:v>
                </c:pt>
                <c:pt idx="10">
                  <c:v>143.16130000000001</c:v>
                </c:pt>
                <c:pt idx="11">
                  <c:v>159.634671</c:v>
                </c:pt>
                <c:pt idx="12">
                  <c:v>201.16611399999999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16.5</c:v>
                </c:pt>
                <c:pt idx="1">
                  <c:v>18.5</c:v>
                </c:pt>
                <c:pt idx="2">
                  <c:v>16</c:v>
                </c:pt>
                <c:pt idx="3">
                  <c:v>28.700000000000003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14.2</c:v>
                </c:pt>
                <c:pt idx="8">
                  <c:v>5.5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1382126624415839"/>
                  <c:y val="0.176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20813008130081301"/>
                  <c:y val="-3.4313725490196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1056910569105691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4.715459957749183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0731707317073171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20.399999999999999</c:v>
                </c:pt>
                <c:pt idx="1">
                  <c:v>2.2000000000000002</c:v>
                </c:pt>
                <c:pt idx="2">
                  <c:v>18</c:v>
                </c:pt>
                <c:pt idx="3">
                  <c:v>34.300000000000011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20.7</c:v>
                </c:pt>
                <c:pt idx="8">
                  <c:v>3.8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jul.-18</c:v>
                </c:pt>
                <c:pt idx="1">
                  <c:v>ago.-18</c:v>
                </c:pt>
                <c:pt idx="2">
                  <c:v>sep.-18</c:v>
                </c:pt>
                <c:pt idx="3">
                  <c:v>oct.-18</c:v>
                </c:pt>
                <c:pt idx="4">
                  <c:v>nov.-18</c:v>
                </c:pt>
                <c:pt idx="5">
                  <c:v>dic.-18</c:v>
                </c:pt>
                <c:pt idx="6">
                  <c:v>ene.-19</c:v>
                </c:pt>
                <c:pt idx="7">
                  <c:v>feb.-19</c:v>
                </c:pt>
                <c:pt idx="8">
                  <c:v>mar.-19</c:v>
                </c:pt>
                <c:pt idx="9">
                  <c:v>abr.-19</c:v>
                </c:pt>
                <c:pt idx="10">
                  <c:v>may.-19</c:v>
                </c:pt>
                <c:pt idx="11">
                  <c:v>jun.-19</c:v>
                </c:pt>
                <c:pt idx="12">
                  <c:v>jul.-19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0.29559600000000003</c:v>
                </c:pt>
                <c:pt idx="1">
                  <c:v>0.30764000000000002</c:v>
                </c:pt>
                <c:pt idx="2">
                  <c:v>0.28839900000000002</c:v>
                </c:pt>
                <c:pt idx="3">
                  <c:v>0.297373</c:v>
                </c:pt>
                <c:pt idx="4">
                  <c:v>0.28930699999999998</c:v>
                </c:pt>
                <c:pt idx="5">
                  <c:v>0.29630699999999999</c:v>
                </c:pt>
                <c:pt idx="6">
                  <c:v>0.29291600000000001</c:v>
                </c:pt>
                <c:pt idx="7">
                  <c:v>0.26504899999999998</c:v>
                </c:pt>
                <c:pt idx="8">
                  <c:v>0.2979</c:v>
                </c:pt>
                <c:pt idx="9">
                  <c:v>0.29424499999999998</c:v>
                </c:pt>
                <c:pt idx="10">
                  <c:v>0.299674</c:v>
                </c:pt>
                <c:pt idx="11">
                  <c:v>0.27668100000000001</c:v>
                </c:pt>
                <c:pt idx="12">
                  <c:v>0.29849900000000001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jul.-18</c:v>
                </c:pt>
                <c:pt idx="1">
                  <c:v>ago.-18</c:v>
                </c:pt>
                <c:pt idx="2">
                  <c:v>sep.-18</c:v>
                </c:pt>
                <c:pt idx="3">
                  <c:v>oct.-18</c:v>
                </c:pt>
                <c:pt idx="4">
                  <c:v>nov.-18</c:v>
                </c:pt>
                <c:pt idx="5">
                  <c:v>dic.-18</c:v>
                </c:pt>
                <c:pt idx="6">
                  <c:v>ene.-19</c:v>
                </c:pt>
                <c:pt idx="7">
                  <c:v>feb.-19</c:v>
                </c:pt>
                <c:pt idx="8">
                  <c:v>mar.-19</c:v>
                </c:pt>
                <c:pt idx="9">
                  <c:v>abr.-19</c:v>
                </c:pt>
                <c:pt idx="10">
                  <c:v>may.-19</c:v>
                </c:pt>
                <c:pt idx="11">
                  <c:v>jun.-19</c:v>
                </c:pt>
                <c:pt idx="12">
                  <c:v>jul.-19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399.57809199999997</c:v>
                </c:pt>
                <c:pt idx="1">
                  <c:v>433.78320200000002</c:v>
                </c:pt>
                <c:pt idx="2">
                  <c:v>404.25097099999999</c:v>
                </c:pt>
                <c:pt idx="3">
                  <c:v>417.99863900000003</c:v>
                </c:pt>
                <c:pt idx="4">
                  <c:v>413.52137700000003</c:v>
                </c:pt>
                <c:pt idx="5">
                  <c:v>402.79991699999999</c:v>
                </c:pt>
                <c:pt idx="6">
                  <c:v>414.86051199999997</c:v>
                </c:pt>
                <c:pt idx="7">
                  <c:v>384.770937</c:v>
                </c:pt>
                <c:pt idx="8">
                  <c:v>389.165864</c:v>
                </c:pt>
                <c:pt idx="9">
                  <c:v>377.027762</c:v>
                </c:pt>
                <c:pt idx="10">
                  <c:v>375.43753700000002</c:v>
                </c:pt>
                <c:pt idx="11">
                  <c:v>392.01244300000002</c:v>
                </c:pt>
                <c:pt idx="12">
                  <c:v>310.36124699999999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jul.-18</c:v>
                </c:pt>
                <c:pt idx="1">
                  <c:v>ago.-18</c:v>
                </c:pt>
                <c:pt idx="2">
                  <c:v>sep.-18</c:v>
                </c:pt>
                <c:pt idx="3">
                  <c:v>oct.-18</c:v>
                </c:pt>
                <c:pt idx="4">
                  <c:v>nov.-18</c:v>
                </c:pt>
                <c:pt idx="5">
                  <c:v>dic.-18</c:v>
                </c:pt>
                <c:pt idx="6">
                  <c:v>ene.-19</c:v>
                </c:pt>
                <c:pt idx="7">
                  <c:v>feb.-19</c:v>
                </c:pt>
                <c:pt idx="8">
                  <c:v>mar.-19</c:v>
                </c:pt>
                <c:pt idx="9">
                  <c:v>abr.-19</c:v>
                </c:pt>
                <c:pt idx="10">
                  <c:v>may.-19</c:v>
                </c:pt>
                <c:pt idx="11">
                  <c:v>jun.-19</c:v>
                </c:pt>
                <c:pt idx="12">
                  <c:v>jul.-19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230.14559600000001</c:v>
                </c:pt>
                <c:pt idx="1">
                  <c:v>251.789052</c:v>
                </c:pt>
                <c:pt idx="2">
                  <c:v>281.47467399999999</c:v>
                </c:pt>
                <c:pt idx="3">
                  <c:v>317.069143</c:v>
                </c:pt>
                <c:pt idx="4">
                  <c:v>256.69696599999997</c:v>
                </c:pt>
                <c:pt idx="5">
                  <c:v>273.98589099999998</c:v>
                </c:pt>
                <c:pt idx="6">
                  <c:v>264.507273</c:v>
                </c:pt>
                <c:pt idx="7">
                  <c:v>221.964823</c:v>
                </c:pt>
                <c:pt idx="8">
                  <c:v>224.52281400000001</c:v>
                </c:pt>
                <c:pt idx="9">
                  <c:v>229.693647</c:v>
                </c:pt>
                <c:pt idx="10">
                  <c:v>220.83250000000001</c:v>
                </c:pt>
                <c:pt idx="11">
                  <c:v>222.51747599999999</c:v>
                </c:pt>
                <c:pt idx="12">
                  <c:v>262.048877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jul.-18</c:v>
                </c:pt>
                <c:pt idx="1">
                  <c:v>ago.-18</c:v>
                </c:pt>
                <c:pt idx="2">
                  <c:v>sep.-18</c:v>
                </c:pt>
                <c:pt idx="3">
                  <c:v>oct.-18</c:v>
                </c:pt>
                <c:pt idx="4">
                  <c:v>nov.-18</c:v>
                </c:pt>
                <c:pt idx="5">
                  <c:v>dic.-18</c:v>
                </c:pt>
                <c:pt idx="6">
                  <c:v>ene.-19</c:v>
                </c:pt>
                <c:pt idx="7">
                  <c:v>feb.-19</c:v>
                </c:pt>
                <c:pt idx="8">
                  <c:v>mar.-19</c:v>
                </c:pt>
                <c:pt idx="9">
                  <c:v>abr.-19</c:v>
                </c:pt>
                <c:pt idx="10">
                  <c:v>may.-19</c:v>
                </c:pt>
                <c:pt idx="11">
                  <c:v>jun.-19</c:v>
                </c:pt>
                <c:pt idx="12">
                  <c:v>jul.-19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3.7162829999999998</c:v>
                </c:pt>
                <c:pt idx="1">
                  <c:v>2.859321</c:v>
                </c:pt>
                <c:pt idx="2">
                  <c:v>2.165861</c:v>
                </c:pt>
                <c:pt idx="3">
                  <c:v>0.87331099999999995</c:v>
                </c:pt>
                <c:pt idx="4">
                  <c:v>0.90078800000000003</c:v>
                </c:pt>
                <c:pt idx="5">
                  <c:v>0.90973300000000001</c:v>
                </c:pt>
                <c:pt idx="6">
                  <c:v>1.109656</c:v>
                </c:pt>
                <c:pt idx="7">
                  <c:v>0.97254499999999999</c:v>
                </c:pt>
                <c:pt idx="8">
                  <c:v>1.955158</c:v>
                </c:pt>
                <c:pt idx="9">
                  <c:v>1.5483690000000001</c:v>
                </c:pt>
                <c:pt idx="10">
                  <c:v>2.031012</c:v>
                </c:pt>
                <c:pt idx="11">
                  <c:v>1.3721410000000001</c:v>
                </c:pt>
                <c:pt idx="12">
                  <c:v>3.727338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jul.-18</c:v>
                </c:pt>
                <c:pt idx="1">
                  <c:v>ago.-18</c:v>
                </c:pt>
                <c:pt idx="2">
                  <c:v>sep.-18</c:v>
                </c:pt>
                <c:pt idx="3">
                  <c:v>oct.-18</c:v>
                </c:pt>
                <c:pt idx="4">
                  <c:v>nov.-18</c:v>
                </c:pt>
                <c:pt idx="5">
                  <c:v>dic.-18</c:v>
                </c:pt>
                <c:pt idx="6">
                  <c:v>ene.-19</c:v>
                </c:pt>
                <c:pt idx="7">
                  <c:v>feb.-19</c:v>
                </c:pt>
                <c:pt idx="8">
                  <c:v>mar.-19</c:v>
                </c:pt>
                <c:pt idx="9">
                  <c:v>abr.-19</c:v>
                </c:pt>
                <c:pt idx="10">
                  <c:v>may.-19</c:v>
                </c:pt>
                <c:pt idx="11">
                  <c:v>jun.-19</c:v>
                </c:pt>
                <c:pt idx="12">
                  <c:v>jul.-19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95.158366999999998</c:v>
                </c:pt>
                <c:pt idx="1">
                  <c:v>65.080791000000005</c:v>
                </c:pt>
                <c:pt idx="2">
                  <c:v>51.688220999999999</c:v>
                </c:pt>
                <c:pt idx="3">
                  <c:v>25.474623000000001</c:v>
                </c:pt>
                <c:pt idx="4">
                  <c:v>32.837836000000003</c:v>
                </c:pt>
                <c:pt idx="5">
                  <c:v>42.931705999999998</c:v>
                </c:pt>
                <c:pt idx="6">
                  <c:v>55.716776000000003</c:v>
                </c:pt>
                <c:pt idx="7">
                  <c:v>48.413311</c:v>
                </c:pt>
                <c:pt idx="8">
                  <c:v>96.628545000000003</c:v>
                </c:pt>
                <c:pt idx="9">
                  <c:v>66.984110999999999</c:v>
                </c:pt>
                <c:pt idx="10">
                  <c:v>95.385334</c:v>
                </c:pt>
                <c:pt idx="11">
                  <c:v>74.330708999999999</c:v>
                </c:pt>
                <c:pt idx="12">
                  <c:v>158.183166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jul.-18</c:v>
                </c:pt>
                <c:pt idx="1">
                  <c:v>ago.-18</c:v>
                </c:pt>
                <c:pt idx="2">
                  <c:v>sep.-18</c:v>
                </c:pt>
                <c:pt idx="3">
                  <c:v>oct.-18</c:v>
                </c:pt>
                <c:pt idx="4">
                  <c:v>nov.-18</c:v>
                </c:pt>
                <c:pt idx="5">
                  <c:v>dic.-18</c:v>
                </c:pt>
                <c:pt idx="6">
                  <c:v>ene.-19</c:v>
                </c:pt>
                <c:pt idx="7">
                  <c:v>feb.-19</c:v>
                </c:pt>
                <c:pt idx="8">
                  <c:v>mar.-19</c:v>
                </c:pt>
                <c:pt idx="9">
                  <c:v>abr.-19</c:v>
                </c:pt>
                <c:pt idx="10">
                  <c:v>may.-19</c:v>
                </c:pt>
                <c:pt idx="11">
                  <c:v>jun.-19</c:v>
                </c:pt>
                <c:pt idx="12">
                  <c:v>jul.-19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29.446832000000001</c:v>
                </c:pt>
                <c:pt idx="1">
                  <c:v>27.697894000000002</c:v>
                </c:pt>
                <c:pt idx="2">
                  <c:v>24.130369999999999</c:v>
                </c:pt>
                <c:pt idx="3">
                  <c:v>19.519107999999999</c:v>
                </c:pt>
                <c:pt idx="4">
                  <c:v>16.157102999999999</c:v>
                </c:pt>
                <c:pt idx="5">
                  <c:v>18.675559</c:v>
                </c:pt>
                <c:pt idx="6">
                  <c:v>17.870415000000001</c:v>
                </c:pt>
                <c:pt idx="7">
                  <c:v>21.260427</c:v>
                </c:pt>
                <c:pt idx="8">
                  <c:v>24.423739000000001</c:v>
                </c:pt>
                <c:pt idx="9">
                  <c:v>24.434999999999999</c:v>
                </c:pt>
                <c:pt idx="10">
                  <c:v>29.294612000000001</c:v>
                </c:pt>
                <c:pt idx="11">
                  <c:v>23.157672000000002</c:v>
                </c:pt>
                <c:pt idx="12">
                  <c:v>29.080002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jul.-18</c:v>
                </c:pt>
                <c:pt idx="1">
                  <c:v>ago.-18</c:v>
                </c:pt>
                <c:pt idx="2">
                  <c:v>sep.-18</c:v>
                </c:pt>
                <c:pt idx="3">
                  <c:v>oct.-18</c:v>
                </c:pt>
                <c:pt idx="4">
                  <c:v>nov.-18</c:v>
                </c:pt>
                <c:pt idx="5">
                  <c:v>dic.-18</c:v>
                </c:pt>
                <c:pt idx="6">
                  <c:v>ene.-19</c:v>
                </c:pt>
                <c:pt idx="7">
                  <c:v>feb.-19</c:v>
                </c:pt>
                <c:pt idx="8">
                  <c:v>mar.-19</c:v>
                </c:pt>
                <c:pt idx="9">
                  <c:v>abr.-19</c:v>
                </c:pt>
                <c:pt idx="10">
                  <c:v>may.-19</c:v>
                </c:pt>
                <c:pt idx="11">
                  <c:v>jun.-19</c:v>
                </c:pt>
                <c:pt idx="12">
                  <c:v>jul.-19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0.70239399999999996</c:v>
                </c:pt>
                <c:pt idx="1">
                  <c:v>0.81645199999999996</c:v>
                </c:pt>
                <c:pt idx="2">
                  <c:v>0.78290899999999997</c:v>
                </c:pt>
                <c:pt idx="3">
                  <c:v>0.813334</c:v>
                </c:pt>
                <c:pt idx="4">
                  <c:v>0.85025300000000004</c:v>
                </c:pt>
                <c:pt idx="5">
                  <c:v>0.89945200000000003</c:v>
                </c:pt>
                <c:pt idx="6">
                  <c:v>0.96332899999999999</c:v>
                </c:pt>
                <c:pt idx="7">
                  <c:v>0.82279800000000003</c:v>
                </c:pt>
                <c:pt idx="8">
                  <c:v>0.90105000000000002</c:v>
                </c:pt>
                <c:pt idx="9">
                  <c:v>0.89633300000000005</c:v>
                </c:pt>
                <c:pt idx="10">
                  <c:v>0.94455500000000003</c:v>
                </c:pt>
                <c:pt idx="11">
                  <c:v>0.82330000000000003</c:v>
                </c:pt>
                <c:pt idx="12">
                  <c:v>0.893343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26" sqref="E26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Julio 2019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146"/>
  <sheetViews>
    <sheetView zoomScaleNormal="100"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B48" sqref="B48"/>
    </sheetView>
  </sheetViews>
  <sheetFormatPr baseColWidth="10" defaultColWidth="11.42578125" defaultRowHeight="12"/>
  <cols>
    <col min="1" max="1" width="31.5703125" style="111" customWidth="1"/>
    <col min="2" max="33" width="14.7109375" style="111" customWidth="1"/>
    <col min="34" max="16384" width="11.42578125" style="111"/>
  </cols>
  <sheetData>
    <row r="1" spans="1:33">
      <c r="A1" s="143" t="s">
        <v>68</v>
      </c>
      <c r="B1" s="143" t="s">
        <v>72</v>
      </c>
    </row>
    <row r="2" spans="1:33">
      <c r="A2" s="144" t="s">
        <v>106</v>
      </c>
      <c r="B2" s="144" t="s">
        <v>109</v>
      </c>
    </row>
    <row r="4" spans="1:33" ht="15">
      <c r="A4" s="145" t="s">
        <v>68</v>
      </c>
      <c r="B4" s="193" t="s">
        <v>106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</row>
    <row r="5" spans="1:33" ht="15">
      <c r="A5" s="145" t="s">
        <v>69</v>
      </c>
      <c r="B5" s="195" t="s">
        <v>15</v>
      </c>
      <c r="C5" s="196"/>
      <c r="D5" s="196"/>
      <c r="E5" s="196"/>
      <c r="F5" s="196"/>
      <c r="G5" s="196"/>
      <c r="H5" s="196"/>
      <c r="I5" s="197"/>
      <c r="J5" s="195" t="s">
        <v>14</v>
      </c>
      <c r="K5" s="196"/>
      <c r="L5" s="196"/>
      <c r="M5" s="196"/>
      <c r="N5" s="196"/>
      <c r="O5" s="196"/>
      <c r="P5" s="196"/>
      <c r="Q5" s="197"/>
      <c r="R5" s="195" t="s">
        <v>58</v>
      </c>
      <c r="S5" s="196"/>
      <c r="T5" s="196"/>
      <c r="U5" s="196"/>
      <c r="V5" s="196"/>
      <c r="W5" s="196"/>
      <c r="X5" s="196"/>
      <c r="Y5" s="197"/>
      <c r="Z5" s="195" t="s">
        <v>59</v>
      </c>
      <c r="AA5" s="196"/>
      <c r="AB5" s="196"/>
      <c r="AC5" s="196"/>
      <c r="AD5" s="196"/>
      <c r="AE5" s="196"/>
      <c r="AF5" s="196"/>
      <c r="AG5" s="196"/>
    </row>
    <row r="6" spans="1:33">
      <c r="A6" s="145" t="s">
        <v>70</v>
      </c>
      <c r="B6" s="175" t="s">
        <v>60</v>
      </c>
      <c r="C6" s="175" t="s">
        <v>61</v>
      </c>
      <c r="D6" s="175" t="s">
        <v>62</v>
      </c>
      <c r="E6" s="175" t="s">
        <v>63</v>
      </c>
      <c r="F6" s="175" t="s">
        <v>64</v>
      </c>
      <c r="G6" s="175" t="s">
        <v>65</v>
      </c>
      <c r="H6" s="175" t="s">
        <v>66</v>
      </c>
      <c r="I6" s="175" t="s">
        <v>67</v>
      </c>
      <c r="J6" s="175" t="s">
        <v>60</v>
      </c>
      <c r="K6" s="175" t="s">
        <v>61</v>
      </c>
      <c r="L6" s="175" t="s">
        <v>62</v>
      </c>
      <c r="M6" s="175" t="s">
        <v>63</v>
      </c>
      <c r="N6" s="175" t="s">
        <v>64</v>
      </c>
      <c r="O6" s="175" t="s">
        <v>65</v>
      </c>
      <c r="P6" s="175" t="s">
        <v>66</v>
      </c>
      <c r="Q6" s="175" t="s">
        <v>67</v>
      </c>
      <c r="R6" s="175" t="s">
        <v>60</v>
      </c>
      <c r="S6" s="175" t="s">
        <v>61</v>
      </c>
      <c r="T6" s="175" t="s">
        <v>62</v>
      </c>
      <c r="U6" s="175" t="s">
        <v>63</v>
      </c>
      <c r="V6" s="175" t="s">
        <v>64</v>
      </c>
      <c r="W6" s="175" t="s">
        <v>65</v>
      </c>
      <c r="X6" s="175" t="s">
        <v>66</v>
      </c>
      <c r="Y6" s="175" t="s">
        <v>67</v>
      </c>
      <c r="Z6" s="175" t="s">
        <v>60</v>
      </c>
      <c r="AA6" s="175" t="s">
        <v>61</v>
      </c>
      <c r="AB6" s="175" t="s">
        <v>62</v>
      </c>
      <c r="AC6" s="175" t="s">
        <v>63</v>
      </c>
      <c r="AD6" s="175" t="s">
        <v>64</v>
      </c>
      <c r="AE6" s="175" t="s">
        <v>65</v>
      </c>
      <c r="AF6" s="175" t="s">
        <v>66</v>
      </c>
      <c r="AG6" s="175" t="s">
        <v>67</v>
      </c>
    </row>
    <row r="7" spans="1:33">
      <c r="A7" s="145" t="s">
        <v>71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298.49900000000002</v>
      </c>
      <c r="AA8" s="158">
        <v>295.596</v>
      </c>
      <c r="AB8" s="151">
        <v>9.8208364999999992E-3</v>
      </c>
      <c r="AC8" s="158">
        <v>2024.9639999999999</v>
      </c>
      <c r="AD8" s="158">
        <v>1798.086</v>
      </c>
      <c r="AE8" s="151">
        <v>0.12617750210000001</v>
      </c>
      <c r="AF8" s="158">
        <v>3503.99</v>
      </c>
      <c r="AG8" s="151">
        <v>8.4277101699999996E-2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173446.103</v>
      </c>
      <c r="S9" s="158">
        <v>242068.47899999999</v>
      </c>
      <c r="T9" s="151">
        <v>-0.28348331960000001</v>
      </c>
      <c r="U9" s="158">
        <v>1041351.845</v>
      </c>
      <c r="V9" s="158">
        <v>1411056.172</v>
      </c>
      <c r="W9" s="151">
        <v>-0.26200539309999998</v>
      </c>
      <c r="X9" s="158">
        <v>2022537.952</v>
      </c>
      <c r="Y9" s="151">
        <v>-0.17950260500000001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84</v>
      </c>
      <c r="B10" s="158">
        <v>18185.252</v>
      </c>
      <c r="C10" s="158">
        <v>17163.687000000002</v>
      </c>
      <c r="D10" s="151">
        <v>5.9518971699999999E-2</v>
      </c>
      <c r="E10" s="158">
        <v>117245.796</v>
      </c>
      <c r="F10" s="158">
        <v>119016.39</v>
      </c>
      <c r="G10" s="151">
        <v>-1.48768922E-2</v>
      </c>
      <c r="H10" s="158">
        <v>205465.54399999999</v>
      </c>
      <c r="I10" s="151">
        <v>2.8513281999999998E-3</v>
      </c>
      <c r="J10" s="158">
        <v>19120.079000000002</v>
      </c>
      <c r="K10" s="158">
        <v>18176.227999999999</v>
      </c>
      <c r="L10" s="151">
        <v>5.1927770700000001E-2</v>
      </c>
      <c r="M10" s="158">
        <v>113554.826</v>
      </c>
      <c r="N10" s="158">
        <v>113607.011</v>
      </c>
      <c r="O10" s="151">
        <v>-4.5934669999999998E-4</v>
      </c>
      <c r="P10" s="158">
        <v>202061.481</v>
      </c>
      <c r="Q10" s="151">
        <v>9.3382989E-3</v>
      </c>
      <c r="R10" s="158">
        <v>64359.394</v>
      </c>
      <c r="S10" s="158">
        <v>82636.36</v>
      </c>
      <c r="T10" s="151">
        <v>-0.22117341569999999</v>
      </c>
      <c r="U10" s="158">
        <v>256420.592</v>
      </c>
      <c r="V10" s="158">
        <v>340524.973</v>
      </c>
      <c r="W10" s="151">
        <v>-0.24698447300000001</v>
      </c>
      <c r="X10" s="158">
        <v>550767.255</v>
      </c>
      <c r="Y10" s="151">
        <v>-8.1500141999999998E-3</v>
      </c>
      <c r="Z10" s="158">
        <v>155889.087</v>
      </c>
      <c r="AA10" s="158">
        <v>173812.74900000001</v>
      </c>
      <c r="AB10" s="151">
        <v>-0.1031205254</v>
      </c>
      <c r="AC10" s="158">
        <v>1118813.71</v>
      </c>
      <c r="AD10" s="158">
        <v>1206404.077</v>
      </c>
      <c r="AE10" s="151">
        <v>-7.2604501799999999E-2</v>
      </c>
      <c r="AF10" s="158">
        <v>2033544.5220000001</v>
      </c>
      <c r="AG10" s="151">
        <v>-6.6395948600000004E-2</v>
      </c>
    </row>
    <row r="11" spans="1:33">
      <c r="A11" s="144" t="s">
        <v>9</v>
      </c>
      <c r="B11" s="158">
        <v>0</v>
      </c>
      <c r="C11" s="158">
        <v>0.90400000000000003</v>
      </c>
      <c r="D11" s="151">
        <v>-1</v>
      </c>
      <c r="E11" s="158">
        <v>4.33</v>
      </c>
      <c r="F11" s="158">
        <v>18.597999999999999</v>
      </c>
      <c r="G11" s="151">
        <v>-0.76717926660000002</v>
      </c>
      <c r="H11" s="158">
        <v>105.818</v>
      </c>
      <c r="I11" s="151">
        <v>-0.48024225040000001</v>
      </c>
      <c r="J11" s="158">
        <v>1.2450000000000001</v>
      </c>
      <c r="K11" s="158">
        <v>9.2759999999999998</v>
      </c>
      <c r="L11" s="151">
        <v>-0.8657826649</v>
      </c>
      <c r="M11" s="158">
        <v>15.420999999999999</v>
      </c>
      <c r="N11" s="158">
        <v>65.105999999999995</v>
      </c>
      <c r="O11" s="151">
        <v>-0.76314011000000004</v>
      </c>
      <c r="P11" s="158">
        <v>17.416</v>
      </c>
      <c r="Q11" s="151">
        <v>-0.87352490500000002</v>
      </c>
      <c r="R11" s="158">
        <v>72469.968999999997</v>
      </c>
      <c r="S11" s="158">
        <v>95847.725999999995</v>
      </c>
      <c r="T11" s="151">
        <v>-0.2439051814</v>
      </c>
      <c r="U11" s="158">
        <v>248311.98699999999</v>
      </c>
      <c r="V11" s="158">
        <v>476974.20500000002</v>
      </c>
      <c r="W11" s="151">
        <v>-0.47940164400000002</v>
      </c>
      <c r="X11" s="158">
        <v>536336.79700000002</v>
      </c>
      <c r="Y11" s="151">
        <v>-0.36465385929999999</v>
      </c>
      <c r="Z11" s="158">
        <v>16517.121999999999</v>
      </c>
      <c r="AA11" s="158">
        <v>19071.615000000002</v>
      </c>
      <c r="AB11" s="151">
        <v>-0.1339421439</v>
      </c>
      <c r="AC11" s="158">
        <v>134595.34299999999</v>
      </c>
      <c r="AD11" s="158">
        <v>163665.17000000001</v>
      </c>
      <c r="AE11" s="151">
        <v>-0.17761767519999999</v>
      </c>
      <c r="AF11" s="158">
        <v>255475.71100000001</v>
      </c>
      <c r="AG11" s="151">
        <v>-0.16414182090000001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137955.038</v>
      </c>
      <c r="AA12" s="158">
        <v>206693.728</v>
      </c>
      <c r="AB12" s="151">
        <v>-0.3325630181</v>
      </c>
      <c r="AC12" s="158">
        <v>1390227.2490000001</v>
      </c>
      <c r="AD12" s="158">
        <v>1418689.371</v>
      </c>
      <c r="AE12" s="151">
        <v>-2.0062264900000001E-2</v>
      </c>
      <c r="AF12" s="158">
        <v>2426970.1749999998</v>
      </c>
      <c r="AG12" s="151">
        <v>-4.1449291800000003E-2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160980.03099999999</v>
      </c>
      <c r="S13" s="158">
        <v>53754.595000000001</v>
      </c>
      <c r="T13" s="151">
        <v>1.9947213071000001</v>
      </c>
      <c r="U13" s="158">
        <v>680479.83900000004</v>
      </c>
      <c r="V13" s="158">
        <v>303054.75699999998</v>
      </c>
      <c r="W13" s="151">
        <v>1.245402269</v>
      </c>
      <c r="X13" s="158">
        <v>967948.75100000005</v>
      </c>
      <c r="Y13" s="151">
        <v>0.90398193630000001</v>
      </c>
      <c r="Z13" s="158">
        <v>262048.87700000001</v>
      </c>
      <c r="AA13" s="158">
        <v>230145.59599999999</v>
      </c>
      <c r="AB13" s="151">
        <v>0.13862216590000001</v>
      </c>
      <c r="AC13" s="158">
        <v>1646087.41</v>
      </c>
      <c r="AD13" s="158">
        <v>1670005.882</v>
      </c>
      <c r="AE13" s="151">
        <v>-1.4322387900000001E-2</v>
      </c>
      <c r="AF13" s="158">
        <v>3027103.1359999999</v>
      </c>
      <c r="AG13" s="151">
        <v>1.3040352200000001E-2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4142.2929999999997</v>
      </c>
      <c r="S14" s="158">
        <v>3408.7330000000002</v>
      </c>
      <c r="T14" s="151">
        <v>0.2152001932</v>
      </c>
      <c r="U14" s="158">
        <v>5729.518</v>
      </c>
      <c r="V14" s="158">
        <v>5073.7730000000001</v>
      </c>
      <c r="W14" s="151">
        <v>0.12924208470000001</v>
      </c>
      <c r="X14" s="158">
        <v>13469.468999999999</v>
      </c>
      <c r="Y14" s="151">
        <v>-1.3073156400000001E-2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3727.3380000000002</v>
      </c>
      <c r="AA15" s="158">
        <v>3716.2829999999999</v>
      </c>
      <c r="AB15" s="151">
        <v>2.9747465000000001E-3</v>
      </c>
      <c r="AC15" s="158">
        <v>12716.218999999999</v>
      </c>
      <c r="AD15" s="158">
        <v>15946.53</v>
      </c>
      <c r="AE15" s="151">
        <v>-0.20257140579999999</v>
      </c>
      <c r="AF15" s="158">
        <v>20425.233</v>
      </c>
      <c r="AG15" s="151">
        <v>-0.1411509195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230.36600000000001</v>
      </c>
      <c r="S16" s="158">
        <v>139.32900000000001</v>
      </c>
      <c r="T16" s="151">
        <v>0.65339591900000005</v>
      </c>
      <c r="U16" s="158">
        <v>3880.5549999999998</v>
      </c>
      <c r="V16" s="158">
        <v>1772.13</v>
      </c>
      <c r="W16" s="151">
        <v>1.1897688093000001</v>
      </c>
      <c r="X16" s="158">
        <v>5865.5959999999995</v>
      </c>
      <c r="Y16" s="151">
        <v>0.92526591570000005</v>
      </c>
      <c r="Z16" s="158">
        <v>158183.166</v>
      </c>
      <c r="AA16" s="158">
        <v>95158.366999999998</v>
      </c>
      <c r="AB16" s="151">
        <v>0.66231484409999997</v>
      </c>
      <c r="AC16" s="158">
        <v>595641.95200000005</v>
      </c>
      <c r="AD16" s="158">
        <v>406116.58</v>
      </c>
      <c r="AE16" s="151">
        <v>0.46667725799999998</v>
      </c>
      <c r="AF16" s="158">
        <v>813655.12899999996</v>
      </c>
      <c r="AG16" s="151">
        <v>0.37141657500000003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8.1669999999999998</v>
      </c>
      <c r="K17" s="158">
        <v>6.2039999999999997</v>
      </c>
      <c r="L17" s="151">
        <v>0.31640876849999999</v>
      </c>
      <c r="M17" s="158">
        <v>50.578000000000003</v>
      </c>
      <c r="N17" s="158">
        <v>44.704999999999998</v>
      </c>
      <c r="O17" s="151">
        <v>0.13137232970000001</v>
      </c>
      <c r="P17" s="158">
        <v>80.483999999999995</v>
      </c>
      <c r="Q17" s="151">
        <v>8.2836654199999998E-2</v>
      </c>
      <c r="R17" s="158">
        <v>12374.897999999999</v>
      </c>
      <c r="S17" s="158">
        <v>13412.572</v>
      </c>
      <c r="T17" s="151">
        <v>-7.7365772900000004E-2</v>
      </c>
      <c r="U17" s="158">
        <v>77069.258000000002</v>
      </c>
      <c r="V17" s="158">
        <v>71724.351999999999</v>
      </c>
      <c r="W17" s="151">
        <v>7.4520101599999999E-2</v>
      </c>
      <c r="X17" s="158">
        <v>118667.541</v>
      </c>
      <c r="Y17" s="151">
        <v>1.35571783E-2</v>
      </c>
      <c r="Z17" s="158">
        <v>29080.002</v>
      </c>
      <c r="AA17" s="158">
        <v>29446.831999999999</v>
      </c>
      <c r="AB17" s="151">
        <v>-1.24573672E-2</v>
      </c>
      <c r="AC17" s="158">
        <v>169521.867</v>
      </c>
      <c r="AD17" s="158">
        <v>165829.71299999999</v>
      </c>
      <c r="AE17" s="151">
        <v>2.22647313E-2</v>
      </c>
      <c r="AF17" s="158">
        <v>275701.90100000001</v>
      </c>
      <c r="AG17" s="151">
        <v>2.30070434E-2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98.984999999999999</v>
      </c>
      <c r="S18" s="158">
        <v>57.737000000000002</v>
      </c>
      <c r="T18" s="151">
        <v>0.71441190219999995</v>
      </c>
      <c r="U18" s="158">
        <v>669.96600000000001</v>
      </c>
      <c r="V18" s="158">
        <v>996.01400000000001</v>
      </c>
      <c r="W18" s="151">
        <v>-0.32735282840000002</v>
      </c>
      <c r="X18" s="158">
        <v>1006.547</v>
      </c>
      <c r="Y18" s="151">
        <v>-0.34063373499999999</v>
      </c>
      <c r="Z18" s="158">
        <v>893.34299999999996</v>
      </c>
      <c r="AA18" s="158">
        <v>702.39400000000001</v>
      </c>
      <c r="AB18" s="151">
        <v>0.27185454320000002</v>
      </c>
      <c r="AC18" s="158">
        <v>6244.7079999999996</v>
      </c>
      <c r="AD18" s="158">
        <v>4769.1970000000001</v>
      </c>
      <c r="AE18" s="151">
        <v>0.30938352930000002</v>
      </c>
      <c r="AF18" s="158">
        <v>10407.108</v>
      </c>
      <c r="AG18" s="151">
        <v>0.20044293769999999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1194.4639999999999</v>
      </c>
      <c r="S19" s="158">
        <v>3565.5639999999999</v>
      </c>
      <c r="T19" s="151">
        <v>-0.66499998319999998</v>
      </c>
      <c r="U19" s="158">
        <v>18788.422999999999</v>
      </c>
      <c r="V19" s="158">
        <v>20044.873</v>
      </c>
      <c r="W19" s="151">
        <v>-6.2681863800000001E-2</v>
      </c>
      <c r="X19" s="158">
        <v>33717.995999999999</v>
      </c>
      <c r="Y19" s="151">
        <v>-8.3684870999999994E-2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426.11700000000002</v>
      </c>
      <c r="K20" s="158">
        <v>461.947</v>
      </c>
      <c r="L20" s="151">
        <v>-7.7563010500000001E-2</v>
      </c>
      <c r="M20" s="158">
        <v>3443.41</v>
      </c>
      <c r="N20" s="158">
        <v>3344.7235000000001</v>
      </c>
      <c r="O20" s="151">
        <v>2.9505129500000001E-2</v>
      </c>
      <c r="P20" s="158">
        <v>5445.5254999999997</v>
      </c>
      <c r="Q20" s="151">
        <v>3.2483694200000003E-2</v>
      </c>
      <c r="R20" s="158">
        <v>14442.4645</v>
      </c>
      <c r="S20" s="158">
        <v>14429.119000000001</v>
      </c>
      <c r="T20" s="151">
        <v>9.2490050000000005E-4</v>
      </c>
      <c r="U20" s="158">
        <v>81832.181500000006</v>
      </c>
      <c r="V20" s="158">
        <v>73286.834499999997</v>
      </c>
      <c r="W20" s="151">
        <v>0.11660139310000001</v>
      </c>
      <c r="X20" s="158">
        <v>144303.09150000001</v>
      </c>
      <c r="Y20" s="151">
        <v>4.6559252299999999E-2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426.11700000000002</v>
      </c>
      <c r="K21" s="158">
        <v>461.947</v>
      </c>
      <c r="L21" s="151">
        <v>-7.7563010500000001E-2</v>
      </c>
      <c r="M21" s="158">
        <v>3443.41</v>
      </c>
      <c r="N21" s="158">
        <v>3344.7235000000001</v>
      </c>
      <c r="O21" s="151">
        <v>2.9505129500000001E-2</v>
      </c>
      <c r="P21" s="158">
        <v>5445.5254999999997</v>
      </c>
      <c r="Q21" s="151">
        <v>3.2483694200000003E-2</v>
      </c>
      <c r="R21" s="158">
        <v>14442.4645</v>
      </c>
      <c r="S21" s="158">
        <v>14429.119000000001</v>
      </c>
      <c r="T21" s="151">
        <v>9.2490050000000005E-4</v>
      </c>
      <c r="U21" s="158">
        <v>81832.181500000006</v>
      </c>
      <c r="V21" s="158">
        <v>73286.834499999997</v>
      </c>
      <c r="W21" s="151">
        <v>0.11660139310000001</v>
      </c>
      <c r="X21" s="158">
        <v>144303.09150000001</v>
      </c>
      <c r="Y21" s="151">
        <v>4.6559252299999999E-2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18185.252</v>
      </c>
      <c r="C22" s="159">
        <v>17164.591</v>
      </c>
      <c r="D22" s="152">
        <v>5.9463170400000001E-2</v>
      </c>
      <c r="E22" s="159">
        <v>117250.126</v>
      </c>
      <c r="F22" s="159">
        <v>119034.988</v>
      </c>
      <c r="G22" s="152">
        <v>-1.49944317E-2</v>
      </c>
      <c r="H22" s="159">
        <v>205571.36199999999</v>
      </c>
      <c r="I22" s="152">
        <v>2.3717537000000001E-3</v>
      </c>
      <c r="J22" s="159">
        <v>19981.724999999999</v>
      </c>
      <c r="K22" s="159">
        <v>19115.601999999999</v>
      </c>
      <c r="L22" s="152">
        <v>4.5309742299999997E-2</v>
      </c>
      <c r="M22" s="159">
        <v>120507.645</v>
      </c>
      <c r="N22" s="159">
        <v>120406.269</v>
      </c>
      <c r="O22" s="152">
        <v>8.4194949999999999E-4</v>
      </c>
      <c r="P22" s="159">
        <v>213050.432</v>
      </c>
      <c r="Q22" s="152">
        <v>9.9452455999999995E-3</v>
      </c>
      <c r="R22" s="159">
        <v>518181.43199999997</v>
      </c>
      <c r="S22" s="159">
        <v>523749.33299999998</v>
      </c>
      <c r="T22" s="152">
        <v>-1.0630850799999999E-2</v>
      </c>
      <c r="U22" s="159">
        <v>2496366.3459999999</v>
      </c>
      <c r="V22" s="159">
        <v>2777794.9180000001</v>
      </c>
      <c r="W22" s="152">
        <v>-0.1013136608</v>
      </c>
      <c r="X22" s="159">
        <v>4538924.0870000003</v>
      </c>
      <c r="Y22" s="152">
        <v>-5.8454908899999998E-2</v>
      </c>
      <c r="Z22" s="159">
        <v>764592.47199999995</v>
      </c>
      <c r="AA22" s="159">
        <v>759043.16</v>
      </c>
      <c r="AB22" s="152">
        <v>7.3109307999999996E-3</v>
      </c>
      <c r="AC22" s="159">
        <v>5075873.4220000003</v>
      </c>
      <c r="AD22" s="159">
        <v>5053224.6059999997</v>
      </c>
      <c r="AE22" s="152">
        <v>4.4820520999999999E-3</v>
      </c>
      <c r="AF22" s="159">
        <v>8866786.9049999993</v>
      </c>
      <c r="AG22" s="152">
        <v>-3.9941042999999997E-3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201166.114</v>
      </c>
      <c r="S23" s="158">
        <v>161791.603</v>
      </c>
      <c r="T23" s="151">
        <v>0.2433656028</v>
      </c>
      <c r="U23" s="158">
        <v>1007196.812</v>
      </c>
      <c r="V23" s="158">
        <v>702641.95200000005</v>
      </c>
      <c r="W23" s="151">
        <v>0.43344246539999998</v>
      </c>
      <c r="X23" s="158">
        <v>1537913.0020000001</v>
      </c>
      <c r="Y23" s="151">
        <v>0.23941489630000001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85</v>
      </c>
      <c r="B24" s="159">
        <v>18185.252</v>
      </c>
      <c r="C24" s="159">
        <v>17164.591</v>
      </c>
      <c r="D24" s="152">
        <v>5.9463170400000001E-2</v>
      </c>
      <c r="E24" s="159">
        <v>117250.126</v>
      </c>
      <c r="F24" s="159">
        <v>119034.988</v>
      </c>
      <c r="G24" s="152">
        <v>-1.49944317E-2</v>
      </c>
      <c r="H24" s="159">
        <v>205571.36199999999</v>
      </c>
      <c r="I24" s="152">
        <v>2.3717537000000001E-3</v>
      </c>
      <c r="J24" s="159">
        <v>19981.724999999999</v>
      </c>
      <c r="K24" s="159">
        <v>19115.601999999999</v>
      </c>
      <c r="L24" s="152">
        <v>4.5309742299999997E-2</v>
      </c>
      <c r="M24" s="159">
        <v>120507.645</v>
      </c>
      <c r="N24" s="159">
        <v>120406.269</v>
      </c>
      <c r="O24" s="152">
        <v>8.4194949999999999E-4</v>
      </c>
      <c r="P24" s="159">
        <v>213050.432</v>
      </c>
      <c r="Q24" s="152">
        <v>9.9452455999999995E-3</v>
      </c>
      <c r="R24" s="159">
        <v>719347.54599999997</v>
      </c>
      <c r="S24" s="159">
        <v>685540.93599999999</v>
      </c>
      <c r="T24" s="152">
        <v>4.9313772899999997E-2</v>
      </c>
      <c r="U24" s="159">
        <v>3503563.1579999998</v>
      </c>
      <c r="V24" s="159">
        <v>3480436.87</v>
      </c>
      <c r="W24" s="152">
        <v>6.6446509000000001E-3</v>
      </c>
      <c r="X24" s="159">
        <v>6076837.0889999997</v>
      </c>
      <c r="Y24" s="152">
        <v>2.5208715999999998E-3</v>
      </c>
      <c r="Z24" s="159">
        <v>764592.47199999995</v>
      </c>
      <c r="AA24" s="159">
        <v>759043.16</v>
      </c>
      <c r="AB24" s="152">
        <v>7.3109307999999996E-3</v>
      </c>
      <c r="AC24" s="159">
        <v>5075873.4220000003</v>
      </c>
      <c r="AD24" s="159">
        <v>5053224.6059999997</v>
      </c>
      <c r="AE24" s="152">
        <v>4.4820520999999999E-3</v>
      </c>
      <c r="AF24" s="159">
        <v>8866786.9049999993</v>
      </c>
      <c r="AG24" s="152">
        <v>-3.9941042999999997E-3</v>
      </c>
    </row>
    <row r="29" spans="1:33" ht="15">
      <c r="A29" s="145" t="s">
        <v>68</v>
      </c>
      <c r="B29" s="193" t="s">
        <v>106</v>
      </c>
      <c r="C29" s="194"/>
    </row>
    <row r="30" spans="1:33" ht="15">
      <c r="A30" s="145" t="s">
        <v>70</v>
      </c>
      <c r="B30" s="191" t="s">
        <v>73</v>
      </c>
      <c r="C30" s="192"/>
    </row>
    <row r="31" spans="1:33">
      <c r="A31" s="143" t="s">
        <v>69</v>
      </c>
      <c r="B31" s="175" t="s">
        <v>58</v>
      </c>
      <c r="C31" s="175" t="s">
        <v>59</v>
      </c>
    </row>
    <row r="32" spans="1:33">
      <c r="A32" s="145" t="s">
        <v>71</v>
      </c>
      <c r="B32" s="146"/>
      <c r="C32" s="146"/>
    </row>
    <row r="33" spans="1:3">
      <c r="A33" s="144" t="s">
        <v>12</v>
      </c>
      <c r="B33" s="147"/>
      <c r="C33" s="147">
        <v>2.02</v>
      </c>
    </row>
    <row r="34" spans="1:3">
      <c r="A34" s="144" t="s">
        <v>11</v>
      </c>
      <c r="B34" s="147">
        <v>468.4</v>
      </c>
      <c r="C34" s="147"/>
    </row>
    <row r="35" spans="1:3">
      <c r="A35" s="144" t="s">
        <v>84</v>
      </c>
      <c r="B35" s="147">
        <v>182</v>
      </c>
      <c r="C35" s="147">
        <v>495.92</v>
      </c>
    </row>
    <row r="36" spans="1:3">
      <c r="A36" s="144" t="s">
        <v>9</v>
      </c>
      <c r="B36" s="147">
        <v>605.4</v>
      </c>
      <c r="C36" s="147">
        <v>557.1400000000001</v>
      </c>
    </row>
    <row r="37" spans="1:3">
      <c r="A37" s="144" t="s">
        <v>8</v>
      </c>
      <c r="B37" s="147"/>
      <c r="C37" s="147">
        <v>482.64</v>
      </c>
    </row>
    <row r="38" spans="1:3">
      <c r="A38" s="144" t="s">
        <v>25</v>
      </c>
      <c r="B38" s="147">
        <v>857.95</v>
      </c>
      <c r="C38" s="147">
        <v>864.2</v>
      </c>
    </row>
    <row r="39" spans="1:3">
      <c r="A39" s="144" t="s">
        <v>24</v>
      </c>
      <c r="B39" s="147">
        <v>12.72</v>
      </c>
      <c r="C39" s="147"/>
    </row>
    <row r="40" spans="1:3">
      <c r="A40" s="144" t="s">
        <v>6</v>
      </c>
      <c r="B40" s="147"/>
      <c r="C40" s="147">
        <v>11.39</v>
      </c>
    </row>
    <row r="41" spans="1:3">
      <c r="A41" s="144" t="s">
        <v>5</v>
      </c>
      <c r="B41" s="147">
        <v>3.6374999999999909</v>
      </c>
      <c r="C41" s="147">
        <v>426.71499999999997</v>
      </c>
    </row>
    <row r="42" spans="1:3">
      <c r="A42" s="144" t="s">
        <v>4</v>
      </c>
      <c r="B42" s="147">
        <v>80.837724999999836</v>
      </c>
      <c r="C42" s="147">
        <v>166.67556999999968</v>
      </c>
    </row>
    <row r="43" spans="1:3">
      <c r="A43" s="144" t="s">
        <v>22</v>
      </c>
      <c r="B43" s="147">
        <v>2.13</v>
      </c>
      <c r="C43" s="147">
        <v>3.6960000000000002</v>
      </c>
    </row>
    <row r="44" spans="1:3">
      <c r="A44" s="144" t="s">
        <v>23</v>
      </c>
      <c r="B44" s="147">
        <v>10.486999999999998</v>
      </c>
      <c r="C44" s="147"/>
    </row>
    <row r="45" spans="1:3">
      <c r="A45" s="144" t="s">
        <v>54</v>
      </c>
      <c r="B45" s="147">
        <v>37.400000000000006</v>
      </c>
      <c r="C45" s="147"/>
    </row>
    <row r="46" spans="1:3">
      <c r="A46" s="144" t="s">
        <v>55</v>
      </c>
      <c r="B46" s="147">
        <v>37.400000000000006</v>
      </c>
      <c r="C46" s="147"/>
    </row>
    <row r="47" spans="1:3">
      <c r="A47" s="149" t="s">
        <v>2</v>
      </c>
      <c r="B47" s="150">
        <f>SUM(B33:B46)</f>
        <v>2298.3622249999999</v>
      </c>
      <c r="C47" s="150">
        <f>SUM(C33:C46)</f>
        <v>3010.3965699999999</v>
      </c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468.4</v>
      </c>
      <c r="C52" s="116">
        <f>100-SUM(C53:C62)</f>
        <v>20.40000000000002</v>
      </c>
      <c r="F52" s="114" t="s">
        <v>10</v>
      </c>
      <c r="G52" s="115">
        <f>C35</f>
        <v>495.92</v>
      </c>
      <c r="H52" s="116">
        <f>ROUND(G52/$G$62*100,1)</f>
        <v>16.5</v>
      </c>
    </row>
    <row r="53" spans="1:8">
      <c r="A53" s="114" t="s">
        <v>10</v>
      </c>
      <c r="B53" s="115">
        <f>B35+B39</f>
        <v>194.72</v>
      </c>
      <c r="C53" s="116">
        <f>ROUND(B53/$B$63*100,1)</f>
        <v>8.5</v>
      </c>
      <c r="F53" s="114" t="s">
        <v>9</v>
      </c>
      <c r="G53" s="115">
        <f>C36</f>
        <v>557.1400000000001</v>
      </c>
      <c r="H53" s="116">
        <f>ROUND(G53/$G$62*100,1)</f>
        <v>18.5</v>
      </c>
    </row>
    <row r="54" spans="1:8">
      <c r="A54" s="114" t="s">
        <v>9</v>
      </c>
      <c r="B54" s="115">
        <f>B36</f>
        <v>605.4</v>
      </c>
      <c r="C54" s="116">
        <f t="shared" ref="C54:C62" si="0">ROUND(B54/$B$63*100,1)</f>
        <v>26.3</v>
      </c>
      <c r="F54" s="114" t="s">
        <v>8</v>
      </c>
      <c r="G54" s="115">
        <f>C37</f>
        <v>482.64</v>
      </c>
      <c r="H54" s="116">
        <f>ROUND(G54/$G$62*100,1)</f>
        <v>16</v>
      </c>
    </row>
    <row r="55" spans="1:8">
      <c r="A55" s="114" t="s">
        <v>25</v>
      </c>
      <c r="B55" s="115">
        <f>B38</f>
        <v>857.95</v>
      </c>
      <c r="C55" s="116">
        <f t="shared" si="0"/>
        <v>37.299999999999997</v>
      </c>
      <c r="F55" s="114" t="s">
        <v>25</v>
      </c>
      <c r="G55" s="115">
        <f>C38</f>
        <v>864.2</v>
      </c>
      <c r="H55" s="116">
        <f>100-SUM(H52:H54,H56:H61)</f>
        <v>28.700000000000003</v>
      </c>
    </row>
    <row r="56" spans="1:8">
      <c r="A56" s="114"/>
      <c r="B56" s="115"/>
      <c r="C56" s="116"/>
      <c r="F56" s="114" t="s">
        <v>23</v>
      </c>
      <c r="G56" s="115">
        <f>C44</f>
        <v>0</v>
      </c>
      <c r="H56" s="116">
        <f t="shared" ref="H56:H61" si="1">ROUND(G56/$G$62*100,1)</f>
        <v>0</v>
      </c>
    </row>
    <row r="57" spans="1:8">
      <c r="A57" s="114" t="s">
        <v>23</v>
      </c>
      <c r="B57" s="115">
        <f>B44</f>
        <v>10.486999999999998</v>
      </c>
      <c r="C57" s="116">
        <f t="shared" si="0"/>
        <v>0.5</v>
      </c>
      <c r="F57" s="114" t="s">
        <v>12</v>
      </c>
      <c r="G57" s="116">
        <f>C33</f>
        <v>2.02</v>
      </c>
      <c r="H57" s="116">
        <f t="shared" si="1"/>
        <v>0.1</v>
      </c>
    </row>
    <row r="58" spans="1:8">
      <c r="A58" s="114" t="s">
        <v>55</v>
      </c>
      <c r="B58" s="115">
        <f>B46</f>
        <v>37.400000000000006</v>
      </c>
      <c r="C58" s="116">
        <f t="shared" si="0"/>
        <v>1.6</v>
      </c>
      <c r="F58" s="114" t="s">
        <v>6</v>
      </c>
      <c r="G58" s="115">
        <f>C40</f>
        <v>11.39</v>
      </c>
      <c r="H58" s="116">
        <f t="shared" si="1"/>
        <v>0.4</v>
      </c>
    </row>
    <row r="59" spans="1:8">
      <c r="A59" s="114" t="s">
        <v>54</v>
      </c>
      <c r="B59" s="115">
        <f>B45</f>
        <v>37.400000000000006</v>
      </c>
      <c r="C59" s="116">
        <f t="shared" si="0"/>
        <v>1.6</v>
      </c>
      <c r="F59" s="114" t="s">
        <v>5</v>
      </c>
      <c r="G59" s="115">
        <f>C41</f>
        <v>426.71499999999997</v>
      </c>
      <c r="H59" s="116">
        <f t="shared" si="1"/>
        <v>14.2</v>
      </c>
    </row>
    <row r="60" spans="1:8">
      <c r="A60" s="114" t="s">
        <v>5</v>
      </c>
      <c r="B60" s="115">
        <f>B41</f>
        <v>3.6374999999999909</v>
      </c>
      <c r="C60" s="116">
        <f t="shared" si="0"/>
        <v>0.2</v>
      </c>
      <c r="F60" s="114" t="s">
        <v>4</v>
      </c>
      <c r="G60" s="115">
        <f>C42</f>
        <v>166.67556999999968</v>
      </c>
      <c r="H60" s="116">
        <f t="shared" si="1"/>
        <v>5.5</v>
      </c>
    </row>
    <row r="61" spans="1:8">
      <c r="A61" s="114" t="s">
        <v>4</v>
      </c>
      <c r="B61" s="115">
        <f>B42</f>
        <v>80.837724999999836</v>
      </c>
      <c r="C61" s="116">
        <f t="shared" si="0"/>
        <v>3.5</v>
      </c>
      <c r="F61" s="114" t="s">
        <v>22</v>
      </c>
      <c r="G61" s="115">
        <f>C43</f>
        <v>3.6960000000000002</v>
      </c>
      <c r="H61" s="116">
        <f t="shared" si="1"/>
        <v>0.1</v>
      </c>
    </row>
    <row r="62" spans="1:8">
      <c r="A62" s="114" t="s">
        <v>22</v>
      </c>
      <c r="B62" s="115">
        <f>B43</f>
        <v>2.13</v>
      </c>
      <c r="C62" s="116">
        <f t="shared" si="0"/>
        <v>0.1</v>
      </c>
      <c r="F62" s="117" t="s">
        <v>20</v>
      </c>
      <c r="G62" s="118">
        <f>SUM(G52:G61)</f>
        <v>3010.3965700000003</v>
      </c>
      <c r="H62" s="119">
        <f>SUM(H52:H61)</f>
        <v>100</v>
      </c>
    </row>
    <row r="63" spans="1:8">
      <c r="A63" s="117" t="s">
        <v>20</v>
      </c>
      <c r="B63" s="118">
        <f>SUM(B52:B62)</f>
        <v>2298.3622250000003</v>
      </c>
      <c r="C63" s="119">
        <f>SUM(C52:C62)</f>
        <v>100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F67" s="112"/>
      <c r="G67" s="113" t="s">
        <v>26</v>
      </c>
    </row>
    <row r="68" spans="1:7">
      <c r="A68" s="114" t="s">
        <v>11</v>
      </c>
      <c r="B68" s="116">
        <f>100-SUM(B69:B79)</f>
        <v>24.099999999999994</v>
      </c>
      <c r="F68" s="114" t="s">
        <v>10</v>
      </c>
      <c r="G68" s="116">
        <f>ROUND((Z10/Z$24)*100,1)</f>
        <v>20.399999999999999</v>
      </c>
    </row>
    <row r="69" spans="1:7">
      <c r="A69" s="114" t="s">
        <v>10</v>
      </c>
      <c r="B69" s="116">
        <f>ROUND((SUM(R10,R14)/R$24)*100,1)</f>
        <v>9.5</v>
      </c>
      <c r="F69" s="114" t="s">
        <v>9</v>
      </c>
      <c r="G69" s="116">
        <f>ROUND((Z11/Z$24)*100,1)</f>
        <v>2.2000000000000002</v>
      </c>
    </row>
    <row r="70" spans="1:7">
      <c r="A70" s="114" t="s">
        <v>9</v>
      </c>
      <c r="B70" s="116">
        <f>ROUND((R11/R$24)*100,1)</f>
        <v>10.1</v>
      </c>
      <c r="F70" s="114" t="s">
        <v>8</v>
      </c>
      <c r="G70" s="116">
        <f>ROUND((Z12/Z$24)*100,1)</f>
        <v>18</v>
      </c>
    </row>
    <row r="71" spans="1:7">
      <c r="A71" s="114" t="s">
        <v>25</v>
      </c>
      <c r="B71" s="116">
        <f>ROUND((R13/R$24)*100,1)</f>
        <v>22.4</v>
      </c>
      <c r="F71" s="114" t="s">
        <v>25</v>
      </c>
      <c r="G71" s="116">
        <f>100-SUM(G68:G70,G72:G77)</f>
        <v>34.300000000000011</v>
      </c>
    </row>
    <row r="72" spans="1:7">
      <c r="A72" s="114"/>
      <c r="B72" s="116"/>
      <c r="F72" s="114" t="s">
        <v>23</v>
      </c>
      <c r="G72" s="116">
        <f>ROUND((Z19/Z$24)*100,1)</f>
        <v>0</v>
      </c>
    </row>
    <row r="73" spans="1:7">
      <c r="A73" s="114" t="s">
        <v>23</v>
      </c>
      <c r="B73" s="116">
        <f>ROUND((R19/R$24)*100,1)</f>
        <v>0.2</v>
      </c>
      <c r="F73" s="114" t="s">
        <v>12</v>
      </c>
      <c r="G73" s="116">
        <f>ROUND((Z8/Z$24)*100,1)</f>
        <v>0</v>
      </c>
    </row>
    <row r="74" spans="1:7">
      <c r="A74" s="114" t="s">
        <v>55</v>
      </c>
      <c r="B74" s="116">
        <f>ROUND((R21/R$24)*100,1)</f>
        <v>2</v>
      </c>
      <c r="F74" s="114" t="s">
        <v>6</v>
      </c>
      <c r="G74" s="116">
        <f>ROUND((Z15/Z$24)*100,1)</f>
        <v>0.5</v>
      </c>
    </row>
    <row r="75" spans="1:7">
      <c r="A75" s="114" t="s">
        <v>54</v>
      </c>
      <c r="B75" s="116">
        <f>ROUND((R20/R$24)*100,1)</f>
        <v>2</v>
      </c>
      <c r="F75" s="114" t="s">
        <v>5</v>
      </c>
      <c r="G75" s="116">
        <f>ROUND((Z16/Z$24)*100,1)</f>
        <v>20.7</v>
      </c>
    </row>
    <row r="76" spans="1:7">
      <c r="A76" s="114" t="s">
        <v>5</v>
      </c>
      <c r="B76" s="116">
        <f>ROUND((R16/R$24)*100,1)</f>
        <v>0</v>
      </c>
      <c r="F76" s="114" t="s">
        <v>4</v>
      </c>
      <c r="G76" s="116">
        <f>ROUND((Z17/Z$24)*100,1)</f>
        <v>3.8</v>
      </c>
    </row>
    <row r="77" spans="1:7">
      <c r="A77" s="114" t="s">
        <v>4</v>
      </c>
      <c r="B77" s="116">
        <f>ROUND((R17/R$24)*100,1)</f>
        <v>1.7</v>
      </c>
      <c r="F77" s="114" t="s">
        <v>22</v>
      </c>
      <c r="G77" s="116">
        <f>ROUND((Z18/Z$24)*100,1)</f>
        <v>0.1</v>
      </c>
    </row>
    <row r="78" spans="1:7">
      <c r="A78" s="114" t="s">
        <v>22</v>
      </c>
      <c r="B78" s="116">
        <f>ROUND((R18/R$24)*100,1)</f>
        <v>0</v>
      </c>
      <c r="F78" s="117" t="s">
        <v>20</v>
      </c>
      <c r="G78" s="119">
        <f>SUM(G68:G77)</f>
        <v>100</v>
      </c>
    </row>
    <row r="79" spans="1:7">
      <c r="A79" s="114" t="s">
        <v>21</v>
      </c>
      <c r="B79" s="116">
        <f>ROUND((R23/R$24)*100,1)</f>
        <v>28</v>
      </c>
    </row>
    <row r="80" spans="1:7">
      <c r="A80" s="117" t="s">
        <v>20</v>
      </c>
      <c r="B80" s="119">
        <f>SUM(B68:B79)</f>
        <v>100</v>
      </c>
    </row>
    <row r="85" spans="1:26" ht="15">
      <c r="A85" s="145"/>
      <c r="B85" s="145" t="s">
        <v>70</v>
      </c>
      <c r="C85" s="189" t="s">
        <v>13</v>
      </c>
      <c r="D85" s="190"/>
      <c r="E85" s="190"/>
      <c r="F85" s="190"/>
      <c r="G85" s="190"/>
      <c r="H85" s="190"/>
      <c r="I85" s="190"/>
      <c r="J85" s="190"/>
      <c r="K85" s="190"/>
      <c r="L85" s="190"/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/>
      <c r="X85"/>
      <c r="Y85"/>
      <c r="Z85"/>
    </row>
    <row r="86" spans="1:26" ht="15">
      <c r="A86" s="145"/>
      <c r="B86" s="143" t="s">
        <v>68</v>
      </c>
      <c r="C86" s="174" t="s">
        <v>74</v>
      </c>
      <c r="D86" s="174" t="s">
        <v>57</v>
      </c>
      <c r="E86" s="174" t="s">
        <v>81</v>
      </c>
      <c r="F86" s="174" t="s">
        <v>80</v>
      </c>
      <c r="G86" s="174" t="s">
        <v>82</v>
      </c>
      <c r="H86" s="174" t="s">
        <v>86</v>
      </c>
      <c r="I86" s="174" t="s">
        <v>87</v>
      </c>
      <c r="J86" s="174" t="s">
        <v>83</v>
      </c>
      <c r="K86" s="174" t="s">
        <v>88</v>
      </c>
      <c r="L86" s="174" t="s">
        <v>89</v>
      </c>
      <c r="M86" s="174" t="s">
        <v>90</v>
      </c>
      <c r="N86" s="174" t="s">
        <v>91</v>
      </c>
      <c r="O86" s="174" t="s">
        <v>92</v>
      </c>
      <c r="P86" s="174" t="s">
        <v>93</v>
      </c>
      <c r="Q86" s="174" t="s">
        <v>94</v>
      </c>
      <c r="R86" s="174" t="s">
        <v>95</v>
      </c>
      <c r="S86" s="174" t="s">
        <v>96</v>
      </c>
      <c r="T86" s="174" t="s">
        <v>97</v>
      </c>
      <c r="U86" s="174" t="s">
        <v>106</v>
      </c>
      <c r="V86" s="174" t="s">
        <v>112</v>
      </c>
      <c r="W86"/>
      <c r="X86"/>
      <c r="Y86"/>
      <c r="Z86"/>
    </row>
    <row r="87" spans="1:26" ht="15">
      <c r="A87" s="145" t="s">
        <v>69</v>
      </c>
      <c r="B87" s="145" t="s">
        <v>71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/>
      <c r="X87"/>
      <c r="Y87"/>
      <c r="Z87"/>
    </row>
    <row r="88" spans="1:26" ht="15">
      <c r="A88" s="206" t="s">
        <v>58</v>
      </c>
      <c r="B88" s="144" t="s">
        <v>11</v>
      </c>
      <c r="C88" s="147">
        <v>198.55502899999999</v>
      </c>
      <c r="D88" s="147">
        <v>192.79493400000001</v>
      </c>
      <c r="E88" s="147">
        <v>199.82157000000001</v>
      </c>
      <c r="F88" s="147">
        <v>183.05622099999999</v>
      </c>
      <c r="G88" s="147">
        <v>187.11588399999999</v>
      </c>
      <c r="H88" s="147">
        <v>207.64405500000001</v>
      </c>
      <c r="I88" s="147">
        <v>242.068479</v>
      </c>
      <c r="J88" s="147">
        <v>257.31310999999999</v>
      </c>
      <c r="K88" s="147">
        <v>250.63039499999999</v>
      </c>
      <c r="L88" s="147">
        <v>186.34634299999999</v>
      </c>
      <c r="M88" s="147">
        <v>105.71835900000001</v>
      </c>
      <c r="N88" s="147">
        <v>181.17789999999999</v>
      </c>
      <c r="O88" s="147">
        <v>216.788162</v>
      </c>
      <c r="P88" s="147">
        <v>163.68409500000001</v>
      </c>
      <c r="Q88" s="147">
        <v>141.02476799999999</v>
      </c>
      <c r="R88" s="147">
        <v>126.20684799999999</v>
      </c>
      <c r="S88" s="147">
        <v>121.49093499999999</v>
      </c>
      <c r="T88" s="147">
        <v>98.710933999999995</v>
      </c>
      <c r="U88" s="147">
        <v>173.44610299999999</v>
      </c>
      <c r="V88" s="147">
        <v>101.79564000000001</v>
      </c>
      <c r="W88"/>
      <c r="X88"/>
      <c r="Y88"/>
      <c r="Z88"/>
    </row>
    <row r="89" spans="1:26" ht="15">
      <c r="A89" s="204"/>
      <c r="B89" s="144" t="s">
        <v>84</v>
      </c>
      <c r="C89" s="147">
        <v>35.080182000000001</v>
      </c>
      <c r="D89" s="147">
        <v>38.969616000000002</v>
      </c>
      <c r="E89" s="147">
        <v>35.928452</v>
      </c>
      <c r="F89" s="147">
        <v>37.207234999999997</v>
      </c>
      <c r="G89" s="147">
        <v>51.279922999999997</v>
      </c>
      <c r="H89" s="147">
        <v>59.423205000000003</v>
      </c>
      <c r="I89" s="147">
        <v>82.636359999999996</v>
      </c>
      <c r="J89" s="147">
        <v>89.525766000000004</v>
      </c>
      <c r="K89" s="147">
        <v>72.079989999999995</v>
      </c>
      <c r="L89" s="147">
        <v>57.771937999999999</v>
      </c>
      <c r="M89" s="147">
        <v>42.036839000000001</v>
      </c>
      <c r="N89" s="147">
        <v>32.932130000000001</v>
      </c>
      <c r="O89" s="147">
        <v>35.212248000000002</v>
      </c>
      <c r="P89" s="147">
        <v>26.576927000000001</v>
      </c>
      <c r="Q89" s="147">
        <v>16.635784999999998</v>
      </c>
      <c r="R89" s="147">
        <v>30.202653000000002</v>
      </c>
      <c r="S89" s="147">
        <v>33.599820999999999</v>
      </c>
      <c r="T89" s="147">
        <v>49.833764000000002</v>
      </c>
      <c r="U89" s="147">
        <v>64.359393999999995</v>
      </c>
      <c r="V89" s="147">
        <v>26.779681</v>
      </c>
      <c r="W89"/>
      <c r="X89"/>
      <c r="Y89"/>
      <c r="Z89"/>
    </row>
    <row r="90" spans="1:26" ht="15">
      <c r="A90" s="204"/>
      <c r="B90" s="144" t="s">
        <v>9</v>
      </c>
      <c r="C90" s="147">
        <v>59.852255999999997</v>
      </c>
      <c r="D90" s="147">
        <v>59.882575000000003</v>
      </c>
      <c r="E90" s="147">
        <v>61.051561</v>
      </c>
      <c r="F90" s="147">
        <v>57.191896</v>
      </c>
      <c r="G90" s="147">
        <v>66.096778</v>
      </c>
      <c r="H90" s="147">
        <v>77.051412999999997</v>
      </c>
      <c r="I90" s="147">
        <v>95.847725999999994</v>
      </c>
      <c r="J90" s="147">
        <v>91.166568999999996</v>
      </c>
      <c r="K90" s="147">
        <v>75.102127999999993</v>
      </c>
      <c r="L90" s="147">
        <v>54.458812999999999</v>
      </c>
      <c r="M90" s="147">
        <v>47.932189000000001</v>
      </c>
      <c r="N90" s="147">
        <v>19.365110999999999</v>
      </c>
      <c r="O90" s="147">
        <v>22.524488000000002</v>
      </c>
      <c r="P90" s="147">
        <v>22.600860000000001</v>
      </c>
      <c r="Q90" s="147">
        <v>34.548490999999999</v>
      </c>
      <c r="R90" s="147">
        <v>30.171469999999999</v>
      </c>
      <c r="S90" s="147">
        <v>27.505562000000001</v>
      </c>
      <c r="T90" s="147">
        <v>38.491146999999998</v>
      </c>
      <c r="U90" s="147">
        <v>72.469969000000006</v>
      </c>
      <c r="V90" s="147">
        <v>28.318338000000001</v>
      </c>
      <c r="W90"/>
      <c r="X90"/>
      <c r="Y90"/>
      <c r="Z90"/>
    </row>
    <row r="91" spans="1:26" ht="15">
      <c r="A91" s="204"/>
      <c r="B91" s="144" t="s">
        <v>25</v>
      </c>
      <c r="C91" s="147">
        <v>31.200264000000001</v>
      </c>
      <c r="D91" s="147">
        <v>48.135339999999999</v>
      </c>
      <c r="E91" s="147">
        <v>39.439261999999999</v>
      </c>
      <c r="F91" s="147">
        <v>48.047037000000003</v>
      </c>
      <c r="G91" s="147">
        <v>45.724513999999999</v>
      </c>
      <c r="H91" s="147">
        <v>36.753745000000002</v>
      </c>
      <c r="I91" s="147">
        <v>53.754595000000002</v>
      </c>
      <c r="J91" s="147">
        <v>62.510635000000001</v>
      </c>
      <c r="K91" s="147">
        <v>31.103935</v>
      </c>
      <c r="L91" s="147">
        <v>45.569164000000001</v>
      </c>
      <c r="M91" s="147">
        <v>109.56093300000001</v>
      </c>
      <c r="N91" s="147">
        <v>38.724245000000003</v>
      </c>
      <c r="O91" s="147">
        <v>34.412135999999997</v>
      </c>
      <c r="P91" s="147">
        <v>55.402149000000001</v>
      </c>
      <c r="Q91" s="147">
        <v>83.928335000000004</v>
      </c>
      <c r="R91" s="147">
        <v>93.323053000000002</v>
      </c>
      <c r="S91" s="147">
        <v>103.560644</v>
      </c>
      <c r="T91" s="147">
        <v>148.873491</v>
      </c>
      <c r="U91" s="147">
        <v>160.980031</v>
      </c>
      <c r="V91" s="147">
        <v>37.658977</v>
      </c>
      <c r="W91"/>
      <c r="X91"/>
      <c r="Y91"/>
      <c r="Z91"/>
    </row>
    <row r="92" spans="1:26" ht="15">
      <c r="A92" s="204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0.258189</v>
      </c>
      <c r="H92" s="147">
        <v>1.4068510000000001</v>
      </c>
      <c r="I92" s="147">
        <v>3.4087329999999998</v>
      </c>
      <c r="J92" s="147">
        <v>5.1961240000000002</v>
      </c>
      <c r="K92" s="147">
        <v>2.2653319999999999</v>
      </c>
      <c r="L92" s="147">
        <v>0.27849499999999999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 s="147">
        <v>0</v>
      </c>
      <c r="S92" s="147">
        <v>0.182169</v>
      </c>
      <c r="T92" s="147">
        <v>1.4050560000000001</v>
      </c>
      <c r="U92" s="147">
        <v>4.1422929999999996</v>
      </c>
      <c r="V92" s="147">
        <v>2.2981500000000001</v>
      </c>
      <c r="W92"/>
      <c r="X92"/>
      <c r="Y92"/>
      <c r="Z92"/>
    </row>
    <row r="93" spans="1:26" ht="15">
      <c r="A93" s="204"/>
      <c r="B93" s="144" t="s">
        <v>5</v>
      </c>
      <c r="C93" s="147">
        <v>0.25263999999999998</v>
      </c>
      <c r="D93" s="147">
        <v>0.32401200000000002</v>
      </c>
      <c r="E93" s="147">
        <v>0.40592400000000001</v>
      </c>
      <c r="F93" s="147">
        <v>0.28265000000000001</v>
      </c>
      <c r="G93" s="147">
        <v>0.22889300000000001</v>
      </c>
      <c r="H93" s="147">
        <v>0.138682</v>
      </c>
      <c r="I93" s="147">
        <v>0.13932900000000001</v>
      </c>
      <c r="J93" s="147">
        <v>0.19220799999999999</v>
      </c>
      <c r="K93" s="147">
        <v>0.19817599999999999</v>
      </c>
      <c r="L93" s="147">
        <v>0.620313</v>
      </c>
      <c r="M93" s="147">
        <v>0.555396</v>
      </c>
      <c r="N93" s="147">
        <v>0.41894799999999999</v>
      </c>
      <c r="O93" s="147">
        <v>0.805427</v>
      </c>
      <c r="P93" s="147">
        <v>0.49932900000000002</v>
      </c>
      <c r="Q93" s="147">
        <v>0.70238800000000001</v>
      </c>
      <c r="R93" s="147">
        <v>0.63947100000000001</v>
      </c>
      <c r="S93" s="147">
        <v>0.653721</v>
      </c>
      <c r="T93" s="147">
        <v>0.34985300000000003</v>
      </c>
      <c r="U93" s="147">
        <v>0.23036599999999999</v>
      </c>
      <c r="V93" s="147">
        <v>8.8639999999999997E-2</v>
      </c>
      <c r="W93"/>
      <c r="X93"/>
      <c r="Y93"/>
      <c r="Z93"/>
    </row>
    <row r="94" spans="1:26" ht="15">
      <c r="A94" s="204"/>
      <c r="B94" s="144" t="s">
        <v>4</v>
      </c>
      <c r="C94" s="147">
        <v>7.0445000000000002</v>
      </c>
      <c r="D94" s="147">
        <v>5.3380900000000002</v>
      </c>
      <c r="E94" s="147">
        <v>10.207919</v>
      </c>
      <c r="F94" s="147">
        <v>11.477546</v>
      </c>
      <c r="G94" s="147">
        <v>11.852795</v>
      </c>
      <c r="H94" s="147">
        <v>12.390930000000001</v>
      </c>
      <c r="I94" s="147">
        <v>13.412572000000001</v>
      </c>
      <c r="J94" s="147">
        <v>11.599539999999999</v>
      </c>
      <c r="K94" s="147">
        <v>9.3011130000000009</v>
      </c>
      <c r="L94" s="147">
        <v>8.042586</v>
      </c>
      <c r="M94" s="147">
        <v>5.9828039999999998</v>
      </c>
      <c r="N94" s="147">
        <v>6.6722400000000004</v>
      </c>
      <c r="O94" s="147">
        <v>7.2773659999999998</v>
      </c>
      <c r="P94" s="147">
        <v>9.3391369999999991</v>
      </c>
      <c r="Q94" s="147">
        <v>11.280421</v>
      </c>
      <c r="R94" s="147">
        <v>10.643307999999999</v>
      </c>
      <c r="S94" s="147">
        <v>12.906663999999999</v>
      </c>
      <c r="T94" s="147">
        <v>13.247464000000001</v>
      </c>
      <c r="U94" s="147">
        <v>12.374898</v>
      </c>
      <c r="V94" s="147">
        <v>4.8676000000000004</v>
      </c>
      <c r="W94"/>
      <c r="X94"/>
      <c r="Y94"/>
      <c r="Z94"/>
    </row>
    <row r="95" spans="1:26" ht="15">
      <c r="A95" s="204"/>
      <c r="B95" s="144" t="s">
        <v>22</v>
      </c>
      <c r="C95" s="147">
        <v>0.219363</v>
      </c>
      <c r="D95" s="147">
        <v>0.16624</v>
      </c>
      <c r="E95" s="147">
        <v>0.184165</v>
      </c>
      <c r="F95" s="147">
        <v>0.130801</v>
      </c>
      <c r="G95" s="147">
        <v>0.12767999999999999</v>
      </c>
      <c r="H95" s="147">
        <v>0.110028</v>
      </c>
      <c r="I95" s="147">
        <v>5.7736999999999997E-2</v>
      </c>
      <c r="J95" s="147">
        <v>5.6852E-2</v>
      </c>
      <c r="K95" s="147">
        <v>1.917E-2</v>
      </c>
      <c r="L95" s="147">
        <v>6.0415000000000003E-2</v>
      </c>
      <c r="M95" s="147">
        <v>6.8765999999999994E-2</v>
      </c>
      <c r="N95" s="147">
        <v>0.13137799999999999</v>
      </c>
      <c r="O95" s="147">
        <v>0.107643</v>
      </c>
      <c r="P95" s="147">
        <v>8.2346000000000003E-2</v>
      </c>
      <c r="Q95" s="147">
        <v>0.111343</v>
      </c>
      <c r="R95" s="147">
        <v>8.9931999999999998E-2</v>
      </c>
      <c r="S95" s="147">
        <v>5.4199999999999998E-2</v>
      </c>
      <c r="T95" s="147">
        <v>0.12551699999999999</v>
      </c>
      <c r="U95" s="147">
        <v>9.8985000000000004E-2</v>
      </c>
      <c r="V95" s="147">
        <v>3.4200000000000001E-2</v>
      </c>
      <c r="W95"/>
      <c r="X95"/>
      <c r="Y95"/>
      <c r="Z95"/>
    </row>
    <row r="96" spans="1:26" ht="15">
      <c r="A96" s="204"/>
      <c r="B96" s="144" t="s">
        <v>23</v>
      </c>
      <c r="C96" s="147">
        <v>3.1829869999999998</v>
      </c>
      <c r="D96" s="147">
        <v>3.0836540000000001</v>
      </c>
      <c r="E96" s="147">
        <v>2.2946849999999999</v>
      </c>
      <c r="F96" s="147">
        <v>1.9821660000000001</v>
      </c>
      <c r="G96" s="147">
        <v>2.5785749999999998</v>
      </c>
      <c r="H96" s="147">
        <v>3.3572419999999998</v>
      </c>
      <c r="I96" s="147">
        <v>3.5655640000000002</v>
      </c>
      <c r="J96" s="147">
        <v>3.5154580000000002</v>
      </c>
      <c r="K96" s="147">
        <v>2.43655</v>
      </c>
      <c r="L96" s="147">
        <v>2.5715089999999998</v>
      </c>
      <c r="M96" s="147">
        <v>3.145667</v>
      </c>
      <c r="N96" s="147">
        <v>3.260389</v>
      </c>
      <c r="O96" s="147">
        <v>3.3415469999999998</v>
      </c>
      <c r="P96" s="147">
        <v>3.483536</v>
      </c>
      <c r="Q96" s="147">
        <v>3.2674569999999998</v>
      </c>
      <c r="R96" s="147">
        <v>2.9153180000000001</v>
      </c>
      <c r="S96" s="147">
        <v>2.2857509999999999</v>
      </c>
      <c r="T96" s="147">
        <v>2.3003499999999999</v>
      </c>
      <c r="U96" s="147">
        <v>1.194464</v>
      </c>
      <c r="V96" s="147">
        <v>1.1395200000000001</v>
      </c>
      <c r="W96"/>
      <c r="X96"/>
      <c r="Y96"/>
      <c r="Z96"/>
    </row>
    <row r="97" spans="1:26" ht="15">
      <c r="A97" s="204"/>
      <c r="B97" s="144" t="s">
        <v>54</v>
      </c>
      <c r="C97" s="147">
        <v>7.4814245000000001</v>
      </c>
      <c r="D97" s="147">
        <v>4.4559544999999998</v>
      </c>
      <c r="E97" s="147">
        <v>11.199851499999999</v>
      </c>
      <c r="F97" s="147">
        <v>10.4867385</v>
      </c>
      <c r="G97" s="147">
        <v>10.524592</v>
      </c>
      <c r="H97" s="147">
        <v>14.7091545</v>
      </c>
      <c r="I97" s="147">
        <v>14.429119</v>
      </c>
      <c r="J97" s="147">
        <v>14.9613625</v>
      </c>
      <c r="K97" s="147">
        <v>13.4535695</v>
      </c>
      <c r="L97" s="147">
        <v>13.8976735</v>
      </c>
      <c r="M97" s="147">
        <v>7.0333759999999996</v>
      </c>
      <c r="N97" s="147">
        <v>13.124928499999999</v>
      </c>
      <c r="O97" s="147">
        <v>9.5605395000000009</v>
      </c>
      <c r="P97" s="147">
        <v>6.8600294999999996</v>
      </c>
      <c r="Q97" s="147">
        <v>11.083662500000001</v>
      </c>
      <c r="R97" s="147">
        <v>13.4563305</v>
      </c>
      <c r="S97" s="147">
        <v>13.087209</v>
      </c>
      <c r="T97" s="147">
        <v>13.341946</v>
      </c>
      <c r="U97" s="147">
        <v>14.4424645</v>
      </c>
      <c r="V97" s="147">
        <v>5.9874999999999998</v>
      </c>
      <c r="W97"/>
      <c r="X97"/>
      <c r="Y97"/>
      <c r="Z97"/>
    </row>
    <row r="98" spans="1:26" ht="15">
      <c r="A98" s="204"/>
      <c r="B98" s="144" t="s">
        <v>55</v>
      </c>
      <c r="C98" s="147">
        <v>7.4814245000000001</v>
      </c>
      <c r="D98" s="147">
        <v>4.4559544999999998</v>
      </c>
      <c r="E98" s="147">
        <v>11.199851499999999</v>
      </c>
      <c r="F98" s="147">
        <v>10.4867385</v>
      </c>
      <c r="G98" s="147">
        <v>10.524592</v>
      </c>
      <c r="H98" s="147">
        <v>14.7091545</v>
      </c>
      <c r="I98" s="147">
        <v>14.429119</v>
      </c>
      <c r="J98" s="147">
        <v>14.9613625</v>
      </c>
      <c r="K98" s="147">
        <v>13.4535695</v>
      </c>
      <c r="L98" s="147">
        <v>13.8976735</v>
      </c>
      <c r="M98" s="147">
        <v>7.0333759999999996</v>
      </c>
      <c r="N98" s="147">
        <v>13.124928499999999</v>
      </c>
      <c r="O98" s="147">
        <v>9.5605395000000009</v>
      </c>
      <c r="P98" s="147">
        <v>6.8600294999999996</v>
      </c>
      <c r="Q98" s="147">
        <v>11.083662500000001</v>
      </c>
      <c r="R98" s="147">
        <v>13.4563305</v>
      </c>
      <c r="S98" s="147">
        <v>13.087209</v>
      </c>
      <c r="T98" s="147">
        <v>13.341946</v>
      </c>
      <c r="U98" s="147">
        <v>14.4424645</v>
      </c>
      <c r="V98" s="147">
        <v>5.9874999999999998</v>
      </c>
      <c r="W98"/>
      <c r="X98"/>
      <c r="Y98"/>
      <c r="Z98"/>
    </row>
    <row r="99" spans="1:26" ht="15">
      <c r="A99" s="204"/>
      <c r="B99" s="149" t="s">
        <v>2</v>
      </c>
      <c r="C99" s="150">
        <v>350.35007000000002</v>
      </c>
      <c r="D99" s="150">
        <v>357.60637000000003</v>
      </c>
      <c r="E99" s="150">
        <v>371.73324100000002</v>
      </c>
      <c r="F99" s="150">
        <v>360.34902899999997</v>
      </c>
      <c r="G99" s="150">
        <v>386.31241499999999</v>
      </c>
      <c r="H99" s="150">
        <v>427.69445999999999</v>
      </c>
      <c r="I99" s="150">
        <v>523.74933299999998</v>
      </c>
      <c r="J99" s="150">
        <v>550.99898700000006</v>
      </c>
      <c r="K99" s="150">
        <v>470.04392799999999</v>
      </c>
      <c r="L99" s="150">
        <v>383.51492300000001</v>
      </c>
      <c r="M99" s="150">
        <v>329.06770499999999</v>
      </c>
      <c r="N99" s="150">
        <v>308.93219800000003</v>
      </c>
      <c r="O99" s="150">
        <v>339.59009600000002</v>
      </c>
      <c r="P99" s="150">
        <v>295.38843800000001</v>
      </c>
      <c r="Q99" s="150">
        <v>313.666313</v>
      </c>
      <c r="R99" s="150">
        <v>321.104714</v>
      </c>
      <c r="S99" s="150">
        <v>328.41388499999999</v>
      </c>
      <c r="T99" s="150">
        <v>380.02146800000003</v>
      </c>
      <c r="U99" s="150">
        <v>518.18143199999997</v>
      </c>
      <c r="V99" s="150">
        <v>214.955746</v>
      </c>
      <c r="W99"/>
      <c r="X99"/>
      <c r="Y99"/>
      <c r="Z99"/>
    </row>
    <row r="100" spans="1:26" ht="15">
      <c r="A100" s="204"/>
      <c r="B100" s="144" t="s">
        <v>21</v>
      </c>
      <c r="C100" s="147">
        <v>86.203828999999999</v>
      </c>
      <c r="D100" s="147">
        <v>99.993398999999997</v>
      </c>
      <c r="E100" s="147">
        <v>89.996875000000003</v>
      </c>
      <c r="F100" s="147">
        <v>66.467519999999993</v>
      </c>
      <c r="G100" s="147">
        <v>89.565090999999995</v>
      </c>
      <c r="H100" s="147">
        <v>108.62363499999999</v>
      </c>
      <c r="I100" s="147">
        <v>161.79160300000001</v>
      </c>
      <c r="J100" s="147">
        <v>153.133589</v>
      </c>
      <c r="K100" s="147">
        <v>107.931268</v>
      </c>
      <c r="L100" s="147">
        <v>92.007576999999998</v>
      </c>
      <c r="M100" s="147">
        <v>65.068314999999998</v>
      </c>
      <c r="N100" s="147">
        <v>112.575441</v>
      </c>
      <c r="O100" s="147">
        <v>137.254998</v>
      </c>
      <c r="P100" s="147">
        <v>119.223619</v>
      </c>
      <c r="Q100" s="147">
        <v>122.32533599999999</v>
      </c>
      <c r="R100" s="147">
        <v>124.430774</v>
      </c>
      <c r="S100" s="147">
        <v>143.16130000000001</v>
      </c>
      <c r="T100" s="147">
        <v>159.634671</v>
      </c>
      <c r="U100" s="147">
        <v>201.16611399999999</v>
      </c>
      <c r="V100" s="147">
        <v>76.531999999999996</v>
      </c>
      <c r="W100"/>
      <c r="X100"/>
      <c r="Y100"/>
      <c r="Z100"/>
    </row>
    <row r="101" spans="1:26" ht="15">
      <c r="A101" s="205"/>
      <c r="B101" s="149" t="s">
        <v>85</v>
      </c>
      <c r="C101" s="150">
        <v>436.553899</v>
      </c>
      <c r="D101" s="150">
        <v>457.59976899999998</v>
      </c>
      <c r="E101" s="150">
        <v>461.73011600000001</v>
      </c>
      <c r="F101" s="150">
        <v>426.81654900000001</v>
      </c>
      <c r="G101" s="150">
        <v>475.87750599999998</v>
      </c>
      <c r="H101" s="150">
        <v>536.31809499999997</v>
      </c>
      <c r="I101" s="150">
        <v>685.54093599999999</v>
      </c>
      <c r="J101" s="150">
        <v>704.13257599999997</v>
      </c>
      <c r="K101" s="150">
        <v>577.97519599999998</v>
      </c>
      <c r="L101" s="150">
        <v>475.52249999999998</v>
      </c>
      <c r="M101" s="150">
        <v>394.13601999999997</v>
      </c>
      <c r="N101" s="150">
        <v>421.50763899999998</v>
      </c>
      <c r="O101" s="150">
        <v>476.84509400000002</v>
      </c>
      <c r="P101" s="150">
        <v>414.61205699999999</v>
      </c>
      <c r="Q101" s="150">
        <v>435.991649</v>
      </c>
      <c r="R101" s="150">
        <v>445.53548799999999</v>
      </c>
      <c r="S101" s="150">
        <v>471.57518499999998</v>
      </c>
      <c r="T101" s="150">
        <v>539.65613900000005</v>
      </c>
      <c r="U101" s="150">
        <v>719.34754599999997</v>
      </c>
      <c r="V101" s="150">
        <v>291.48774600000002</v>
      </c>
      <c r="W101"/>
      <c r="X101"/>
      <c r="Y101"/>
      <c r="Z101"/>
    </row>
    <row r="102" spans="1:26" ht="15">
      <c r="A102" s="203" t="s">
        <v>59</v>
      </c>
      <c r="B102" s="144" t="s">
        <v>12</v>
      </c>
      <c r="C102" s="147">
        <v>0.27943200000000001</v>
      </c>
      <c r="D102" s="147">
        <v>3.4173000000000002E-2</v>
      </c>
      <c r="E102" s="147">
        <v>0.309946</v>
      </c>
      <c r="F102" s="147">
        <v>0.27612300000000001</v>
      </c>
      <c r="G102" s="147">
        <v>0.308334</v>
      </c>
      <c r="H102" s="147">
        <v>0.29448200000000002</v>
      </c>
      <c r="I102" s="147">
        <v>0.29559600000000003</v>
      </c>
      <c r="J102" s="147">
        <v>0.30764000000000002</v>
      </c>
      <c r="K102" s="147">
        <v>0.28839900000000002</v>
      </c>
      <c r="L102" s="147">
        <v>0.297373</v>
      </c>
      <c r="M102" s="147">
        <v>0.28930699999999998</v>
      </c>
      <c r="N102" s="147">
        <v>0.29630699999999999</v>
      </c>
      <c r="O102" s="147">
        <v>0.29291600000000001</v>
      </c>
      <c r="P102" s="147">
        <v>0.26504899999999998</v>
      </c>
      <c r="Q102" s="147">
        <v>0.2979</v>
      </c>
      <c r="R102" s="147">
        <v>0.29424499999999998</v>
      </c>
      <c r="S102" s="147">
        <v>0.299674</v>
      </c>
      <c r="T102" s="147">
        <v>0.27668100000000001</v>
      </c>
      <c r="U102" s="147">
        <v>0.29849900000000001</v>
      </c>
      <c r="V102" s="147">
        <v>6.7311999999999997E-2</v>
      </c>
      <c r="W102"/>
      <c r="X102"/>
      <c r="Y102"/>
      <c r="Z102"/>
    </row>
    <row r="103" spans="1:26" ht="15">
      <c r="A103" s="204"/>
      <c r="B103" s="144" t="s">
        <v>84</v>
      </c>
      <c r="C103" s="147">
        <v>184.470955</v>
      </c>
      <c r="D103" s="147">
        <v>165.51885899999999</v>
      </c>
      <c r="E103" s="147">
        <v>176.17658599999999</v>
      </c>
      <c r="F103" s="147">
        <v>171.46459999999999</v>
      </c>
      <c r="G103" s="147">
        <v>172.14836700000001</v>
      </c>
      <c r="H103" s="147">
        <v>162.811961</v>
      </c>
      <c r="I103" s="147">
        <v>173.812749</v>
      </c>
      <c r="J103" s="147">
        <v>196.42565300000001</v>
      </c>
      <c r="K103" s="147">
        <v>187.12256099999999</v>
      </c>
      <c r="L103" s="147">
        <v>190.675118</v>
      </c>
      <c r="M103" s="147">
        <v>163.85602700000001</v>
      </c>
      <c r="N103" s="147">
        <v>176.651453</v>
      </c>
      <c r="O103" s="147">
        <v>174.26427200000001</v>
      </c>
      <c r="P103" s="147">
        <v>152.846857</v>
      </c>
      <c r="Q103" s="147">
        <v>161.02722900000001</v>
      </c>
      <c r="R103" s="147">
        <v>157.06491</v>
      </c>
      <c r="S103" s="147">
        <v>150.364304</v>
      </c>
      <c r="T103" s="147">
        <v>167.35705100000001</v>
      </c>
      <c r="U103" s="147">
        <v>155.88908699999999</v>
      </c>
      <c r="V103" s="147">
        <v>68.151053000000005</v>
      </c>
      <c r="W103"/>
      <c r="X103"/>
      <c r="Y103"/>
      <c r="Z103"/>
    </row>
    <row r="104" spans="1:26" ht="15">
      <c r="A104" s="204"/>
      <c r="B104" s="144" t="s">
        <v>9</v>
      </c>
      <c r="C104" s="147">
        <v>27.249141000000002</v>
      </c>
      <c r="D104" s="147">
        <v>24.751363999999999</v>
      </c>
      <c r="E104" s="147">
        <v>19.300775999999999</v>
      </c>
      <c r="F104" s="147">
        <v>22.020657</v>
      </c>
      <c r="G104" s="147">
        <v>27.236414</v>
      </c>
      <c r="H104" s="147">
        <v>24.035202999999999</v>
      </c>
      <c r="I104" s="147">
        <v>19.071615000000001</v>
      </c>
      <c r="J104" s="147">
        <v>22.413599999999999</v>
      </c>
      <c r="K104" s="147">
        <v>28.523140000000001</v>
      </c>
      <c r="L104" s="147">
        <v>25.398897999999999</v>
      </c>
      <c r="M104" s="147">
        <v>25.639095999999999</v>
      </c>
      <c r="N104" s="147">
        <v>18.905633999999999</v>
      </c>
      <c r="O104" s="147">
        <v>21.945627999999999</v>
      </c>
      <c r="P104" s="147">
        <v>18.942269</v>
      </c>
      <c r="Q104" s="147">
        <v>19.078325</v>
      </c>
      <c r="R104" s="147">
        <v>20.008278000000001</v>
      </c>
      <c r="S104" s="147">
        <v>23.358886999999999</v>
      </c>
      <c r="T104" s="147">
        <v>14.744834000000001</v>
      </c>
      <c r="U104" s="147">
        <v>16.517122000000001</v>
      </c>
      <c r="V104" s="147">
        <v>5.0951180000000003</v>
      </c>
      <c r="W104"/>
      <c r="X104"/>
      <c r="Y104"/>
      <c r="Z104"/>
    </row>
    <row r="105" spans="1:26" ht="15">
      <c r="A105" s="204"/>
      <c r="B105" s="144" t="s">
        <v>8</v>
      </c>
      <c r="C105" s="147">
        <v>230.384784</v>
      </c>
      <c r="D105" s="147">
        <v>210.40916100000001</v>
      </c>
      <c r="E105" s="147">
        <v>195.20305200000001</v>
      </c>
      <c r="F105" s="147">
        <v>189.55861100000001</v>
      </c>
      <c r="G105" s="147">
        <v>186.40918600000001</v>
      </c>
      <c r="H105" s="147">
        <v>200.03084899999999</v>
      </c>
      <c r="I105" s="147">
        <v>206.69372799999999</v>
      </c>
      <c r="J105" s="147">
        <v>214.943949</v>
      </c>
      <c r="K105" s="147">
        <v>188.60526999999999</v>
      </c>
      <c r="L105" s="147">
        <v>201.924623</v>
      </c>
      <c r="M105" s="147">
        <v>224.02625399999999</v>
      </c>
      <c r="N105" s="147">
        <v>207.24283</v>
      </c>
      <c r="O105" s="147">
        <v>218.650612</v>
      </c>
      <c r="P105" s="147">
        <v>212.98181099999999</v>
      </c>
      <c r="Q105" s="147">
        <v>209.06030999999999</v>
      </c>
      <c r="R105" s="147">
        <v>199.95457400000001</v>
      </c>
      <c r="S105" s="147">
        <v>201.71434600000001</v>
      </c>
      <c r="T105" s="147">
        <v>209.91055800000001</v>
      </c>
      <c r="U105" s="147">
        <v>137.955038</v>
      </c>
      <c r="V105" s="147">
        <v>39.55471</v>
      </c>
      <c r="W105"/>
      <c r="X105"/>
      <c r="Y105"/>
      <c r="Z105"/>
    </row>
    <row r="106" spans="1:26" ht="15">
      <c r="A106" s="204"/>
      <c r="B106" s="144" t="s">
        <v>25</v>
      </c>
      <c r="C106" s="147">
        <v>233.901625</v>
      </c>
      <c r="D106" s="147">
        <v>215.21677199999999</v>
      </c>
      <c r="E106" s="147">
        <v>260.839181</v>
      </c>
      <c r="F106" s="147">
        <v>246.337683</v>
      </c>
      <c r="G106" s="147">
        <v>248.61678900000001</v>
      </c>
      <c r="H106" s="147">
        <v>234.94823600000001</v>
      </c>
      <c r="I106" s="147">
        <v>230.14559600000001</v>
      </c>
      <c r="J106" s="147">
        <v>251.789052</v>
      </c>
      <c r="K106" s="147">
        <v>281.47467399999999</v>
      </c>
      <c r="L106" s="147">
        <v>317.069143</v>
      </c>
      <c r="M106" s="147">
        <v>256.69696599999997</v>
      </c>
      <c r="N106" s="147">
        <v>273.98589099999998</v>
      </c>
      <c r="O106" s="147">
        <v>264.507273</v>
      </c>
      <c r="P106" s="147">
        <v>221.964823</v>
      </c>
      <c r="Q106" s="147">
        <v>224.52281400000001</v>
      </c>
      <c r="R106" s="147">
        <v>229.693647</v>
      </c>
      <c r="S106" s="147">
        <v>220.83250000000001</v>
      </c>
      <c r="T106" s="147">
        <v>222.51747599999999</v>
      </c>
      <c r="U106" s="147">
        <v>262.048877</v>
      </c>
      <c r="V106" s="147">
        <v>121.67206899999999</v>
      </c>
      <c r="W106"/>
      <c r="X106"/>
      <c r="Y106"/>
      <c r="Z106"/>
    </row>
    <row r="107" spans="1:26" ht="15">
      <c r="A107" s="204"/>
      <c r="B107" s="144" t="s">
        <v>6</v>
      </c>
      <c r="C107" s="147">
        <v>2.2577669999999999</v>
      </c>
      <c r="D107" s="147">
        <v>1.754305</v>
      </c>
      <c r="E107" s="147">
        <v>1.5995220000000001</v>
      </c>
      <c r="F107" s="147">
        <v>2.2626460000000002</v>
      </c>
      <c r="G107" s="147">
        <v>2.0342030000000002</v>
      </c>
      <c r="H107" s="147">
        <v>2.3218040000000002</v>
      </c>
      <c r="I107" s="147">
        <v>3.7162829999999998</v>
      </c>
      <c r="J107" s="147">
        <v>2.859321</v>
      </c>
      <c r="K107" s="147">
        <v>2.165861</v>
      </c>
      <c r="L107" s="147">
        <v>0.87331099999999995</v>
      </c>
      <c r="M107" s="147">
        <v>0.90078800000000003</v>
      </c>
      <c r="N107" s="147">
        <v>0.90973300000000001</v>
      </c>
      <c r="O107" s="147">
        <v>1.109656</v>
      </c>
      <c r="P107" s="147">
        <v>0.97254499999999999</v>
      </c>
      <c r="Q107" s="147">
        <v>1.955158</v>
      </c>
      <c r="R107" s="147">
        <v>1.5483690000000001</v>
      </c>
      <c r="S107" s="147">
        <v>2.031012</v>
      </c>
      <c r="T107" s="147">
        <v>1.3721410000000001</v>
      </c>
      <c r="U107" s="147">
        <v>3.727338</v>
      </c>
      <c r="V107" s="147">
        <v>1.3480859999999999</v>
      </c>
      <c r="W107"/>
      <c r="X107"/>
      <c r="Y107"/>
      <c r="Z107"/>
    </row>
    <row r="108" spans="1:26" ht="15">
      <c r="A108" s="204"/>
      <c r="B108" s="144" t="s">
        <v>5</v>
      </c>
      <c r="C108" s="147">
        <v>56.908338999999998</v>
      </c>
      <c r="D108" s="147">
        <v>46.206065000000002</v>
      </c>
      <c r="E108" s="147">
        <v>50.516177999999996</v>
      </c>
      <c r="F108" s="147">
        <v>45.545817999999997</v>
      </c>
      <c r="G108" s="147">
        <v>55.351522000000003</v>
      </c>
      <c r="H108" s="147">
        <v>56.430290999999997</v>
      </c>
      <c r="I108" s="147">
        <v>95.158366999999998</v>
      </c>
      <c r="J108" s="147">
        <v>65.080791000000005</v>
      </c>
      <c r="K108" s="147">
        <v>51.688220999999999</v>
      </c>
      <c r="L108" s="147">
        <v>25.474623000000001</v>
      </c>
      <c r="M108" s="147">
        <v>32.837836000000003</v>
      </c>
      <c r="N108" s="147">
        <v>42.931705999999998</v>
      </c>
      <c r="O108" s="147">
        <v>55.716776000000003</v>
      </c>
      <c r="P108" s="147">
        <v>48.413311</v>
      </c>
      <c r="Q108" s="147">
        <v>96.628545000000003</v>
      </c>
      <c r="R108" s="147">
        <v>66.984110999999999</v>
      </c>
      <c r="S108" s="147">
        <v>95.385334</v>
      </c>
      <c r="T108" s="147">
        <v>74.330708999999999</v>
      </c>
      <c r="U108" s="147">
        <v>158.183166</v>
      </c>
      <c r="V108" s="147">
        <v>54.105573999999997</v>
      </c>
      <c r="W108"/>
      <c r="X108"/>
      <c r="Y108"/>
      <c r="Z108"/>
    </row>
    <row r="109" spans="1:26" ht="15">
      <c r="A109" s="204"/>
      <c r="B109" s="144" t="s">
        <v>4</v>
      </c>
      <c r="C109" s="147">
        <v>19.072745000000001</v>
      </c>
      <c r="D109" s="147">
        <v>17.886313000000001</v>
      </c>
      <c r="E109" s="147">
        <v>25.114194999999999</v>
      </c>
      <c r="F109" s="147">
        <v>25.220663999999999</v>
      </c>
      <c r="G109" s="147">
        <v>23.092976</v>
      </c>
      <c r="H109" s="147">
        <v>25.995988000000001</v>
      </c>
      <c r="I109" s="147">
        <v>29.446832000000001</v>
      </c>
      <c r="J109" s="147">
        <v>27.697894000000002</v>
      </c>
      <c r="K109" s="147">
        <v>24.130369999999999</v>
      </c>
      <c r="L109" s="147">
        <v>19.519107999999999</v>
      </c>
      <c r="M109" s="147">
        <v>16.157102999999999</v>
      </c>
      <c r="N109" s="147">
        <v>18.675559</v>
      </c>
      <c r="O109" s="147">
        <v>17.870415000000001</v>
      </c>
      <c r="P109" s="147">
        <v>21.260427</v>
      </c>
      <c r="Q109" s="147">
        <v>24.423739000000001</v>
      </c>
      <c r="R109" s="147">
        <v>24.434999999999999</v>
      </c>
      <c r="S109" s="147">
        <v>29.294612000000001</v>
      </c>
      <c r="T109" s="147">
        <v>23.157672000000002</v>
      </c>
      <c r="U109" s="147">
        <v>29.080002</v>
      </c>
      <c r="V109" s="147">
        <v>7.8394870000000001</v>
      </c>
      <c r="W109"/>
      <c r="X109"/>
      <c r="Y109"/>
      <c r="Z109"/>
    </row>
    <row r="110" spans="1:26" ht="15">
      <c r="A110" s="204"/>
      <c r="B110" s="144" t="s">
        <v>22</v>
      </c>
      <c r="C110" s="147">
        <v>0.76242299999999996</v>
      </c>
      <c r="D110" s="147">
        <v>0.64657299999999995</v>
      </c>
      <c r="E110" s="147">
        <v>0.83729399999999998</v>
      </c>
      <c r="F110" s="147">
        <v>0.53889699999999996</v>
      </c>
      <c r="G110" s="147">
        <v>0.75060099999999996</v>
      </c>
      <c r="H110" s="147">
        <v>0.53101500000000001</v>
      </c>
      <c r="I110" s="147">
        <v>0.70239399999999996</v>
      </c>
      <c r="J110" s="147">
        <v>0.81645199999999996</v>
      </c>
      <c r="K110" s="147">
        <v>0.78290899999999997</v>
      </c>
      <c r="L110" s="147">
        <v>0.813334</v>
      </c>
      <c r="M110" s="147">
        <v>0.85025300000000004</v>
      </c>
      <c r="N110" s="147">
        <v>0.89945200000000003</v>
      </c>
      <c r="O110" s="147">
        <v>0.96332899999999999</v>
      </c>
      <c r="P110" s="147">
        <v>0.82279800000000003</v>
      </c>
      <c r="Q110" s="147">
        <v>0.90105000000000002</v>
      </c>
      <c r="R110" s="147">
        <v>0.89633300000000005</v>
      </c>
      <c r="S110" s="147">
        <v>0.94455500000000003</v>
      </c>
      <c r="T110" s="147">
        <v>0.82330000000000003</v>
      </c>
      <c r="U110" s="147">
        <v>0.893343</v>
      </c>
      <c r="V110" s="147">
        <v>0.174682</v>
      </c>
      <c r="W110"/>
      <c r="X110"/>
      <c r="Y110"/>
      <c r="Z110"/>
    </row>
    <row r="111" spans="1:26" ht="15">
      <c r="A111" s="204"/>
      <c r="B111" s="149" t="s">
        <v>2</v>
      </c>
      <c r="C111" s="150">
        <v>755.28721099999996</v>
      </c>
      <c r="D111" s="150">
        <v>682.423585</v>
      </c>
      <c r="E111" s="150">
        <v>729.89673000000005</v>
      </c>
      <c r="F111" s="150">
        <v>703.22569899999996</v>
      </c>
      <c r="G111" s="150">
        <v>715.94839200000001</v>
      </c>
      <c r="H111" s="150">
        <v>707.39982899999995</v>
      </c>
      <c r="I111" s="150">
        <v>759.04315999999994</v>
      </c>
      <c r="J111" s="150">
        <v>782.33435199999997</v>
      </c>
      <c r="K111" s="150">
        <v>764.78140499999995</v>
      </c>
      <c r="L111" s="150">
        <v>782.04553099999998</v>
      </c>
      <c r="M111" s="150">
        <v>721.25363000000004</v>
      </c>
      <c r="N111" s="150">
        <v>740.49856499999999</v>
      </c>
      <c r="O111" s="150">
        <v>755.320877</v>
      </c>
      <c r="P111" s="150">
        <v>678.46988999999996</v>
      </c>
      <c r="Q111" s="150">
        <v>737.89507000000003</v>
      </c>
      <c r="R111" s="150">
        <v>700.87946699999998</v>
      </c>
      <c r="S111" s="150">
        <v>724.22522400000003</v>
      </c>
      <c r="T111" s="150">
        <v>714.49042199999997</v>
      </c>
      <c r="U111" s="150">
        <v>764.59247200000004</v>
      </c>
      <c r="V111" s="150">
        <v>298.00809099999998</v>
      </c>
      <c r="W111"/>
      <c r="X111"/>
      <c r="Y111"/>
      <c r="Z111"/>
    </row>
    <row r="112" spans="1:26" ht="15">
      <c r="A112" s="205"/>
      <c r="B112" s="149" t="s">
        <v>85</v>
      </c>
      <c r="C112" s="150">
        <v>755.28721099999996</v>
      </c>
      <c r="D112" s="150">
        <v>682.423585</v>
      </c>
      <c r="E112" s="150">
        <v>729.89673000000005</v>
      </c>
      <c r="F112" s="150">
        <v>703.22569899999996</v>
      </c>
      <c r="G112" s="150">
        <v>715.94839200000001</v>
      </c>
      <c r="H112" s="150">
        <v>707.39982899999995</v>
      </c>
      <c r="I112" s="150">
        <v>759.04315999999994</v>
      </c>
      <c r="J112" s="150">
        <v>782.33435199999997</v>
      </c>
      <c r="K112" s="150">
        <v>764.78140499999995</v>
      </c>
      <c r="L112" s="150">
        <v>782.04553099999998</v>
      </c>
      <c r="M112" s="150">
        <v>721.25363000000004</v>
      </c>
      <c r="N112" s="150">
        <v>740.49856499999999</v>
      </c>
      <c r="O112" s="150">
        <v>755.320877</v>
      </c>
      <c r="P112" s="150">
        <v>678.46988999999996</v>
      </c>
      <c r="Q112" s="150">
        <v>737.89507000000003</v>
      </c>
      <c r="R112" s="150">
        <v>700.87946699999998</v>
      </c>
      <c r="S112" s="150">
        <v>724.22522400000003</v>
      </c>
      <c r="T112" s="150">
        <v>714.49042199999997</v>
      </c>
      <c r="U112" s="150">
        <v>764.59247200000004</v>
      </c>
      <c r="V112" s="150">
        <v>298.00809099999998</v>
      </c>
      <c r="W112"/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01" t="s">
        <v>75</v>
      </c>
      <c r="C117" s="120" t="str">
        <f>TEXT(EDATE(D117,-1),"mmmm aaaa")</f>
        <v>julio 2018</v>
      </c>
      <c r="D117" s="120" t="str">
        <f t="shared" ref="D117:M117" si="2">TEXT(EDATE(E117,-1),"mmmm aaaa")</f>
        <v>agosto 2018</v>
      </c>
      <c r="E117" s="120" t="str">
        <f t="shared" si="2"/>
        <v>septiembre 2018</v>
      </c>
      <c r="F117" s="120" t="str">
        <f t="shared" si="2"/>
        <v>octubre 2018</v>
      </c>
      <c r="G117" s="120" t="str">
        <f t="shared" si="2"/>
        <v>noviembre 2018</v>
      </c>
      <c r="H117" s="120" t="str">
        <f t="shared" si="2"/>
        <v>diciembre 2018</v>
      </c>
      <c r="I117" s="120" t="str">
        <f t="shared" si="2"/>
        <v>enero 2019</v>
      </c>
      <c r="J117" s="120" t="str">
        <f t="shared" si="2"/>
        <v>febrero 2019</v>
      </c>
      <c r="K117" s="120" t="str">
        <f t="shared" si="2"/>
        <v>marzo 2019</v>
      </c>
      <c r="L117" s="120" t="str">
        <f t="shared" si="2"/>
        <v>abril 2019</v>
      </c>
      <c r="M117" s="120" t="str">
        <f t="shared" si="2"/>
        <v>mayo 2019</v>
      </c>
      <c r="N117" s="120" t="str">
        <f>TEXT(EDATE(O117,-1),"mmmm aaaa")</f>
        <v>junio 2019</v>
      </c>
      <c r="O117" s="121" t="str">
        <f>A2</f>
        <v>Julio 2019</v>
      </c>
    </row>
    <row r="118" spans="1:19">
      <c r="B118" s="202"/>
      <c r="C118" s="131" t="str">
        <f>TEXT(EDATE($A$2,-12),"mmm")&amp;".-"&amp;TEXT(EDATE($A$2,-12),"aa")</f>
        <v>jul.-18</v>
      </c>
      <c r="D118" s="131" t="str">
        <f>TEXT(EDATE($A$2,-11),"mmm")&amp;".-"&amp;TEXT(EDATE($A$2,-11),"aa")</f>
        <v>ago.-18</v>
      </c>
      <c r="E118" s="131" t="str">
        <f>TEXT(EDATE($A$2,-10),"mmm")&amp;".-"&amp;TEXT(EDATE($A$2,-10),"aa")</f>
        <v>sep.-18</v>
      </c>
      <c r="F118" s="131" t="str">
        <f>TEXT(EDATE($A$2,-9),"mmm")&amp;".-"&amp;TEXT(EDATE($A$2,-9),"aa")</f>
        <v>oct.-18</v>
      </c>
      <c r="G118" s="131" t="str">
        <f>TEXT(EDATE($A$2,-8),"mmm")&amp;".-"&amp;TEXT(EDATE($A$2,-8),"aa")</f>
        <v>nov.-18</v>
      </c>
      <c r="H118" s="131" t="str">
        <f>TEXT(EDATE($A$2,-7),"mmm")&amp;".-"&amp;TEXT(EDATE($A$2,-7),"aa")</f>
        <v>dic.-18</v>
      </c>
      <c r="I118" s="131" t="str">
        <f>TEXT(EDATE($A$2,-6),"mmm")&amp;".-"&amp;TEXT(EDATE($A$2,-6),"aa")</f>
        <v>ene.-19</v>
      </c>
      <c r="J118" s="131" t="str">
        <f>TEXT(EDATE($A$2,-5),"mmm")&amp;".-"&amp;TEXT(EDATE($A$2,-5),"aa")</f>
        <v>feb.-19</v>
      </c>
      <c r="K118" s="131" t="str">
        <f>TEXT(EDATE($A$2,-4),"mmm")&amp;".-"&amp;TEXT(EDATE($A$2,-4),"aa")</f>
        <v>mar.-19</v>
      </c>
      <c r="L118" s="131" t="str">
        <f>TEXT(EDATE($A$2,-3),"mmm")&amp;".-"&amp;TEXT(EDATE($A$2,-3),"aa")</f>
        <v>abr.-19</v>
      </c>
      <c r="M118" s="131" t="str">
        <f>TEXT(EDATE($A$2,-2),"mmm")&amp;".-"&amp;TEXT(EDATE($A$2,-2),"aa")</f>
        <v>may.-19</v>
      </c>
      <c r="N118" s="131" t="str">
        <f>TEXT(EDATE($A$2,-1),"mmm")&amp;".-"&amp;TEXT(EDATE($A$2,-1),"aa")</f>
        <v>jun.-19</v>
      </c>
      <c r="O118" s="160" t="str">
        <f>TEXT($A$2,"mmm")&amp;".-"&amp;TEXT($A$2,"aa")</f>
        <v>jul.-19</v>
      </c>
    </row>
    <row r="119" spans="1:19">
      <c r="A119" s="198" t="s">
        <v>78</v>
      </c>
      <c r="B119" s="132" t="s">
        <v>11</v>
      </c>
      <c r="C119" s="133">
        <f>HLOOKUP(C$117,$86:$101,3,FALSE)</f>
        <v>242.068479</v>
      </c>
      <c r="D119" s="133">
        <f t="shared" ref="D119:O119" si="3">HLOOKUP(D$117,$86:$101,3,FALSE)</f>
        <v>257.31310999999999</v>
      </c>
      <c r="E119" s="133">
        <f t="shared" si="3"/>
        <v>250.63039499999999</v>
      </c>
      <c r="F119" s="133">
        <f t="shared" si="3"/>
        <v>186.34634299999999</v>
      </c>
      <c r="G119" s="133">
        <f t="shared" si="3"/>
        <v>105.71835900000001</v>
      </c>
      <c r="H119" s="133">
        <f t="shared" si="3"/>
        <v>181.17789999999999</v>
      </c>
      <c r="I119" s="133">
        <f t="shared" si="3"/>
        <v>216.788162</v>
      </c>
      <c r="J119" s="133">
        <f t="shared" si="3"/>
        <v>163.68409500000001</v>
      </c>
      <c r="K119" s="133">
        <f t="shared" si="3"/>
        <v>141.02476799999999</v>
      </c>
      <c r="L119" s="133">
        <f t="shared" si="3"/>
        <v>126.20684799999999</v>
      </c>
      <c r="M119" s="133">
        <f t="shared" si="3"/>
        <v>121.49093499999999</v>
      </c>
      <c r="N119" s="133">
        <f t="shared" si="3"/>
        <v>98.710933999999995</v>
      </c>
      <c r="O119" s="134">
        <f t="shared" si="3"/>
        <v>173.44610299999999</v>
      </c>
    </row>
    <row r="120" spans="1:19">
      <c r="A120" s="199"/>
      <c r="B120" s="122" t="s">
        <v>10</v>
      </c>
      <c r="C120" s="116">
        <f>HLOOKUP(C$117,$86:$101,4,FALSE)</f>
        <v>82.636359999999996</v>
      </c>
      <c r="D120" s="116">
        <f t="shared" ref="D120:O120" si="4">HLOOKUP(D$117,$86:$101,4,FALSE)</f>
        <v>89.525766000000004</v>
      </c>
      <c r="E120" s="116">
        <f t="shared" si="4"/>
        <v>72.079989999999995</v>
      </c>
      <c r="F120" s="116">
        <f t="shared" si="4"/>
        <v>57.771937999999999</v>
      </c>
      <c r="G120" s="116">
        <f t="shared" si="4"/>
        <v>42.036839000000001</v>
      </c>
      <c r="H120" s="116">
        <f t="shared" si="4"/>
        <v>32.932130000000001</v>
      </c>
      <c r="I120" s="116">
        <f t="shared" si="4"/>
        <v>35.212248000000002</v>
      </c>
      <c r="J120" s="116">
        <f t="shared" si="4"/>
        <v>26.576927000000001</v>
      </c>
      <c r="K120" s="116">
        <f t="shared" si="4"/>
        <v>16.635784999999998</v>
      </c>
      <c r="L120" s="116">
        <f t="shared" si="4"/>
        <v>30.202653000000002</v>
      </c>
      <c r="M120" s="116">
        <f t="shared" si="4"/>
        <v>33.599820999999999</v>
      </c>
      <c r="N120" s="116">
        <f t="shared" si="4"/>
        <v>49.833764000000002</v>
      </c>
      <c r="O120" s="134">
        <f t="shared" si="4"/>
        <v>64.359393999999995</v>
      </c>
    </row>
    <row r="121" spans="1:19">
      <c r="A121" s="199"/>
      <c r="B121" s="122" t="s">
        <v>9</v>
      </c>
      <c r="C121" s="116">
        <f>HLOOKUP(C$117,$86:$101,5,FALSE)</f>
        <v>95.847725999999994</v>
      </c>
      <c r="D121" s="116">
        <f t="shared" ref="D121:O121" si="5">HLOOKUP(D$117,$86:$101,5,FALSE)</f>
        <v>91.166568999999996</v>
      </c>
      <c r="E121" s="116">
        <f t="shared" si="5"/>
        <v>75.102127999999993</v>
      </c>
      <c r="F121" s="116">
        <f t="shared" si="5"/>
        <v>54.458812999999999</v>
      </c>
      <c r="G121" s="116">
        <f t="shared" si="5"/>
        <v>47.932189000000001</v>
      </c>
      <c r="H121" s="116">
        <f t="shared" si="5"/>
        <v>19.365110999999999</v>
      </c>
      <c r="I121" s="116">
        <f t="shared" si="5"/>
        <v>22.524488000000002</v>
      </c>
      <c r="J121" s="116">
        <f t="shared" si="5"/>
        <v>22.600860000000001</v>
      </c>
      <c r="K121" s="116">
        <f t="shared" si="5"/>
        <v>34.548490999999999</v>
      </c>
      <c r="L121" s="116">
        <f t="shared" si="5"/>
        <v>30.171469999999999</v>
      </c>
      <c r="M121" s="116">
        <f t="shared" si="5"/>
        <v>27.505562000000001</v>
      </c>
      <c r="N121" s="116">
        <f t="shared" si="5"/>
        <v>38.491146999999998</v>
      </c>
      <c r="O121" s="134">
        <f t="shared" si="5"/>
        <v>72.469969000000006</v>
      </c>
    </row>
    <row r="122" spans="1:19" ht="14.25">
      <c r="A122" s="199"/>
      <c r="B122" s="122" t="s">
        <v>76</v>
      </c>
      <c r="C122" s="116">
        <f>HLOOKUP(C$117,$86:$101,6,FALSE)</f>
        <v>53.754595000000002</v>
      </c>
      <c r="D122" s="116">
        <f t="shared" ref="D122:O122" si="6">HLOOKUP(D$117,$86:$101,6,FALSE)</f>
        <v>62.510635000000001</v>
      </c>
      <c r="E122" s="116">
        <f t="shared" si="6"/>
        <v>31.103935</v>
      </c>
      <c r="F122" s="116">
        <f t="shared" si="6"/>
        <v>45.569164000000001</v>
      </c>
      <c r="G122" s="116">
        <f t="shared" si="6"/>
        <v>109.56093300000001</v>
      </c>
      <c r="H122" s="116">
        <f t="shared" si="6"/>
        <v>38.724245000000003</v>
      </c>
      <c r="I122" s="116">
        <f t="shared" si="6"/>
        <v>34.412135999999997</v>
      </c>
      <c r="J122" s="116">
        <f t="shared" si="6"/>
        <v>55.402149000000001</v>
      </c>
      <c r="K122" s="116">
        <f t="shared" si="6"/>
        <v>83.928335000000004</v>
      </c>
      <c r="L122" s="116">
        <f t="shared" si="6"/>
        <v>93.323053000000002</v>
      </c>
      <c r="M122" s="116">
        <f t="shared" si="6"/>
        <v>103.560644</v>
      </c>
      <c r="N122" s="116">
        <f t="shared" si="6"/>
        <v>148.873491</v>
      </c>
      <c r="O122" s="134">
        <f t="shared" si="6"/>
        <v>160.980031</v>
      </c>
    </row>
    <row r="123" spans="1:19">
      <c r="A123" s="199"/>
      <c r="B123" s="122" t="s">
        <v>24</v>
      </c>
      <c r="C123" s="116">
        <f>HLOOKUP(C$117,$86:$101,7,FALSE)</f>
        <v>3.4087329999999998</v>
      </c>
      <c r="D123" s="116">
        <f t="shared" ref="D123:O123" si="7">HLOOKUP(D$117,$86:$101,7,FALSE)</f>
        <v>5.1961240000000002</v>
      </c>
      <c r="E123" s="116">
        <f t="shared" si="7"/>
        <v>2.2653319999999999</v>
      </c>
      <c r="F123" s="116">
        <f t="shared" si="7"/>
        <v>0.27849499999999999</v>
      </c>
      <c r="G123" s="116">
        <f t="shared" si="7"/>
        <v>0</v>
      </c>
      <c r="H123" s="116">
        <f t="shared" si="7"/>
        <v>0</v>
      </c>
      <c r="I123" s="116">
        <f t="shared" si="7"/>
        <v>0</v>
      </c>
      <c r="J123" s="116">
        <f t="shared" si="7"/>
        <v>0</v>
      </c>
      <c r="K123" s="116">
        <f t="shared" si="7"/>
        <v>0</v>
      </c>
      <c r="L123" s="116">
        <f t="shared" si="7"/>
        <v>0</v>
      </c>
      <c r="M123" s="116">
        <f t="shared" si="7"/>
        <v>0.182169</v>
      </c>
      <c r="N123" s="116">
        <f t="shared" si="7"/>
        <v>1.4050560000000001</v>
      </c>
      <c r="O123" s="134">
        <f t="shared" si="7"/>
        <v>4.1422929999999996</v>
      </c>
    </row>
    <row r="124" spans="1:19">
      <c r="A124" s="199"/>
      <c r="B124" s="122" t="s">
        <v>5</v>
      </c>
      <c r="C124" s="116">
        <f>HLOOKUP(C$117,$86:$102,8,FALSE)</f>
        <v>0.13932900000000001</v>
      </c>
      <c r="D124" s="116">
        <f t="shared" ref="D124:O124" si="8">HLOOKUP(D$117,$86:$102,8,FALSE)</f>
        <v>0.19220799999999999</v>
      </c>
      <c r="E124" s="116">
        <f t="shared" si="8"/>
        <v>0.19817599999999999</v>
      </c>
      <c r="F124" s="116">
        <f t="shared" si="8"/>
        <v>0.620313</v>
      </c>
      <c r="G124" s="116">
        <f t="shared" si="8"/>
        <v>0.555396</v>
      </c>
      <c r="H124" s="116">
        <f t="shared" si="8"/>
        <v>0.41894799999999999</v>
      </c>
      <c r="I124" s="116">
        <f t="shared" si="8"/>
        <v>0.805427</v>
      </c>
      <c r="J124" s="116">
        <f t="shared" si="8"/>
        <v>0.49932900000000002</v>
      </c>
      <c r="K124" s="116">
        <f t="shared" si="8"/>
        <v>0.70238800000000001</v>
      </c>
      <c r="L124" s="116">
        <f t="shared" si="8"/>
        <v>0.63947100000000001</v>
      </c>
      <c r="M124" s="116">
        <f t="shared" si="8"/>
        <v>0.653721</v>
      </c>
      <c r="N124" s="116">
        <f t="shared" si="8"/>
        <v>0.34985300000000003</v>
      </c>
      <c r="O124" s="134">
        <f t="shared" si="8"/>
        <v>0.23036599999999999</v>
      </c>
    </row>
    <row r="125" spans="1:19">
      <c r="A125" s="199"/>
      <c r="B125" s="122" t="s">
        <v>4</v>
      </c>
      <c r="C125" s="116">
        <f>HLOOKUP(C$117,$86:$102,9,FALSE)</f>
        <v>13.412572000000001</v>
      </c>
      <c r="D125" s="116">
        <f t="shared" ref="D125:O125" si="9">HLOOKUP(D$117,$86:$102,9,FALSE)</f>
        <v>11.599539999999999</v>
      </c>
      <c r="E125" s="116">
        <f t="shared" si="9"/>
        <v>9.3011130000000009</v>
      </c>
      <c r="F125" s="116">
        <f t="shared" si="9"/>
        <v>8.042586</v>
      </c>
      <c r="G125" s="116">
        <f t="shared" si="9"/>
        <v>5.9828039999999998</v>
      </c>
      <c r="H125" s="116">
        <f t="shared" si="9"/>
        <v>6.6722400000000004</v>
      </c>
      <c r="I125" s="116">
        <f t="shared" si="9"/>
        <v>7.2773659999999998</v>
      </c>
      <c r="J125" s="116">
        <f t="shared" si="9"/>
        <v>9.3391369999999991</v>
      </c>
      <c r="K125" s="116">
        <f t="shared" si="9"/>
        <v>11.280421</v>
      </c>
      <c r="L125" s="116">
        <f t="shared" si="9"/>
        <v>10.643307999999999</v>
      </c>
      <c r="M125" s="116">
        <f t="shared" si="9"/>
        <v>12.906663999999999</v>
      </c>
      <c r="N125" s="116">
        <f t="shared" si="9"/>
        <v>13.247464000000001</v>
      </c>
      <c r="O125" s="134">
        <f t="shared" si="9"/>
        <v>12.374898</v>
      </c>
    </row>
    <row r="126" spans="1:19">
      <c r="A126" s="199"/>
      <c r="B126" s="123" t="s">
        <v>22</v>
      </c>
      <c r="C126" s="116">
        <f>HLOOKUP(C$117,$86:$102,10,FALSE)</f>
        <v>5.7736999999999997E-2</v>
      </c>
      <c r="D126" s="116">
        <f t="shared" ref="D126:O126" si="10">HLOOKUP(D$117,$86:$102,10,FALSE)</f>
        <v>5.6852E-2</v>
      </c>
      <c r="E126" s="116">
        <f t="shared" si="10"/>
        <v>1.917E-2</v>
      </c>
      <c r="F126" s="116">
        <f t="shared" si="10"/>
        <v>6.0415000000000003E-2</v>
      </c>
      <c r="G126" s="116">
        <f t="shared" si="10"/>
        <v>6.8765999999999994E-2</v>
      </c>
      <c r="H126" s="116">
        <f t="shared" si="10"/>
        <v>0.13137799999999999</v>
      </c>
      <c r="I126" s="116">
        <f t="shared" si="10"/>
        <v>0.107643</v>
      </c>
      <c r="J126" s="116">
        <f t="shared" si="10"/>
        <v>8.2346000000000003E-2</v>
      </c>
      <c r="K126" s="116">
        <f t="shared" si="10"/>
        <v>0.111343</v>
      </c>
      <c r="L126" s="116">
        <f t="shared" si="10"/>
        <v>8.9931999999999998E-2</v>
      </c>
      <c r="M126" s="116">
        <f t="shared" si="10"/>
        <v>5.4199999999999998E-2</v>
      </c>
      <c r="N126" s="116">
        <f t="shared" si="10"/>
        <v>0.12551699999999999</v>
      </c>
      <c r="O126" s="134">
        <f t="shared" si="10"/>
        <v>9.8985000000000004E-2</v>
      </c>
    </row>
    <row r="127" spans="1:19">
      <c r="A127" s="199"/>
      <c r="B127" s="123" t="s">
        <v>23</v>
      </c>
      <c r="C127" s="116">
        <f>HLOOKUP(C$117,$86:$102,11,FALSE)</f>
        <v>3.5655640000000002</v>
      </c>
      <c r="D127" s="116">
        <f t="shared" ref="D127:O127" si="11">HLOOKUP(D$117,$86:$102,11,FALSE)</f>
        <v>3.5154580000000002</v>
      </c>
      <c r="E127" s="116">
        <f t="shared" si="11"/>
        <v>2.43655</v>
      </c>
      <c r="F127" s="116">
        <f t="shared" si="11"/>
        <v>2.5715089999999998</v>
      </c>
      <c r="G127" s="116">
        <f t="shared" si="11"/>
        <v>3.145667</v>
      </c>
      <c r="H127" s="116">
        <f t="shared" si="11"/>
        <v>3.260389</v>
      </c>
      <c r="I127" s="116">
        <f t="shared" si="11"/>
        <v>3.3415469999999998</v>
      </c>
      <c r="J127" s="116">
        <f t="shared" si="11"/>
        <v>3.483536</v>
      </c>
      <c r="K127" s="116">
        <f t="shared" si="11"/>
        <v>3.2674569999999998</v>
      </c>
      <c r="L127" s="116">
        <f t="shared" si="11"/>
        <v>2.9153180000000001</v>
      </c>
      <c r="M127" s="116">
        <f t="shared" si="11"/>
        <v>2.2857509999999999</v>
      </c>
      <c r="N127" s="116">
        <f t="shared" si="11"/>
        <v>2.3003499999999999</v>
      </c>
      <c r="O127" s="134">
        <f t="shared" si="11"/>
        <v>1.194464</v>
      </c>
    </row>
    <row r="128" spans="1:19">
      <c r="A128" s="199"/>
      <c r="B128" s="122" t="s">
        <v>55</v>
      </c>
      <c r="C128" s="116">
        <f t="shared" ref="C128:O128" si="12">HLOOKUP(C$117,$86:$102,13,FALSE)</f>
        <v>14.429119</v>
      </c>
      <c r="D128" s="116">
        <f t="shared" si="12"/>
        <v>14.9613625</v>
      </c>
      <c r="E128" s="116">
        <f t="shared" si="12"/>
        <v>13.4535695</v>
      </c>
      <c r="F128" s="116">
        <f t="shared" si="12"/>
        <v>13.8976735</v>
      </c>
      <c r="G128" s="116">
        <f t="shared" si="12"/>
        <v>7.0333759999999996</v>
      </c>
      <c r="H128" s="116">
        <f t="shared" si="12"/>
        <v>13.124928499999999</v>
      </c>
      <c r="I128" s="116">
        <f t="shared" si="12"/>
        <v>9.5605395000000009</v>
      </c>
      <c r="J128" s="116">
        <f t="shared" si="12"/>
        <v>6.8600294999999996</v>
      </c>
      <c r="K128" s="116">
        <f t="shared" si="12"/>
        <v>11.083662500000001</v>
      </c>
      <c r="L128" s="116">
        <f t="shared" si="12"/>
        <v>13.4563305</v>
      </c>
      <c r="M128" s="116">
        <f t="shared" si="12"/>
        <v>13.087209</v>
      </c>
      <c r="N128" s="116">
        <f t="shared" si="12"/>
        <v>13.341946</v>
      </c>
      <c r="O128" s="134">
        <f t="shared" si="12"/>
        <v>14.4424645</v>
      </c>
    </row>
    <row r="129" spans="1:15">
      <c r="A129" s="199"/>
      <c r="B129" s="122" t="s">
        <v>54</v>
      </c>
      <c r="C129" s="116">
        <f>HLOOKUP(C$117,$86:$102,12,FALSE)</f>
        <v>14.429119</v>
      </c>
      <c r="D129" s="116">
        <f t="shared" ref="D129:O129" si="13">HLOOKUP(D$117,$86:$102,12,FALSE)</f>
        <v>14.9613625</v>
      </c>
      <c r="E129" s="116">
        <f t="shared" si="13"/>
        <v>13.4535695</v>
      </c>
      <c r="F129" s="116">
        <f t="shared" si="13"/>
        <v>13.8976735</v>
      </c>
      <c r="G129" s="116">
        <f t="shared" si="13"/>
        <v>7.0333759999999996</v>
      </c>
      <c r="H129" s="116">
        <f t="shared" si="13"/>
        <v>13.124928499999999</v>
      </c>
      <c r="I129" s="116">
        <f t="shared" si="13"/>
        <v>9.5605395000000009</v>
      </c>
      <c r="J129" s="116">
        <f t="shared" si="13"/>
        <v>6.8600294999999996</v>
      </c>
      <c r="K129" s="116">
        <f t="shared" si="13"/>
        <v>11.083662500000001</v>
      </c>
      <c r="L129" s="116">
        <f t="shared" si="13"/>
        <v>13.4563305</v>
      </c>
      <c r="M129" s="116">
        <f t="shared" si="13"/>
        <v>13.087209</v>
      </c>
      <c r="N129" s="116">
        <f t="shared" si="13"/>
        <v>13.341946</v>
      </c>
      <c r="O129" s="134">
        <f t="shared" si="13"/>
        <v>14.4424645</v>
      </c>
    </row>
    <row r="130" spans="1:15">
      <c r="A130" s="199"/>
      <c r="B130" s="124" t="s">
        <v>2</v>
      </c>
      <c r="C130" s="125">
        <f>HLOOKUP(C$117,$86:$102,14,FALSE)</f>
        <v>523.74933299999998</v>
      </c>
      <c r="D130" s="125">
        <f t="shared" ref="D130:O130" si="14">HLOOKUP(D$117,$86:$102,14,FALSE)</f>
        <v>550.99898700000006</v>
      </c>
      <c r="E130" s="125">
        <f t="shared" si="14"/>
        <v>470.04392799999999</v>
      </c>
      <c r="F130" s="125">
        <f t="shared" si="14"/>
        <v>383.51492300000001</v>
      </c>
      <c r="G130" s="125">
        <f t="shared" si="14"/>
        <v>329.06770499999999</v>
      </c>
      <c r="H130" s="125">
        <f t="shared" si="14"/>
        <v>308.93219800000003</v>
      </c>
      <c r="I130" s="125">
        <f t="shared" si="14"/>
        <v>339.59009600000002</v>
      </c>
      <c r="J130" s="125">
        <f t="shared" si="14"/>
        <v>295.38843800000001</v>
      </c>
      <c r="K130" s="125">
        <f t="shared" si="14"/>
        <v>313.666313</v>
      </c>
      <c r="L130" s="125">
        <f t="shared" si="14"/>
        <v>321.104714</v>
      </c>
      <c r="M130" s="125">
        <f t="shared" si="14"/>
        <v>328.41388499999999</v>
      </c>
      <c r="N130" s="125">
        <f t="shared" si="14"/>
        <v>380.02146800000003</v>
      </c>
      <c r="O130" s="135">
        <f t="shared" si="14"/>
        <v>518.18143199999997</v>
      </c>
    </row>
    <row r="131" spans="1:15">
      <c r="A131" s="199"/>
      <c r="B131" s="122" t="s">
        <v>21</v>
      </c>
      <c r="C131" s="126">
        <f>HLOOKUP(C$117,$86:$102,15,FALSE)</f>
        <v>161.79160300000001</v>
      </c>
      <c r="D131" s="126">
        <f t="shared" ref="D131:O131" si="15">HLOOKUP(D$117,$86:$102,15,FALSE)</f>
        <v>153.133589</v>
      </c>
      <c r="E131" s="126">
        <f t="shared" si="15"/>
        <v>107.931268</v>
      </c>
      <c r="F131" s="126">
        <f t="shared" si="15"/>
        <v>92.007576999999998</v>
      </c>
      <c r="G131" s="126">
        <f t="shared" si="15"/>
        <v>65.068314999999998</v>
      </c>
      <c r="H131" s="126">
        <f t="shared" si="15"/>
        <v>112.575441</v>
      </c>
      <c r="I131" s="126">
        <f t="shared" si="15"/>
        <v>137.254998</v>
      </c>
      <c r="J131" s="126">
        <f t="shared" si="15"/>
        <v>119.223619</v>
      </c>
      <c r="K131" s="126">
        <f t="shared" si="15"/>
        <v>122.32533599999999</v>
      </c>
      <c r="L131" s="126">
        <f t="shared" si="15"/>
        <v>124.430774</v>
      </c>
      <c r="M131" s="126">
        <f t="shared" si="15"/>
        <v>143.16130000000001</v>
      </c>
      <c r="N131" s="126">
        <f t="shared" si="15"/>
        <v>159.634671</v>
      </c>
      <c r="O131" s="126">
        <f t="shared" si="15"/>
        <v>201.16611399999999</v>
      </c>
    </row>
    <row r="132" spans="1:15">
      <c r="A132" s="199"/>
      <c r="B132" s="127" t="s">
        <v>1</v>
      </c>
      <c r="C132" s="128">
        <f>HLOOKUP(C$117,$86:$102,16,FALSE)</f>
        <v>685.54093599999999</v>
      </c>
      <c r="D132" s="128">
        <f t="shared" ref="D132:O132" si="16">HLOOKUP(D$117,$86:$102,16,FALSE)</f>
        <v>704.13257599999997</v>
      </c>
      <c r="E132" s="128">
        <f t="shared" si="16"/>
        <v>577.97519599999998</v>
      </c>
      <c r="F132" s="128">
        <f t="shared" si="16"/>
        <v>475.52249999999998</v>
      </c>
      <c r="G132" s="128">
        <f t="shared" si="16"/>
        <v>394.13601999999997</v>
      </c>
      <c r="H132" s="128">
        <f t="shared" si="16"/>
        <v>421.50763899999998</v>
      </c>
      <c r="I132" s="128">
        <f t="shared" si="16"/>
        <v>476.84509400000002</v>
      </c>
      <c r="J132" s="128">
        <f t="shared" si="16"/>
        <v>414.61205699999999</v>
      </c>
      <c r="K132" s="128">
        <f t="shared" si="16"/>
        <v>435.991649</v>
      </c>
      <c r="L132" s="128">
        <f t="shared" si="16"/>
        <v>445.53548799999999</v>
      </c>
      <c r="M132" s="128">
        <f t="shared" si="16"/>
        <v>471.57518499999998</v>
      </c>
      <c r="N132" s="128">
        <f t="shared" si="16"/>
        <v>539.65613900000005</v>
      </c>
      <c r="O132" s="128">
        <f t="shared" si="16"/>
        <v>719.34754599999997</v>
      </c>
    </row>
    <row r="133" spans="1:15" ht="14.25">
      <c r="A133" s="200"/>
      <c r="B133" s="137" t="s">
        <v>77</v>
      </c>
      <c r="C133" s="138">
        <f>C120+C121+C123</f>
        <v>181.892819</v>
      </c>
      <c r="D133" s="138">
        <f>D120+D121+D123</f>
        <v>185.88845900000001</v>
      </c>
      <c r="E133" s="138">
        <f t="shared" ref="E133:O133" si="17">E120+E121+E123</f>
        <v>149.44745</v>
      </c>
      <c r="F133" s="138">
        <f t="shared" si="17"/>
        <v>112.509246</v>
      </c>
      <c r="G133" s="138">
        <f t="shared" si="17"/>
        <v>89.969028000000009</v>
      </c>
      <c r="H133" s="138">
        <f t="shared" si="17"/>
        <v>52.297241</v>
      </c>
      <c r="I133" s="138">
        <f t="shared" si="17"/>
        <v>57.736736000000008</v>
      </c>
      <c r="J133" s="138">
        <f t="shared" si="17"/>
        <v>49.177787000000002</v>
      </c>
      <c r="K133" s="138">
        <f t="shared" si="17"/>
        <v>51.184275999999997</v>
      </c>
      <c r="L133" s="138">
        <f t="shared" si="17"/>
        <v>60.374122999999997</v>
      </c>
      <c r="M133" s="138">
        <f t="shared" si="17"/>
        <v>61.287552000000005</v>
      </c>
      <c r="N133" s="138">
        <f t="shared" si="17"/>
        <v>89.729967000000002</v>
      </c>
      <c r="O133" s="138">
        <f t="shared" si="17"/>
        <v>140.971656</v>
      </c>
    </row>
    <row r="134" spans="1:15">
      <c r="A134" s="198" t="s">
        <v>79</v>
      </c>
      <c r="B134" s="139" t="s">
        <v>75</v>
      </c>
      <c r="C134" s="120" t="str">
        <f>TEXT(EDATE($A$2,-12),"mmm")&amp;".-"&amp;TEXT(EDATE($A$2,-12),"aa")</f>
        <v>jul.-18</v>
      </c>
      <c r="D134" s="120" t="str">
        <f>TEXT(EDATE($A$2,-11),"mmm")&amp;".-"&amp;TEXT(EDATE($A$2,-11),"aa")</f>
        <v>ago.-18</v>
      </c>
      <c r="E134" s="120" t="str">
        <f>TEXT(EDATE($A$2,-10),"mmm")&amp;".-"&amp;TEXT(EDATE($A$2,-10),"aa")</f>
        <v>sep.-18</v>
      </c>
      <c r="F134" s="120" t="str">
        <f>TEXT(EDATE($A$2,-9),"mmm")&amp;".-"&amp;TEXT(EDATE($A$2,-9),"aa")</f>
        <v>oct.-18</v>
      </c>
      <c r="G134" s="120" t="str">
        <f>TEXT(EDATE($A$2,-8),"mmm")&amp;".-"&amp;TEXT(EDATE($A$2,-8),"aa")</f>
        <v>nov.-18</v>
      </c>
      <c r="H134" s="120" t="str">
        <f>TEXT(EDATE($A$2,-7),"mmm")&amp;".-"&amp;TEXT(EDATE($A$2,-7),"aa")</f>
        <v>dic.-18</v>
      </c>
      <c r="I134" s="120" t="str">
        <f>TEXT(EDATE($A$2,-6),"mmm")&amp;".-"&amp;TEXT(EDATE($A$2,-6),"aa")</f>
        <v>ene.-19</v>
      </c>
      <c r="J134" s="120" t="str">
        <f>TEXT(EDATE($A$2,-5),"mmm")&amp;".-"&amp;TEXT(EDATE($A$2,-5),"aa")</f>
        <v>feb.-19</v>
      </c>
      <c r="K134" s="120" t="str">
        <f>TEXT(EDATE($A$2,-4),"mmm")&amp;".-"&amp;TEXT(EDATE($A$2,-4),"aa")</f>
        <v>mar.-19</v>
      </c>
      <c r="L134" s="120" t="str">
        <f>TEXT(EDATE($A$2,-3),"mmm")&amp;".-"&amp;TEXT(EDATE($A$2,-3),"aa")</f>
        <v>abr.-19</v>
      </c>
      <c r="M134" s="120" t="str">
        <f>TEXT(EDATE($A$2,-2),"mmm")&amp;".-"&amp;TEXT(EDATE($A$2,-2),"aa")</f>
        <v>may.-19</v>
      </c>
      <c r="N134" s="120" t="str">
        <f>TEXT(EDATE($A$2,-1),"mmm")&amp;".-"&amp;TEXT(EDATE($A$2,-1),"aa")</f>
        <v>jun.-19</v>
      </c>
      <c r="O134" s="121" t="str">
        <f>TEXT($A$2,"mmm")&amp;".-"&amp;TEXT($A$2,"aa")</f>
        <v>jul.-19</v>
      </c>
    </row>
    <row r="135" spans="1:15" ht="15" customHeight="1">
      <c r="A135" s="199"/>
      <c r="B135" s="122" t="s">
        <v>12</v>
      </c>
      <c r="C135" s="116">
        <f>HLOOKUP(C$117,$86:$115,17,FALSE)</f>
        <v>0.29559600000000003</v>
      </c>
      <c r="D135" s="116">
        <f t="shared" ref="D135:O135" si="18">HLOOKUP(D$117,$86:$115,17,FALSE)</f>
        <v>0.30764000000000002</v>
      </c>
      <c r="E135" s="116">
        <f t="shared" si="18"/>
        <v>0.28839900000000002</v>
      </c>
      <c r="F135" s="116">
        <f t="shared" si="18"/>
        <v>0.297373</v>
      </c>
      <c r="G135" s="116">
        <f t="shared" si="18"/>
        <v>0.28930699999999998</v>
      </c>
      <c r="H135" s="116">
        <f t="shared" si="18"/>
        <v>0.29630699999999999</v>
      </c>
      <c r="I135" s="116">
        <f t="shared" si="18"/>
        <v>0.29291600000000001</v>
      </c>
      <c r="J135" s="116">
        <f t="shared" si="18"/>
        <v>0.26504899999999998</v>
      </c>
      <c r="K135" s="116">
        <f t="shared" si="18"/>
        <v>0.2979</v>
      </c>
      <c r="L135" s="116">
        <f t="shared" si="18"/>
        <v>0.29424499999999998</v>
      </c>
      <c r="M135" s="116">
        <f t="shared" si="18"/>
        <v>0.299674</v>
      </c>
      <c r="N135" s="116">
        <f t="shared" si="18"/>
        <v>0.27668100000000001</v>
      </c>
      <c r="O135" s="161">
        <f t="shared" si="18"/>
        <v>0.29849900000000001</v>
      </c>
    </row>
    <row r="136" spans="1:15">
      <c r="A136" s="199"/>
      <c r="B136" s="122" t="s">
        <v>10</v>
      </c>
      <c r="C136" s="116">
        <f>HLOOKUP(C$117,$86:$115,18,FALSE)</f>
        <v>173.812749</v>
      </c>
      <c r="D136" s="116">
        <f t="shared" ref="D136:O136" si="19">HLOOKUP(D$117,$86:$115,18,FALSE)</f>
        <v>196.42565300000001</v>
      </c>
      <c r="E136" s="116">
        <f t="shared" si="19"/>
        <v>187.12256099999999</v>
      </c>
      <c r="F136" s="116">
        <f t="shared" si="19"/>
        <v>190.675118</v>
      </c>
      <c r="G136" s="116">
        <f t="shared" si="19"/>
        <v>163.85602700000001</v>
      </c>
      <c r="H136" s="116">
        <f t="shared" si="19"/>
        <v>176.651453</v>
      </c>
      <c r="I136" s="116">
        <f t="shared" si="19"/>
        <v>174.26427200000001</v>
      </c>
      <c r="J136" s="116">
        <f t="shared" si="19"/>
        <v>152.846857</v>
      </c>
      <c r="K136" s="116">
        <f t="shared" si="19"/>
        <v>161.02722900000001</v>
      </c>
      <c r="L136" s="116">
        <f t="shared" si="19"/>
        <v>157.06491</v>
      </c>
      <c r="M136" s="116">
        <f t="shared" si="19"/>
        <v>150.364304</v>
      </c>
      <c r="N136" s="116">
        <f t="shared" si="19"/>
        <v>167.35705100000001</v>
      </c>
      <c r="O136" s="134">
        <f t="shared" si="19"/>
        <v>155.88908699999999</v>
      </c>
    </row>
    <row r="137" spans="1:15">
      <c r="A137" s="199"/>
      <c r="B137" s="122" t="s">
        <v>9</v>
      </c>
      <c r="C137" s="116">
        <f>HLOOKUP(C$117,$86:$115,19,FALSE)</f>
        <v>19.071615000000001</v>
      </c>
      <c r="D137" s="116">
        <f t="shared" ref="D137:O137" si="20">HLOOKUP(D$117,$86:$115,19,FALSE)</f>
        <v>22.413599999999999</v>
      </c>
      <c r="E137" s="116">
        <f t="shared" si="20"/>
        <v>28.523140000000001</v>
      </c>
      <c r="F137" s="116">
        <f t="shared" si="20"/>
        <v>25.398897999999999</v>
      </c>
      <c r="G137" s="116">
        <f t="shared" si="20"/>
        <v>25.639095999999999</v>
      </c>
      <c r="H137" s="116">
        <f t="shared" si="20"/>
        <v>18.905633999999999</v>
      </c>
      <c r="I137" s="116">
        <f t="shared" si="20"/>
        <v>21.945627999999999</v>
      </c>
      <c r="J137" s="116">
        <f t="shared" si="20"/>
        <v>18.942269</v>
      </c>
      <c r="K137" s="116">
        <f t="shared" si="20"/>
        <v>19.078325</v>
      </c>
      <c r="L137" s="116">
        <f t="shared" si="20"/>
        <v>20.008278000000001</v>
      </c>
      <c r="M137" s="116">
        <f t="shared" si="20"/>
        <v>23.358886999999999</v>
      </c>
      <c r="N137" s="116">
        <f t="shared" si="20"/>
        <v>14.744834000000001</v>
      </c>
      <c r="O137" s="134">
        <f t="shared" si="20"/>
        <v>16.517122000000001</v>
      </c>
    </row>
    <row r="138" spans="1:15">
      <c r="A138" s="199"/>
      <c r="B138" s="122" t="s">
        <v>8</v>
      </c>
      <c r="C138" s="116">
        <f>HLOOKUP(C$117,$86:$115,20,FALSE)</f>
        <v>206.69372799999999</v>
      </c>
      <c r="D138" s="116">
        <f t="shared" ref="D138:O138" si="21">HLOOKUP(D$117,$86:$115,20,FALSE)</f>
        <v>214.943949</v>
      </c>
      <c r="E138" s="116">
        <f t="shared" si="21"/>
        <v>188.60526999999999</v>
      </c>
      <c r="F138" s="116">
        <f t="shared" si="21"/>
        <v>201.924623</v>
      </c>
      <c r="G138" s="116">
        <f t="shared" si="21"/>
        <v>224.02625399999999</v>
      </c>
      <c r="H138" s="116">
        <f t="shared" si="21"/>
        <v>207.24283</v>
      </c>
      <c r="I138" s="116">
        <f t="shared" si="21"/>
        <v>218.650612</v>
      </c>
      <c r="J138" s="116">
        <f t="shared" si="21"/>
        <v>212.98181099999999</v>
      </c>
      <c r="K138" s="116">
        <f t="shared" si="21"/>
        <v>209.06030999999999</v>
      </c>
      <c r="L138" s="116">
        <f t="shared" si="21"/>
        <v>199.95457400000001</v>
      </c>
      <c r="M138" s="116">
        <f t="shared" si="21"/>
        <v>201.71434600000001</v>
      </c>
      <c r="N138" s="116">
        <f t="shared" si="21"/>
        <v>209.91055800000001</v>
      </c>
      <c r="O138" s="134">
        <f t="shared" si="21"/>
        <v>137.955038</v>
      </c>
    </row>
    <row r="139" spans="1:15" ht="14.25">
      <c r="A139" s="199"/>
      <c r="B139" s="122" t="s">
        <v>76</v>
      </c>
      <c r="C139" s="116">
        <f>HLOOKUP(C$117,$86:$115,21,FALSE)</f>
        <v>230.14559600000001</v>
      </c>
      <c r="D139" s="116">
        <f t="shared" ref="D139:O139" si="22">HLOOKUP(D$117,$86:$115,21,FALSE)</f>
        <v>251.789052</v>
      </c>
      <c r="E139" s="116">
        <f t="shared" si="22"/>
        <v>281.47467399999999</v>
      </c>
      <c r="F139" s="116">
        <f t="shared" si="22"/>
        <v>317.069143</v>
      </c>
      <c r="G139" s="116">
        <f t="shared" si="22"/>
        <v>256.69696599999997</v>
      </c>
      <c r="H139" s="116">
        <f t="shared" si="22"/>
        <v>273.98589099999998</v>
      </c>
      <c r="I139" s="116">
        <f t="shared" si="22"/>
        <v>264.507273</v>
      </c>
      <c r="J139" s="116">
        <f t="shared" si="22"/>
        <v>221.964823</v>
      </c>
      <c r="K139" s="116">
        <f t="shared" si="22"/>
        <v>224.52281400000001</v>
      </c>
      <c r="L139" s="116">
        <f t="shared" si="22"/>
        <v>229.693647</v>
      </c>
      <c r="M139" s="116">
        <f t="shared" si="22"/>
        <v>220.83250000000001</v>
      </c>
      <c r="N139" s="116">
        <f t="shared" si="22"/>
        <v>222.51747599999999</v>
      </c>
      <c r="O139" s="134">
        <f t="shared" si="22"/>
        <v>262.048877</v>
      </c>
    </row>
    <row r="140" spans="1:15">
      <c r="A140" s="199"/>
      <c r="B140" s="122" t="s">
        <v>6</v>
      </c>
      <c r="C140" s="116">
        <f>HLOOKUP(C$117,$86:$115,22,FALSE)</f>
        <v>3.7162829999999998</v>
      </c>
      <c r="D140" s="116">
        <f t="shared" ref="D140:O140" si="23">HLOOKUP(D$117,$86:$115,22,FALSE)</f>
        <v>2.859321</v>
      </c>
      <c r="E140" s="116">
        <f t="shared" si="23"/>
        <v>2.165861</v>
      </c>
      <c r="F140" s="116">
        <f t="shared" si="23"/>
        <v>0.87331099999999995</v>
      </c>
      <c r="G140" s="116">
        <f t="shared" si="23"/>
        <v>0.90078800000000003</v>
      </c>
      <c r="H140" s="116">
        <f t="shared" si="23"/>
        <v>0.90973300000000001</v>
      </c>
      <c r="I140" s="116">
        <f t="shared" si="23"/>
        <v>1.109656</v>
      </c>
      <c r="J140" s="116">
        <f t="shared" si="23"/>
        <v>0.97254499999999999</v>
      </c>
      <c r="K140" s="116">
        <f t="shared" si="23"/>
        <v>1.955158</v>
      </c>
      <c r="L140" s="116">
        <f t="shared" si="23"/>
        <v>1.5483690000000001</v>
      </c>
      <c r="M140" s="116">
        <f t="shared" si="23"/>
        <v>2.031012</v>
      </c>
      <c r="N140" s="116">
        <f t="shared" si="23"/>
        <v>1.3721410000000001</v>
      </c>
      <c r="O140" s="134">
        <f t="shared" si="23"/>
        <v>3.727338</v>
      </c>
    </row>
    <row r="141" spans="1:15">
      <c r="A141" s="199"/>
      <c r="B141" s="122" t="s">
        <v>5</v>
      </c>
      <c r="C141" s="116">
        <f>HLOOKUP(C$117,$86:$115,23,FALSE)</f>
        <v>95.158366999999998</v>
      </c>
      <c r="D141" s="116">
        <f t="shared" ref="D141:O141" si="24">HLOOKUP(D$117,$86:$115,23,FALSE)</f>
        <v>65.080791000000005</v>
      </c>
      <c r="E141" s="116">
        <f t="shared" si="24"/>
        <v>51.688220999999999</v>
      </c>
      <c r="F141" s="116">
        <f t="shared" si="24"/>
        <v>25.474623000000001</v>
      </c>
      <c r="G141" s="116">
        <f t="shared" si="24"/>
        <v>32.837836000000003</v>
      </c>
      <c r="H141" s="116">
        <f t="shared" si="24"/>
        <v>42.931705999999998</v>
      </c>
      <c r="I141" s="116">
        <f t="shared" si="24"/>
        <v>55.716776000000003</v>
      </c>
      <c r="J141" s="116">
        <f t="shared" si="24"/>
        <v>48.413311</v>
      </c>
      <c r="K141" s="116">
        <f t="shared" si="24"/>
        <v>96.628545000000003</v>
      </c>
      <c r="L141" s="116">
        <f t="shared" si="24"/>
        <v>66.984110999999999</v>
      </c>
      <c r="M141" s="116">
        <f t="shared" si="24"/>
        <v>95.385334</v>
      </c>
      <c r="N141" s="116">
        <f t="shared" si="24"/>
        <v>74.330708999999999</v>
      </c>
      <c r="O141" s="134">
        <f t="shared" si="24"/>
        <v>158.183166</v>
      </c>
    </row>
    <row r="142" spans="1:15">
      <c r="A142" s="199"/>
      <c r="B142" s="122" t="s">
        <v>4</v>
      </c>
      <c r="C142" s="116">
        <f>HLOOKUP(C$117,$86:$115,24,FALSE)</f>
        <v>29.446832000000001</v>
      </c>
      <c r="D142" s="116">
        <f t="shared" ref="D142:O142" si="25">HLOOKUP(D$117,$86:$115,24,FALSE)</f>
        <v>27.697894000000002</v>
      </c>
      <c r="E142" s="116">
        <f t="shared" si="25"/>
        <v>24.130369999999999</v>
      </c>
      <c r="F142" s="116">
        <f t="shared" si="25"/>
        <v>19.519107999999999</v>
      </c>
      <c r="G142" s="116">
        <f t="shared" si="25"/>
        <v>16.157102999999999</v>
      </c>
      <c r="H142" s="116">
        <f t="shared" si="25"/>
        <v>18.675559</v>
      </c>
      <c r="I142" s="116">
        <f t="shared" si="25"/>
        <v>17.870415000000001</v>
      </c>
      <c r="J142" s="116">
        <f t="shared" si="25"/>
        <v>21.260427</v>
      </c>
      <c r="K142" s="116">
        <f t="shared" si="25"/>
        <v>24.423739000000001</v>
      </c>
      <c r="L142" s="116">
        <f t="shared" si="25"/>
        <v>24.434999999999999</v>
      </c>
      <c r="M142" s="116">
        <f t="shared" si="25"/>
        <v>29.294612000000001</v>
      </c>
      <c r="N142" s="116">
        <f t="shared" si="25"/>
        <v>23.157672000000002</v>
      </c>
      <c r="O142" s="134">
        <f t="shared" si="25"/>
        <v>29.080002</v>
      </c>
    </row>
    <row r="143" spans="1:15">
      <c r="A143" s="199"/>
      <c r="B143" s="122" t="s">
        <v>22</v>
      </c>
      <c r="C143" s="116">
        <f>HLOOKUP(C$117,$86:$115,25,FALSE)</f>
        <v>0.70239399999999996</v>
      </c>
      <c r="D143" s="116">
        <f t="shared" ref="D143:O143" si="26">HLOOKUP(D$117,$86:$115,25,FALSE)</f>
        <v>0.81645199999999996</v>
      </c>
      <c r="E143" s="116">
        <f t="shared" si="26"/>
        <v>0.78290899999999997</v>
      </c>
      <c r="F143" s="116">
        <f t="shared" si="26"/>
        <v>0.813334</v>
      </c>
      <c r="G143" s="116">
        <f t="shared" si="26"/>
        <v>0.85025300000000004</v>
      </c>
      <c r="H143" s="116">
        <f t="shared" si="26"/>
        <v>0.89945200000000003</v>
      </c>
      <c r="I143" s="116">
        <f t="shared" si="26"/>
        <v>0.96332899999999999</v>
      </c>
      <c r="J143" s="116">
        <f t="shared" si="26"/>
        <v>0.82279800000000003</v>
      </c>
      <c r="K143" s="116">
        <f t="shared" si="26"/>
        <v>0.90105000000000002</v>
      </c>
      <c r="L143" s="116">
        <f t="shared" si="26"/>
        <v>0.89633300000000005</v>
      </c>
      <c r="M143" s="116">
        <f t="shared" si="26"/>
        <v>0.94455500000000003</v>
      </c>
      <c r="N143" s="116">
        <f t="shared" si="26"/>
        <v>0.82330000000000003</v>
      </c>
      <c r="O143" s="134">
        <f t="shared" si="26"/>
        <v>0.893343</v>
      </c>
    </row>
    <row r="144" spans="1:15">
      <c r="A144" s="199"/>
      <c r="B144" s="127" t="s">
        <v>1</v>
      </c>
      <c r="C144" s="128">
        <f>HLOOKUP(C$117,$86:$115,26,FALSE)</f>
        <v>759.04315999999994</v>
      </c>
      <c r="D144" s="128">
        <f t="shared" ref="D144:O144" si="27">HLOOKUP(D$117,$86:$115,26,FALSE)</f>
        <v>782.33435199999997</v>
      </c>
      <c r="E144" s="128">
        <f t="shared" si="27"/>
        <v>764.78140499999995</v>
      </c>
      <c r="F144" s="128">
        <f t="shared" si="27"/>
        <v>782.04553099999998</v>
      </c>
      <c r="G144" s="128">
        <f t="shared" si="27"/>
        <v>721.25363000000004</v>
      </c>
      <c r="H144" s="128">
        <f t="shared" si="27"/>
        <v>740.49856499999999</v>
      </c>
      <c r="I144" s="128">
        <f t="shared" si="27"/>
        <v>755.320877</v>
      </c>
      <c r="J144" s="128">
        <f t="shared" si="27"/>
        <v>678.46988999999996</v>
      </c>
      <c r="K144" s="128">
        <f t="shared" si="27"/>
        <v>737.89507000000003</v>
      </c>
      <c r="L144" s="128">
        <f t="shared" si="27"/>
        <v>700.87946699999998</v>
      </c>
      <c r="M144" s="128">
        <f t="shared" si="27"/>
        <v>724.22522400000003</v>
      </c>
      <c r="N144" s="128">
        <f t="shared" si="27"/>
        <v>714.49042199999997</v>
      </c>
      <c r="O144" s="136">
        <f t="shared" si="27"/>
        <v>764.59247200000004</v>
      </c>
    </row>
    <row r="145" spans="1:15">
      <c r="A145" s="199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15" ht="14.25">
      <c r="A146" s="200"/>
      <c r="B146" s="137" t="s">
        <v>77</v>
      </c>
      <c r="C146" s="141">
        <f>SUM(C136:C138)</f>
        <v>399.57809199999997</v>
      </c>
      <c r="D146" s="141">
        <f t="shared" ref="D146:O146" si="28">SUM(D136:D138)</f>
        <v>433.78320200000002</v>
      </c>
      <c r="E146" s="141">
        <f t="shared" si="28"/>
        <v>404.25097099999999</v>
      </c>
      <c r="F146" s="141">
        <f t="shared" si="28"/>
        <v>417.99863900000003</v>
      </c>
      <c r="G146" s="141">
        <f t="shared" si="28"/>
        <v>413.52137700000003</v>
      </c>
      <c r="H146" s="141">
        <f t="shared" si="28"/>
        <v>402.79991699999999</v>
      </c>
      <c r="I146" s="141">
        <f t="shared" si="28"/>
        <v>414.86051199999997</v>
      </c>
      <c r="J146" s="141">
        <f t="shared" si="28"/>
        <v>384.770937</v>
      </c>
      <c r="K146" s="141">
        <f t="shared" si="28"/>
        <v>389.165864</v>
      </c>
      <c r="L146" s="141">
        <f t="shared" si="28"/>
        <v>377.027762</v>
      </c>
      <c r="M146" s="141">
        <f t="shared" si="28"/>
        <v>375.43753700000002</v>
      </c>
      <c r="N146" s="141">
        <f t="shared" si="28"/>
        <v>392.01244300000002</v>
      </c>
      <c r="O146" s="142">
        <f t="shared" si="28"/>
        <v>310.36124699999999</v>
      </c>
    </row>
  </sheetData>
  <mergeCells count="13">
    <mergeCell ref="A134:A146"/>
    <mergeCell ref="A119:A133"/>
    <mergeCell ref="B117:B118"/>
    <mergeCell ref="A102:A112"/>
    <mergeCell ref="A88:A101"/>
    <mergeCell ref="C85:V85"/>
    <mergeCell ref="B30:C30"/>
    <mergeCell ref="B4:AG4"/>
    <mergeCell ref="B5:I5"/>
    <mergeCell ref="J5:Q5"/>
    <mergeCell ref="R5:Y5"/>
    <mergeCell ref="Z5:AG5"/>
    <mergeCell ref="B29:C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16"/>
  <sheetViews>
    <sheetView showGridLines="0" showRowColHeaders="0" topLeftCell="A2" workbookViewId="0">
      <selection activeCell="L12" sqref="L1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Julio 2019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77" t="s">
        <v>47</v>
      </c>
      <c r="E7" s="77"/>
      <c r="F7" s="178" t="str">
        <f>K3</f>
        <v>Julio 2019</v>
      </c>
      <c r="G7" s="179"/>
      <c r="H7" s="179" t="s">
        <v>37</v>
      </c>
      <c r="I7" s="179"/>
      <c r="J7" s="179" t="s">
        <v>38</v>
      </c>
      <c r="K7" s="179"/>
    </row>
    <row r="8" spans="3:12">
      <c r="C8" s="177"/>
      <c r="E8" s="78"/>
      <c r="F8" s="79" t="s">
        <v>13</v>
      </c>
      <c r="G8" s="106" t="str">
        <f>CONCATENATE("% ",RIGHT(F7,2),"/",RIGHT(F7,2)-1)</f>
        <v>% 19/18</v>
      </c>
      <c r="H8" s="79" t="s">
        <v>13</v>
      </c>
      <c r="I8" s="80" t="str">
        <f>G8</f>
        <v>% 19/18</v>
      </c>
      <c r="J8" s="79" t="s">
        <v>13</v>
      </c>
      <c r="K8" s="80" t="str">
        <f>G8</f>
        <v>% 19/18</v>
      </c>
    </row>
    <row r="9" spans="3:12">
      <c r="C9" s="81"/>
      <c r="E9" s="82" t="s">
        <v>39</v>
      </c>
      <c r="F9" s="83">
        <f>Dat_01!R24/1000</f>
        <v>719.34754599999997</v>
      </c>
      <c r="G9" s="164">
        <f>Dat_01!T24*100</f>
        <v>4.9313772899999995</v>
      </c>
      <c r="H9" s="83">
        <f>Dat_01!U24/1000</f>
        <v>3503.5631579999999</v>
      </c>
      <c r="I9" s="164">
        <f>Dat_01!W24*100</f>
        <v>0.66446508999999998</v>
      </c>
      <c r="J9" s="83">
        <f>Dat_01!X24/1000</f>
        <v>6076.8370889999997</v>
      </c>
      <c r="K9" s="164">
        <f>Dat_01!Y24*100</f>
        <v>0.25208715999999998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v>0.86370269124422805</v>
      </c>
      <c r="H12" s="103"/>
      <c r="I12" s="103">
        <v>0.53319693623565811</v>
      </c>
      <c r="J12" s="103"/>
      <c r="K12" s="103">
        <v>0.44321061785730365</v>
      </c>
    </row>
    <row r="13" spans="3:12">
      <c r="E13" s="85" t="s">
        <v>42</v>
      </c>
      <c r="F13" s="84"/>
      <c r="G13" s="103">
        <v>3.1764596669343614</v>
      </c>
      <c r="H13" s="103"/>
      <c r="I13" s="103">
        <v>-0.50918824580765687</v>
      </c>
      <c r="J13" s="103"/>
      <c r="K13" s="103">
        <v>-0.33896308521781382</v>
      </c>
    </row>
    <row r="14" spans="3:12">
      <c r="E14" s="86" t="s">
        <v>43</v>
      </c>
      <c r="F14" s="87"/>
      <c r="G14" s="104">
        <v>0.89121492721810913</v>
      </c>
      <c r="H14" s="104"/>
      <c r="I14" s="104">
        <v>0.64045640012828642</v>
      </c>
      <c r="J14" s="104"/>
      <c r="K14" s="104">
        <v>0.14783962581035315</v>
      </c>
    </row>
    <row r="15" spans="3:12">
      <c r="E15" s="180" t="s">
        <v>44</v>
      </c>
      <c r="F15" s="180"/>
      <c r="G15" s="180"/>
      <c r="H15" s="180"/>
      <c r="I15" s="180"/>
      <c r="J15" s="180"/>
      <c r="K15" s="180"/>
    </row>
    <row r="16" spans="3:12" ht="21.75" customHeight="1">
      <c r="E16" s="176" t="s">
        <v>45</v>
      </c>
      <c r="F16" s="176"/>
      <c r="G16" s="176"/>
      <c r="H16" s="176"/>
      <c r="I16" s="176"/>
      <c r="J16" s="176"/>
      <c r="K16" s="176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16"/>
  <sheetViews>
    <sheetView showGridLines="0" showRowColHeaders="0" topLeftCell="A2" workbookViewId="0">
      <selection activeCell="K12" sqref="K12:K14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Julio 2019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77" t="s">
        <v>48</v>
      </c>
      <c r="E7" s="77"/>
      <c r="F7" s="178" t="str">
        <f>K3</f>
        <v>Julio 2019</v>
      </c>
      <c r="G7" s="179"/>
      <c r="H7" s="179" t="s">
        <v>37</v>
      </c>
      <c r="I7" s="179"/>
      <c r="J7" s="179" t="s">
        <v>38</v>
      </c>
      <c r="K7" s="179"/>
    </row>
    <row r="8" spans="3:12">
      <c r="C8" s="177"/>
      <c r="E8" s="78"/>
      <c r="F8" s="79" t="s">
        <v>13</v>
      </c>
      <c r="G8" s="106" t="str">
        <f>CONCATENATE("% ",RIGHT(F7,2),"/",RIGHT(F7,2)-1)</f>
        <v>% 19/18</v>
      </c>
      <c r="H8" s="79" t="s">
        <v>13</v>
      </c>
      <c r="I8" s="107" t="str">
        <f>G8</f>
        <v>% 19/18</v>
      </c>
      <c r="J8" s="79" t="s">
        <v>13</v>
      </c>
      <c r="K8" s="107" t="str">
        <f>G8</f>
        <v>% 19/18</v>
      </c>
    </row>
    <row r="9" spans="3:12">
      <c r="C9" s="81"/>
      <c r="E9" s="82" t="s">
        <v>39</v>
      </c>
      <c r="F9" s="83">
        <f>Dat_01!Z24/1000</f>
        <v>764.59247199999993</v>
      </c>
      <c r="G9" s="164">
        <f>Dat_01!AB24*100</f>
        <v>0.73109307999999995</v>
      </c>
      <c r="H9" s="83">
        <f>Dat_01!AC24/1000</f>
        <v>5075.8734220000006</v>
      </c>
      <c r="I9" s="164">
        <f>Dat_01!AE24*100</f>
        <v>0.44820520999999997</v>
      </c>
      <c r="J9" s="83">
        <f>Dat_01!AF24/1000</f>
        <v>8866.786904999999</v>
      </c>
      <c r="K9" s="164">
        <f>Dat_01!AG24*100</f>
        <v>-0.39941042999999998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v>0.79364222671839402</v>
      </c>
      <c r="H12" s="103"/>
      <c r="I12" s="103">
        <v>0.5392867194083717</v>
      </c>
      <c r="J12" s="103"/>
      <c r="K12" s="103">
        <v>0.37152247722499476</v>
      </c>
    </row>
    <row r="13" spans="3:12">
      <c r="E13" s="85" t="s">
        <v>42</v>
      </c>
      <c r="F13" s="84"/>
      <c r="G13" s="103">
        <v>-6.2709025523410844E-3</v>
      </c>
      <c r="H13" s="103"/>
      <c r="I13" s="103">
        <v>1.9856913427385159E-2</v>
      </c>
      <c r="J13" s="103"/>
      <c r="K13" s="103">
        <v>-2.8600776589371435E-2</v>
      </c>
    </row>
    <row r="14" spans="3:12">
      <c r="E14" s="86" t="s">
        <v>43</v>
      </c>
      <c r="F14" s="87"/>
      <c r="G14" s="104">
        <v>-5.6278246402252652E-2</v>
      </c>
      <c r="H14" s="104"/>
      <c r="I14" s="104">
        <v>-0.11093842198661719</v>
      </c>
      <c r="J14" s="104"/>
      <c r="K14" s="104">
        <v>-0.74233213477277182</v>
      </c>
    </row>
    <row r="15" spans="3:12">
      <c r="E15" s="180" t="s">
        <v>44</v>
      </c>
      <c r="F15" s="180"/>
      <c r="G15" s="180"/>
      <c r="H15" s="180"/>
      <c r="I15" s="180"/>
      <c r="J15" s="180"/>
      <c r="K15" s="180"/>
    </row>
    <row r="16" spans="3:12" ht="21.75" customHeight="1">
      <c r="E16" s="176" t="s">
        <v>45</v>
      </c>
      <c r="F16" s="176"/>
      <c r="G16" s="176"/>
      <c r="H16" s="176"/>
      <c r="I16" s="176"/>
      <c r="J16" s="176"/>
      <c r="K16" s="176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"/>
  <sheetViews>
    <sheetView workbookViewId="0"/>
  </sheetViews>
  <sheetFormatPr baseColWidth="10" defaultRowHeight="15"/>
  <sheetData>
    <row r="1" spans="1:2">
      <c r="A1">
        <v>4</v>
      </c>
      <c r="B1" s="108" t="s">
        <v>114</v>
      </c>
    </row>
    <row r="2" spans="1:2">
      <c r="A2" t="s">
        <v>110</v>
      </c>
    </row>
    <row r="3" spans="1:2">
      <c r="A3" t="s">
        <v>111</v>
      </c>
    </row>
    <row r="4" spans="1:2">
      <c r="A4" t="s">
        <v>115</v>
      </c>
    </row>
    <row r="5" spans="1:2">
      <c r="A5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C1:W57"/>
  <sheetViews>
    <sheetView showGridLines="0" showRowColHeaders="0" zoomScaleNormal="100" workbookViewId="0">
      <selection activeCell="L20" sqref="L20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Julio 2019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81" t="s">
        <v>18</v>
      </c>
      <c r="E7" s="31"/>
      <c r="F7" s="182" t="s">
        <v>17</v>
      </c>
      <c r="G7" s="183"/>
      <c r="H7" s="182" t="s">
        <v>16</v>
      </c>
      <c r="I7" s="183"/>
      <c r="J7" s="182" t="s">
        <v>15</v>
      </c>
      <c r="K7" s="183"/>
      <c r="L7" s="182" t="s">
        <v>14</v>
      </c>
      <c r="M7" s="183"/>
    </row>
    <row r="8" spans="3:23" s="28" customFormat="1" ht="12.75" customHeight="1">
      <c r="C8" s="181"/>
      <c r="E8" s="30"/>
      <c r="F8" s="29" t="s">
        <v>13</v>
      </c>
      <c r="G8" s="105" t="str">
        <f>CONCATENATE("% ",RIGHT(M3,2),"/",RIGHT(M3,2)-1)</f>
        <v>% 19/18</v>
      </c>
      <c r="H8" s="29" t="s">
        <v>13</v>
      </c>
      <c r="I8" s="105" t="str">
        <f>G8</f>
        <v>% 19/18</v>
      </c>
      <c r="J8" s="29" t="s">
        <v>13</v>
      </c>
      <c r="K8" s="105" t="str">
        <f>I8</f>
        <v>% 19/18</v>
      </c>
      <c r="L8" s="29" t="s">
        <v>13</v>
      </c>
      <c r="M8" s="105" t="str">
        <f>K8</f>
        <v>% 19/18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0.29849900000000001</v>
      </c>
      <c r="I9" s="24">
        <f>Dat_01!AB8*100</f>
        <v>0.98208364999999986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3.727338</v>
      </c>
      <c r="I10" s="17">
        <f>Dat_01!AB15*100</f>
        <v>0.29747465000000001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0.23036600000000002</v>
      </c>
      <c r="G11" s="17">
        <f>Dat_01!T16*100</f>
        <v>65.339591900000002</v>
      </c>
      <c r="H11" s="153">
        <f>Dat_01!Z16/1000</f>
        <v>158.183166</v>
      </c>
      <c r="I11" s="17">
        <f>Dat_01!AB16*100</f>
        <v>66.231484409999993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12.374898</v>
      </c>
      <c r="G12" s="17">
        <f>Dat_01!T17*100</f>
        <v>-7.7365772900000005</v>
      </c>
      <c r="H12" s="153">
        <f>Dat_01!Z17/1000</f>
        <v>29.080002</v>
      </c>
      <c r="I12" s="17">
        <f>Dat_01!AB17*100</f>
        <v>-1.24573672</v>
      </c>
      <c r="J12" s="153" t="s">
        <v>3</v>
      </c>
      <c r="K12" s="17" t="s">
        <v>3</v>
      </c>
      <c r="L12" s="153">
        <f>Dat_01!J17/1000</f>
        <v>8.1670000000000006E-3</v>
      </c>
      <c r="M12" s="17">
        <f>Dat_01!L17*100</f>
        <v>31.640876849999998</v>
      </c>
      <c r="N12" s="10"/>
      <c r="O12" s="10"/>
      <c r="P12" s="19"/>
    </row>
    <row r="13" spans="3:23" s="2" customFormat="1" ht="12.75" customHeight="1">
      <c r="C13" s="13"/>
      <c r="E13" s="18" t="s">
        <v>101</v>
      </c>
      <c r="F13" s="17">
        <f>Dat_01!R18/1000</f>
        <v>9.8985000000000004E-2</v>
      </c>
      <c r="G13" s="17">
        <f>Dat_01!T18*100</f>
        <v>71.441190219999996</v>
      </c>
      <c r="H13" s="153">
        <f>Dat_01!Z18/1000</f>
        <v>0.893343</v>
      </c>
      <c r="I13" s="17">
        <f>Dat_01!AB18*100</f>
        <v>27.185454320000002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14.4424645</v>
      </c>
      <c r="G14" s="17">
        <f>Dat_01!T21*100</f>
        <v>9.2490050000000004E-2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0.42611700000000002</v>
      </c>
      <c r="M14" s="17">
        <f>Dat_01!L21*100</f>
        <v>-7.7563010500000003</v>
      </c>
      <c r="N14" s="10"/>
      <c r="O14" s="10"/>
    </row>
    <row r="15" spans="3:23" s="2" customFormat="1" ht="12.75" customHeight="1">
      <c r="C15" s="13"/>
      <c r="E15" s="169" t="s">
        <v>98</v>
      </c>
      <c r="F15" s="172">
        <f>SUM(F9:F14)</f>
        <v>27.146713500000001</v>
      </c>
      <c r="G15" s="173">
        <f>((SUM(Dat_01!R8,Dat_01!R15:R18,Dat_01!R20)/SUM(Dat_01!S8,Dat_01!S15:S18,Dat_01!S20))-1)*100</f>
        <v>-3.181465925896787</v>
      </c>
      <c r="H15" s="172">
        <f>SUM(H9:H14)</f>
        <v>192.18234799999999</v>
      </c>
      <c r="I15" s="173">
        <f>((SUM(Dat_01!Z8,Dat_01!Z15:Z18,Dat_01!Z20)/SUM(Dat_01!AA8,Dat_01!AA15:AA18,Dat_01!AA20))-1)*100</f>
        <v>48.610526340534399</v>
      </c>
      <c r="J15" s="172" t="s">
        <v>3</v>
      </c>
      <c r="K15" s="173" t="s">
        <v>3</v>
      </c>
      <c r="L15" s="173">
        <f>SUM(L9:L14)</f>
        <v>0.434284</v>
      </c>
      <c r="M15" s="173">
        <f>((SUM(Dat_01!J8,Dat_01!J15:J18,Dat_01!J21)/SUM(Dat_01!K8,Dat_01!K15:K18,Dat_01!K20))-1)*100</f>
        <v>-7.2342043485969292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173.44610299999999</v>
      </c>
      <c r="G16" s="17">
        <f>Dat_01!T9*100</f>
        <v>-28.348331959999999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68.501687000000004</v>
      </c>
      <c r="G17" s="24">
        <f>((SUM(Dat_01!R10,Dat_01!R14)/SUM(Dat_01!S10,Dat_01!S14))-1)*100</f>
        <v>-20.388618790847246</v>
      </c>
      <c r="H17" s="154">
        <f>Dat_01!Z10/1000</f>
        <v>155.88908699999999</v>
      </c>
      <c r="I17" s="24">
        <f>Dat_01!AB10*100</f>
        <v>-10.31205254</v>
      </c>
      <c r="J17" s="154">
        <f>Dat_01!B10/1000</f>
        <v>18.185252000000002</v>
      </c>
      <c r="K17" s="24">
        <f>Dat_01!D10*100</f>
        <v>5.9518971699999996</v>
      </c>
      <c r="L17" s="154">
        <f>Dat_01!J10/1000</f>
        <v>19.120079</v>
      </c>
      <c r="M17" s="24">
        <f>Dat_01!L10*100</f>
        <v>5.19277707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72.469968999999992</v>
      </c>
      <c r="G18" s="24">
        <f>Dat_01!T11*100</f>
        <v>-24.390518140000001</v>
      </c>
      <c r="H18" s="154">
        <f>Dat_01!Z11/1000</f>
        <v>16.517122000000001</v>
      </c>
      <c r="I18" s="24">
        <f>Dat_01!AB11*100</f>
        <v>-13.39421439</v>
      </c>
      <c r="J18" s="154">
        <f>Dat_01!B11/1000</f>
        <v>0</v>
      </c>
      <c r="K18" s="24" t="s">
        <v>3</v>
      </c>
      <c r="L18" s="154">
        <f>Dat_01!J11/1000</f>
        <v>1.245E-3</v>
      </c>
      <c r="M18" s="24">
        <f>Dat_01!L11*100</f>
        <v>-86.578266490000004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137.955038</v>
      </c>
      <c r="I19" s="24">
        <f>Dat_01!AB12*100</f>
        <v>-33.256301809999997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140.971656</v>
      </c>
      <c r="G20" s="17">
        <f>((SUM(Dat_01!R10:R12,Dat_01!R14)/SUM(Dat_01!S10:S12,Dat_01!S14))-1)*100</f>
        <v>-22.497404364270146</v>
      </c>
      <c r="H20" s="153">
        <f>SUM(H17:H19)</f>
        <v>310.36124699999999</v>
      </c>
      <c r="I20" s="17">
        <f>(H20/(H17/(I17/100+1)+H18/(I18/100+1)+H19/(I19/100+1))-1)*100</f>
        <v>-22.32776190492919</v>
      </c>
      <c r="J20" s="153">
        <f>SUM(J17:J19)</f>
        <v>18.185252000000002</v>
      </c>
      <c r="K20" s="17">
        <v>5.9463170430335444</v>
      </c>
      <c r="L20" s="153">
        <f>SUM(L17:L19)</f>
        <v>19.121324000000001</v>
      </c>
      <c r="M20" s="17">
        <f>(L20/(L17/(M17/100+1)+L18/(M18/100+1))-1)*100</f>
        <v>5.1459668083879251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102</v>
      </c>
      <c r="F21" s="153">
        <f>Dat_01!R13/1000</f>
        <v>160.980031</v>
      </c>
      <c r="G21" s="17">
        <f>Dat_01!T13*100</f>
        <v>199.47213071000002</v>
      </c>
      <c r="H21" s="153">
        <f>Dat_01!Z13/1000</f>
        <v>262.048877</v>
      </c>
      <c r="I21" s="17">
        <f>Dat_01!AB13*100</f>
        <v>13.862216590000001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1.194464</v>
      </c>
      <c r="G22" s="17">
        <f>Dat_01!T19*100</f>
        <v>-66.499998320000003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14.4424645</v>
      </c>
      <c r="G23" s="17">
        <f>Dat_01!T20*100</f>
        <v>9.2490050000000004E-2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0.42611700000000002</v>
      </c>
      <c r="M23" s="17">
        <f>Dat_01!L20*100</f>
        <v>-7.7563010500000003</v>
      </c>
      <c r="N23" s="10"/>
      <c r="O23" s="10"/>
    </row>
    <row r="24" spans="3:23" s="2" customFormat="1" ht="12.75" customHeight="1">
      <c r="C24" s="13"/>
      <c r="E24" s="169" t="s">
        <v>99</v>
      </c>
      <c r="F24" s="155">
        <f>SUM(F16,F20:F23)</f>
        <v>491.03471849999994</v>
      </c>
      <c r="G24" s="173">
        <f>((SUM(Dat_01!R9:R14,Dat_01!R19,Dat_01!R21)/SUM(Dat_01!S9:S14,Dat_01!S19,Dat_01!S21))-1)*100</f>
        <v>-0.94326361517854673</v>
      </c>
      <c r="H24" s="155">
        <f>SUM(H16,H20:H23)</f>
        <v>572.410124</v>
      </c>
      <c r="I24" s="173">
        <f>((SUM(Dat_01!Z9:Z14,Dat_01!Z19,Dat_01!Z21)/SUM(Dat_01!AA9:AA14,Dat_01!AA19,Dat_01!AA21))-1)*100</f>
        <v>-9.1013828909672583</v>
      </c>
      <c r="J24" s="155">
        <f>SUM(J16,J20:J23)</f>
        <v>18.185252000000002</v>
      </c>
      <c r="K24" s="173">
        <f>((SUM(Dat_01!B9:B14,Dat_01!B19,Dat_01!B21)/SUM(Dat_01!C9:C14,Dat_01!C19,Dat_01!C21))-1)*100</f>
        <v>5.9463170430335444</v>
      </c>
      <c r="L24" s="155">
        <f>SUM(L16,L20:L23)</f>
        <v>19.547441000000003</v>
      </c>
      <c r="M24" s="173">
        <f>((SUM(Dat_01!J9:J14,Dat_01!J19,Dat_01!J21)/SUM(Dat_01!K9:K14,Dat_01!K19,Dat_01!K21))-1)*100</f>
        <v>4.8263432894930069</v>
      </c>
      <c r="N24" s="10"/>
      <c r="O24" s="10"/>
    </row>
    <row r="25" spans="3:23" s="2" customFormat="1" ht="12.75" customHeight="1">
      <c r="C25" s="16"/>
      <c r="E25" s="15" t="s">
        <v>105</v>
      </c>
      <c r="F25" s="156">
        <f>Dat_01!R23/1000</f>
        <v>201.16611399999999</v>
      </c>
      <c r="G25" s="14">
        <f>Dat_01!T23*100</f>
        <v>24.33656028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719.34754599999997</v>
      </c>
      <c r="G26" s="11">
        <f>Dat_01!T24*100</f>
        <v>4.9313772899999995</v>
      </c>
      <c r="H26" s="157">
        <f>Dat_01!Z24/1000</f>
        <v>764.59247199999993</v>
      </c>
      <c r="I26" s="11">
        <f>Dat_01!AB24*100</f>
        <v>0.73109307999999995</v>
      </c>
      <c r="J26" s="157">
        <f>Dat_01!B24/1000</f>
        <v>18.185252000000002</v>
      </c>
      <c r="K26" s="11">
        <f>Dat_01!D24*100</f>
        <v>5.9463170400000003</v>
      </c>
      <c r="L26" s="157">
        <f>Dat_01!J24/1000</f>
        <v>19.981724999999997</v>
      </c>
      <c r="M26" s="11">
        <f>Dat_01!L24*100</f>
        <v>4.53097423</v>
      </c>
      <c r="N26" s="10"/>
      <c r="O26" s="10"/>
    </row>
    <row r="27" spans="3:23" s="2" customFormat="1" ht="16.149999999999999" customHeight="1">
      <c r="C27" s="13"/>
      <c r="E27" s="186" t="s">
        <v>56</v>
      </c>
      <c r="F27" s="186"/>
      <c r="G27" s="186"/>
      <c r="H27" s="186"/>
      <c r="I27" s="186"/>
      <c r="J27" s="186"/>
      <c r="K27" s="186"/>
      <c r="L27" s="170"/>
      <c r="M27" s="171"/>
      <c r="N27" s="10"/>
      <c r="O27" s="10"/>
    </row>
    <row r="28" spans="3:23" s="2" customFormat="1" ht="12.75" customHeight="1">
      <c r="C28" s="8"/>
      <c r="D28" s="8"/>
      <c r="E28" s="185" t="s">
        <v>0</v>
      </c>
      <c r="F28" s="185"/>
      <c r="G28" s="185"/>
      <c r="H28" s="185"/>
      <c r="I28" s="185"/>
      <c r="J28" s="185"/>
      <c r="K28" s="185"/>
      <c r="L28" s="185"/>
      <c r="M28" s="185"/>
      <c r="O28" s="9"/>
    </row>
    <row r="29" spans="3:23" s="7" customFormat="1" ht="12.75" customHeight="1">
      <c r="E29" s="184" t="s">
        <v>100</v>
      </c>
      <c r="F29" s="184"/>
      <c r="G29" s="184"/>
      <c r="H29" s="184"/>
      <c r="I29" s="184"/>
      <c r="J29" s="184"/>
      <c r="K29" s="184"/>
      <c r="L29" s="184"/>
      <c r="M29" s="184"/>
    </row>
    <row r="30" spans="3:23" s="2" customFormat="1" ht="12.75" customHeight="1">
      <c r="C30" s="8"/>
      <c r="D30" s="8"/>
      <c r="E30" s="184" t="s">
        <v>103</v>
      </c>
      <c r="F30" s="184"/>
      <c r="G30" s="184"/>
      <c r="H30" s="184"/>
      <c r="I30" s="184"/>
      <c r="J30" s="184"/>
      <c r="K30" s="184"/>
      <c r="L30" s="184"/>
      <c r="M30" s="184"/>
    </row>
    <row r="31" spans="3:23" ht="12.75" customHeight="1">
      <c r="C31" s="1"/>
      <c r="D31" s="1"/>
      <c r="E31" s="184" t="s">
        <v>104</v>
      </c>
      <c r="F31" s="184"/>
      <c r="G31" s="184"/>
      <c r="H31" s="184"/>
      <c r="I31" s="184"/>
      <c r="J31" s="184"/>
      <c r="K31" s="184"/>
      <c r="L31" s="184"/>
      <c r="M31" s="184"/>
    </row>
    <row r="32" spans="3:23" ht="12.75" customHeight="1">
      <c r="C32" s="1"/>
      <c r="D32" s="1"/>
      <c r="E32" s="184"/>
      <c r="F32" s="184"/>
      <c r="G32" s="184"/>
      <c r="H32" s="184"/>
      <c r="I32" s="184"/>
      <c r="J32" s="184"/>
      <c r="K32" s="184"/>
      <c r="L32" s="184"/>
      <c r="M32" s="184"/>
    </row>
    <row r="33" spans="3:13" ht="12.75" customHeight="1">
      <c r="C33" s="1"/>
      <c r="D33" s="1"/>
      <c r="E33" s="6"/>
      <c r="F33" s="6"/>
      <c r="G33" s="6"/>
      <c r="H33" s="6"/>
      <c r="I33" s="6"/>
      <c r="J33" s="6"/>
      <c r="K33" s="6"/>
      <c r="L33" s="6"/>
      <c r="M33" s="6"/>
    </row>
    <row r="34" spans="3:13" ht="12.75" customHeight="1">
      <c r="C34" s="1"/>
      <c r="D34" s="1"/>
      <c r="E34" s="5"/>
      <c r="G34" s="4"/>
      <c r="I34" s="4"/>
      <c r="K34" s="4"/>
      <c r="L34" s="4"/>
      <c r="M34" s="4"/>
    </row>
    <row r="35" spans="3:13">
      <c r="E35" s="3"/>
      <c r="F35" s="3"/>
      <c r="G35" s="3"/>
      <c r="H35" s="3"/>
      <c r="I35" s="3"/>
      <c r="J35" s="3"/>
      <c r="K35" s="3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C42" s="3"/>
      <c r="D42" s="3"/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</row>
  </sheetData>
  <mergeCells count="11">
    <mergeCell ref="C7:C8"/>
    <mergeCell ref="F7:G7"/>
    <mergeCell ref="H7:I7"/>
    <mergeCell ref="J7:K7"/>
    <mergeCell ref="E32:M32"/>
    <mergeCell ref="L7:M7"/>
    <mergeCell ref="E28:M28"/>
    <mergeCell ref="E29:M29"/>
    <mergeCell ref="E30:M30"/>
    <mergeCell ref="E31:M31"/>
    <mergeCell ref="E27:K27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I20 G24 I24 K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topLeftCell="A7" zoomScaleNormal="100" workbookViewId="0">
      <selection activeCell="J35" sqref="J35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Julio 2019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187" t="s">
        <v>31</v>
      </c>
      <c r="D7" s="44"/>
      <c r="E7" s="48"/>
    </row>
    <row r="8" spans="2:12" s="38" customFormat="1" ht="12.75" customHeight="1">
      <c r="B8" s="46"/>
      <c r="C8" s="187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187" t="s">
        <v>28</v>
      </c>
      <c r="E24" s="42"/>
      <c r="J24" s="38"/>
      <c r="K24" s="38"/>
    </row>
    <row r="25" spans="2:12">
      <c r="C25" s="187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H9" sqref="H9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Julio 2019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188" t="s">
        <v>32</v>
      </c>
      <c r="D7" s="64"/>
      <c r="E7" s="68"/>
    </row>
    <row r="8" spans="1:20" s="56" customFormat="1" ht="12.75" customHeight="1">
      <c r="A8" s="67"/>
      <c r="B8" s="66"/>
      <c r="C8" s="188"/>
      <c r="D8" s="64"/>
      <c r="E8" s="68"/>
      <c r="F8" s="63"/>
    </row>
    <row r="9" spans="1:20" s="56" customFormat="1" ht="12.75" customHeight="1">
      <c r="A9" s="67"/>
      <c r="B9" s="66"/>
      <c r="C9" s="188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107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12.75" customHeight="1">
      <c r="E27" s="57"/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P18" sqref="P18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Julio 2019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187" t="s">
        <v>35</v>
      </c>
      <c r="D7" s="44"/>
      <c r="E7" s="48"/>
    </row>
    <row r="8" spans="2:12" s="38" customFormat="1" ht="12.75" customHeight="1">
      <c r="B8" s="46"/>
      <c r="C8" s="187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187" t="s">
        <v>49</v>
      </c>
      <c r="E24" s="42"/>
      <c r="J24" s="38"/>
      <c r="K24" s="38"/>
    </row>
    <row r="25" spans="2:12">
      <c r="C25" s="187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E42" sqref="E4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Julio 2019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188" t="s">
        <v>36</v>
      </c>
      <c r="D7" s="64"/>
      <c r="E7" s="68"/>
    </row>
    <row r="8" spans="1:20" s="56" customFormat="1" ht="12.75" customHeight="1">
      <c r="A8" s="67"/>
      <c r="B8" s="66"/>
      <c r="C8" s="188"/>
      <c r="D8" s="64"/>
      <c r="E8" s="68"/>
      <c r="F8" s="63"/>
    </row>
    <row r="9" spans="1:20" s="56" customFormat="1" ht="12.75" customHeight="1">
      <c r="A9" s="67"/>
      <c r="B9" s="66"/>
      <c r="C9" s="188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108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12.75" customHeight="1">
      <c r="E27" s="55"/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2019-08-16T10:29:05Z</dcterms:modified>
</cp:coreProperties>
</file>