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FEB\INF_ELABORADA\"/>
    </mc:Choice>
  </mc:AlternateContent>
  <xr:revisionPtr revIDLastSave="0" documentId="8_{6872ADA8-3870-41D7-8CFB-5685C28EFC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<sst xmlns="http://schemas.openxmlformats.org/spreadsheetml/2006/main" count="422" uniqueCount="128">
  <si>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</si>
  <si>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</si>
  <si>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</si>
  <si>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</si>
  <si>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</si>
  <si>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</si>
  <si>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</si>
  <si>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</si>
  <si>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</si>
  <si>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</si>
  <si>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</si>
  <si>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</si>
  <si>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</si>
  <si>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</si>
  <si>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</si>
  <si>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</si>
  <si>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</si>
  <si>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</si>
  <si>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</si>
  <si>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</si>
  <si>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</si>
  <si>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</si>
  <si>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</si>
  <si>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</si>
  <si>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</si>
  <si>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</si>
  <si>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</si>
  <si>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</si>
  <si>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</si>
  <si>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</si>
  <si>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</si>
  <si>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</si>
  <si>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</si>
  <si>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</si>
  <si>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</si>
  <si>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</si>
  <si>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</si>
  <si>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</si>
  <si>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</si>
  <si>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</si>
  <si>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</si>
  <si>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</si>
  <si>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</si>
  <si>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</si>
  <si>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</si>
  <si>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</si>
  <si>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</si>
  <si>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</si>
  <si>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</si>
  <si>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</si>
  <si>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</si>
  <si>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</si>
  <si>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</si>
  <si>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</si>
  <si>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</si>
  <si>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</si>
  <si>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</si>
  <si>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</si>
  <si>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</si>
  <si>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</si>
  <si>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</si>
  <si>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</si>
  <si>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</si>
  <si>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</si>
  <si>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</si>
  <si>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</si>
  <si>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</si>
  <si>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</si>
  <si>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</si>
  <si>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</si>
  <si>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</si>
  <si>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</si>
  <si>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</si>
  <si>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</si>
  <si>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</si>
  <si>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</si>
  <si>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</si>
  <si>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</si>
  <si>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</si>
  <si>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</si>
  <si>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</si>
  <si>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</si>
  <si>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</si>
  <si>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</si>
  <si>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</si>
  <si>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</si>
  <si>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</si>
  <si>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</si>
  <si>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</si>
  <si>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</si>
  <si>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</si>
  <si>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</si>
  <si>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</si>
  <si>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</si>
  <si>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</si>
  <si>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</si>
  <si>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</si>
  <si>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</si>
  <si>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</si>
  <si>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</si>
  <si>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</si>
  <si>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</si>
  <si>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</si>
  <si>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</si>
  <si>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</si>
  <si>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</si>
  <si>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</si>
  <si>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</si>
  <si>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</si>
  <si>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</si>
  <si>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</si>
  <si>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</si>
  <si>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</si>
  <si>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</si>
  <si>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</si>
  <si>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</si>
  <si>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</si>
  <si>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</si>
  <si>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</si>
  <si>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</si>
  <si>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28/02/2022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</si>
  <si>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ut="03/09/2022 15:58:56" si="2.00000001d032de6999750c878ac0fb1ce803ad7f79c4c0f77b7d4462efb3d8f49db75401008fd99fef9fb850fd0e4f0e82f85934117b03c454445cc12f848d1995c63b403f6b449b8079fbbd3cc8e5f0f1e476ebecbfb9b12dabc9f5fddf70e0186aadc5ef3d23e02b27273ef952320882c8f5c42cbbc3ddea6064918da7151790e484ff30596763c8fb19184b83fc9e10fe4930d4f921a3400dca438c97aded9b56.p.3082.0.1.Europe/Madrid.upriv*_1*_pidn2*_27*_session*-lat*_1.000000014706e8207e677485a71654d80240d31abc6025e091d98362c659cb3b80a0983e5b30d444ea36bc0804155492fea0eb1ad42c86ad.00000001ffaf1f970e13fe509a4c4e3e6aa75be0bc6025e00b748cd21ffb302ee6ccbf4ce388d9b27d6f4088952871063e4257baaac61c24.0.1.1.BDEbi.D066E1C611E6257C10D00080EF253B44.0-3082.1.1_-0.1.0_-3082.1.1_5.5.0.*0.000000013391426558b3b6bad00c3ea28dd9058dc911585afd3f0c7943cbfc42d37b9cccfd135d07.0.23.11*.2*.0400*.31152J.e.000000014dca2fbd4438f61a3b5c958b6f684a09c911585a69fef1fed92daa3b23c82abd87a547ec.0.10*.131*.122*.122.0.0" msgID="CE0928C411EC9FC1B5F20080EF358059"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</si>
  <si>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16:03:18" si="2.00000001d032de6999750c878ac0fb1ce803ad7f79c4c0f77b7d4462efb3d8f49db75401008fd99fef9fb850fd0e4f0e82f85934117b03c454445cc12f848d1995c63b403f6b449b8079fbbd3cc8e5f0f1e476ebecbfb9b12dabc9f5fddf70e0186aadc5ef3d23e02b27273ef952320882c8f5c42cbbc3ddea6064918da7151790e484ff30596763c8fb19184b83fc9e10fe4930d4f921a3400dca438c97aded9b56.p.3082.0.1.Europe/Madrid.upriv*_1*_pidn2*_27*_session*-lat*_1.000000014706e8207e677485a71654d80240d31abc6025e091d98362c659cb3b80a0983e5b30d444ea36bc0804155492fea0eb1ad42c86ad.00000001ffaf1f970e13fe509a4c4e3e6aa75be0bc6025e00b748cd21ffb302ee6ccbf4ce388d9b27d6f4088952871063e4257baaac61c24.0.1.1.BDEbi.D066E1C611E6257C10D00080EF253B44.0-3082.1.1_-0.1.0_-3082.1.1_5.5.0.*0.000000013391426558b3b6bad00c3ea28dd9058dc911585afd3f0c7943cbfc42d37b9cccfd135d07.0.23.11*.2*.0400*.31152J.e.000000014dca2fbd4438f61a3b5c958b6f684a09c911585a69fef1fed92daa3b23c82abd87a547ec.0.10*.131*.122*.122.0.0" msgID="EBA3CDD111EC9FC1B5F20080EF052058"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nrr="1003" nrc="1888"&gt;&lt;pg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</si>
  <si>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Marzo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</si>
  <si>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16:18:54" si="2.00000001d032de6999750c878ac0fb1ce803ad7f79c4c0f77b7d4462efb3d8f49db75401008fd99fef9fb850fd0e4f0e82f85934117b03c454445cc12f848d1995c63b403f6b449b8079fbbd3cc8e5f0f1e476ebecbfb9b12dabc9f5fddf70e0186aadc5ef3d23e02b27273ef952320882c8f5c42cbbc3ddea6064918da7151790e484ff30596763c8fb19184b83fc9e10fe4930d4f921a3400dca438c97aded9b56.p.3082.0.1.Europe/Madrid.upriv*_1*_pidn2*_27*_session*-lat*_1.000000014706e8207e677485a71654d80240d31abc6025e091d98362c659cb3b80a0983e5b30d444ea36bc0804155492fea0eb1ad42c86ad.00000001ffaf1f970e13fe509a4c4e3e6aa75be0bc6025e00b748cd21ffb302ee6ccbf4ce388d9b27d6f4088952871063e4257baaac61c24.0.1.1.BDEbi.D066E1C611E6257C10D00080EF253B44.0-3082.1.1_-0.1.0_-3082.1.1_5.5.0.*0.000000013391426558b3b6bad00c3ea28dd9058dc911585afd3f0c7943cbfc42d37b9cccfd135d07.0.23.11*.2*.0400*.31152J.e.000000014dca2fbd4438f61a3b5c958b6f684a09c911585a69fef1fed92daa3b23c82abd87a547ec.0.10*.131*.122*.122.0.0" msgID="38C348B411EC9FC4B5F20080EF051F56"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cols="17" /&gt;&lt;esdo ews="" ece="" ptn="" /&gt;&lt;/excel&gt;&lt;pgs&gt;&lt;pg rows="25" cols="15" nrr="1427" nrc="1118"&gt;&lt;pg /&gt;&lt;bls&gt;&lt;bl sr="1" sc="1" rfetch="25" cfetch="15" posid="1" darows="0" dacols="1"&gt;&lt;excel&gt;&lt;epo ews="Dat_01" ece="A85" enr="MSTR.Serie_Balance_B.C._Mensual_Baleares_y_Canarias" ptn="" qtn="" rows="28" cols="17" /&gt;&lt;esdo ews="" ece="" ptn="" /&gt;&lt;/excel&gt;&lt;gridRng&gt;&lt;sect id="TITLE_AREA" rngprop="1:1:3:2" /&gt;&lt;sect id="ROWHEADERS_AREA" rngprop="4:1:25:2" /&gt;&lt;sect id="COLUMNHEADERS_AREA" rngprop="1:3:3:15" /&gt;&lt;sect id="DATA_AREA" rngprop="4:3:25:15"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</si>
  <si>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ut="03/09/2022 16:33:32" si="2.000000017d3e3c0472a518c05ced7ab1616f1d1aee7c04cb3ba286bf1c3bbe9a529c28d5de70f1a0eb7485756eaec9f20c2403194c1c98ee9638e02585eac3259c277c2ea8af65dfc2b54ae1c02784bb2f15e34f8e280655bc757680d2a26b5c09c707cec2a539ba5124e4c6a2017df9de82f254309a426102244adf4c9155a720a2aa066c05d8955382192d737bb11c308dbdf508a30fb8042f94080b26c1e73e62.p.3082.0.1.Europe/Madrid.upriv*_1*_pidn2*_25*_session*-lat*_1.00000001c9a124d50f754c64fdeab433de7ce21fbc6025e076cefc266a2b6c2543ec515b979cb7944c21bcc11fdf13b14e0a54cbb67962fb.00000001c9e408db31f53b379732819933d312d2bc6025e0eafa01f8968aa225c88b42770ec9a4193ec388511bf891368afcb9254d4aae7b.0.1.1.BDEbi.D066E1C611E6257C10D00080EF253B44.0-3082.1.1_-0.1.0_-3082.1.1_5.5.0.*0.00000001d39fc8bb80b9b9cf0c843789abedd893c911585ab492234f728a30c7d665ddddf161baf6.0.23.11*.2*.0400*.31152J.e.000000010bf18a20e64cb1c645a387c58c3478f2c911585a379e3b8adbc1767baf2acf8e6055220e.0.10*.131*.122*.122.0.0" msgID="9FEC696A11EC9FC6B5F20080EFF5FF56"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nrr="86" nrc="468"&gt;&lt;pg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</si>
  <si>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7f70dc18b39f41f28e726e419ccca300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</si>
  <si>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ut="03/09/2022 16:34:09" si="2.000000017d3e3c0472a518c05ced7ab1616f1d1aee7c04cb3ba286bf1c3bbe9a529c28d5de70f1a0eb7485756eaec9f20c2403194c1c98ee9638e02585eac3259c277c2ea8af65dfc2b54ae1c02784bb2f15e34f8e280655bc757680d2a26b5c09c707cec2a539ba5124e4c6a2017df9de82f254309a426102244adf4c9155a720a2aa066c05d8955382192d737bb11c308dbdf508a30fb8042f94080b26c1e73e62.p.3082.0.1.Europe/Madrid.upriv*_1*_pidn2*_25*_session*-lat*_1.00000001c9a124d50f754c64fdeab433de7ce21fbc6025e076cefc266a2b6c2543ec515b979cb7944c21bcc11fdf13b14e0a54cbb67962fb.00000001c9e408db31f53b379732819933d312d2bc6025e0eafa01f8968aa225c88b42770ec9a4193ec388511bf891368afcb9254d4aae7b.0.1.1.BDEbi.D066E1C611E6257C10D00080EF253B44.0-3082.1.1_-0.1.0_-3082.1.1_5.5.0.*0.00000001d39fc8bb80b9b9cf0c843789abedd893c911585ab492234f728a30c7d665ddddf161baf6.0.23.11*.2*.0400*.31152J.e.000000010bf18a20e64cb1c645a387c58c3478f2c911585a379e3b8adbc1767baf2acf8e6055220e.0.10*.131*.122*.122.0.0" msgID="B81DD33F11EC9FC6B5F20080EFA55F57"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nrr="40" nrc="492"&gt;&lt;pg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</si>
</sst>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4" fontId="32" fillId="6" borderId="10" xfId="13" applyNumberFormat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2113821138211381"/>
                  <c:y val="5.8622047244094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0.10228759842519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5.8536585365853717E-2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951219512195122"/>
                  <c:y val="-0.101475984251968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4.8780487804877933E-2"/>
                  <c:y val="-0.153086614173228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5691056910569093"/>
                  <c:y val="-9.7992125984251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6.8610226640978569</c:v>
                </c:pt>
                <c:pt idx="2">
                  <c:v>3.0213014470842672</c:v>
                </c:pt>
                <c:pt idx="3">
                  <c:v>75.089497775423624</c:v>
                </c:pt>
                <c:pt idx="4">
                  <c:v>0</c:v>
                </c:pt>
                <c:pt idx="5">
                  <c:v>0.77157256744518721</c:v>
                </c:pt>
                <c:pt idx="6">
                  <c:v>1.3682878126883169</c:v>
                </c:pt>
                <c:pt idx="7">
                  <c:v>1.3682878126883169</c:v>
                </c:pt>
                <c:pt idx="8">
                  <c:v>5.7392556722002497E-2</c:v>
                </c:pt>
                <c:pt idx="9">
                  <c:v>4.4762920272392055</c:v>
                </c:pt>
                <c:pt idx="10">
                  <c:v>7.0647360656151612E-2</c:v>
                </c:pt>
                <c:pt idx="11">
                  <c:v>6.9156979759550774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2797011724637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11.748582010812333</c:v>
                </c:pt>
                <c:pt idx="1">
                  <c:v>6.7900179614727998</c:v>
                </c:pt>
                <c:pt idx="2">
                  <c:v>29.37632591509502</c:v>
                </c:pt>
                <c:pt idx="3">
                  <c:v>40.082537880171934</c:v>
                </c:pt>
                <c:pt idx="4">
                  <c:v>0</c:v>
                </c:pt>
                <c:pt idx="5">
                  <c:v>0.56127243163594742</c:v>
                </c:pt>
                <c:pt idx="6">
                  <c:v>1.8217121360048976</c:v>
                </c:pt>
                <c:pt idx="7">
                  <c:v>1.8217121360048976</c:v>
                </c:pt>
                <c:pt idx="8">
                  <c:v>0.17571728691544566</c:v>
                </c:pt>
                <c:pt idx="9">
                  <c:v>7.5183723261196045</c:v>
                </c:pt>
                <c:pt idx="10">
                  <c:v>0.10374991576712383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-0.606159</c:v>
                </c:pt>
                <c:pt idx="1">
                  <c:v>-0.651559</c:v>
                </c:pt>
                <c:pt idx="2">
                  <c:v>-0.59136100000000003</c:v>
                </c:pt>
                <c:pt idx="3">
                  <c:v>-1.103416</c:v>
                </c:pt>
                <c:pt idx="4">
                  <c:v>41.953423999999998</c:v>
                </c:pt>
                <c:pt idx="5">
                  <c:v>9.292719</c:v>
                </c:pt>
                <c:pt idx="6">
                  <c:v>-0.72875599999999996</c:v>
                </c:pt>
                <c:pt idx="7">
                  <c:v>-0.54997399999999996</c:v>
                </c:pt>
                <c:pt idx="8">
                  <c:v>-0.58327700000000005</c:v>
                </c:pt>
                <c:pt idx="9">
                  <c:v>-0.582067</c:v>
                </c:pt>
                <c:pt idx="10">
                  <c:v>-0.61424800000000002</c:v>
                </c:pt>
                <c:pt idx="11">
                  <c:v>-0.627467</c:v>
                </c:pt>
                <c:pt idx="12">
                  <c:v>-0.58012699999999995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26.606086999999999</c:v>
                </c:pt>
                <c:pt idx="1">
                  <c:v>27.369999999999997</c:v>
                </c:pt>
                <c:pt idx="2">
                  <c:v>26.434747999999999</c:v>
                </c:pt>
                <c:pt idx="3">
                  <c:v>28.996893</c:v>
                </c:pt>
                <c:pt idx="4">
                  <c:v>60.343260999999998</c:v>
                </c:pt>
                <c:pt idx="5">
                  <c:v>87.100239000000002</c:v>
                </c:pt>
                <c:pt idx="6">
                  <c:v>103.041223</c:v>
                </c:pt>
                <c:pt idx="7">
                  <c:v>93.585977999999997</c:v>
                </c:pt>
                <c:pt idx="8">
                  <c:v>60.567518999999997</c:v>
                </c:pt>
                <c:pt idx="9">
                  <c:v>37.046178999999995</c:v>
                </c:pt>
                <c:pt idx="10">
                  <c:v>38.331002999999995</c:v>
                </c:pt>
                <c:pt idx="11">
                  <c:v>46.216700000000003</c:v>
                </c:pt>
                <c:pt idx="12">
                  <c:v>39.300246999999999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187.465463</c:v>
                </c:pt>
                <c:pt idx="1">
                  <c:v>217.47864799999999</c:v>
                </c:pt>
                <c:pt idx="2">
                  <c:v>208.53059300000001</c:v>
                </c:pt>
                <c:pt idx="3">
                  <c:v>203.81251599999999</c:v>
                </c:pt>
                <c:pt idx="4">
                  <c:v>240.57820899999999</c:v>
                </c:pt>
                <c:pt idx="5">
                  <c:v>408.79444899999999</c:v>
                </c:pt>
                <c:pt idx="6">
                  <c:v>437.91378300000002</c:v>
                </c:pt>
                <c:pt idx="7">
                  <c:v>367.24080800000002</c:v>
                </c:pt>
                <c:pt idx="8">
                  <c:v>312.10340600000001</c:v>
                </c:pt>
                <c:pt idx="9">
                  <c:v>305.43751500000002</c:v>
                </c:pt>
                <c:pt idx="10">
                  <c:v>332.59120100000001</c:v>
                </c:pt>
                <c:pt idx="11">
                  <c:v>350.08292499999999</c:v>
                </c:pt>
                <c:pt idx="12">
                  <c:v>298.61759000000001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0.15948300000000001</c:v>
                </c:pt>
                <c:pt idx="1">
                  <c:v>0.30611500000000003</c:v>
                </c:pt>
                <c:pt idx="2">
                  <c:v>0.29466900000000001</c:v>
                </c:pt>
                <c:pt idx="3">
                  <c:v>0.189554</c:v>
                </c:pt>
                <c:pt idx="4">
                  <c:v>9.4216999999999995E-2</c:v>
                </c:pt>
                <c:pt idx="5">
                  <c:v>0.106017</c:v>
                </c:pt>
                <c:pt idx="6">
                  <c:v>0.20128099999999999</c:v>
                </c:pt>
                <c:pt idx="7">
                  <c:v>0.27444800000000003</c:v>
                </c:pt>
                <c:pt idx="8">
                  <c:v>0.26974799999999999</c:v>
                </c:pt>
                <c:pt idx="9">
                  <c:v>6.1364000000000002E-2</c:v>
                </c:pt>
                <c:pt idx="10">
                  <c:v>0.10125000000000001</c:v>
                </c:pt>
                <c:pt idx="11">
                  <c:v>0.215638</c:v>
                </c:pt>
                <c:pt idx="12">
                  <c:v>0.22824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9.5130970000000001</c:v>
                </c:pt>
                <c:pt idx="1">
                  <c:v>13.293218</c:v>
                </c:pt>
                <c:pt idx="2">
                  <c:v>14.710262</c:v>
                </c:pt>
                <c:pt idx="3">
                  <c:v>22.207816999999999</c:v>
                </c:pt>
                <c:pt idx="4">
                  <c:v>21.167138000000001</c:v>
                </c:pt>
                <c:pt idx="5">
                  <c:v>22.964213999999998</c:v>
                </c:pt>
                <c:pt idx="6">
                  <c:v>21.415870999999999</c:v>
                </c:pt>
                <c:pt idx="7">
                  <c:v>17.621904000000001</c:v>
                </c:pt>
                <c:pt idx="8">
                  <c:v>16.793078000000001</c:v>
                </c:pt>
                <c:pt idx="9">
                  <c:v>8.8028849999999998</c:v>
                </c:pt>
                <c:pt idx="10">
                  <c:v>10.929036999999999</c:v>
                </c:pt>
                <c:pt idx="11">
                  <c:v>13.971553</c:v>
                </c:pt>
                <c:pt idx="12">
                  <c:v>17.801418000000002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7.6887999999999998E-2</c:v>
                </c:pt>
                <c:pt idx="1">
                  <c:v>0.13778699999999999</c:v>
                </c:pt>
                <c:pt idx="2">
                  <c:v>0.10574</c:v>
                </c:pt>
                <c:pt idx="3">
                  <c:v>0.118546</c:v>
                </c:pt>
                <c:pt idx="4">
                  <c:v>9.8640000000000005E-2</c:v>
                </c:pt>
                <c:pt idx="5">
                  <c:v>9.6151E-2</c:v>
                </c:pt>
                <c:pt idx="6">
                  <c:v>8.4413000000000002E-2</c:v>
                </c:pt>
                <c:pt idx="7">
                  <c:v>8.1381999999999996E-2</c:v>
                </c:pt>
                <c:pt idx="8">
                  <c:v>0.243059</c:v>
                </c:pt>
                <c:pt idx="9">
                  <c:v>0.24007600000000001</c:v>
                </c:pt>
                <c:pt idx="10">
                  <c:v>0.230462</c:v>
                </c:pt>
                <c:pt idx="11">
                  <c:v>0.285244</c:v>
                </c:pt>
                <c:pt idx="12">
                  <c:v>0.28095199999999998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3.641699</c:v>
                </c:pt>
                <c:pt idx="1">
                  <c:v>3.9954990000000001</c:v>
                </c:pt>
                <c:pt idx="2">
                  <c:v>3.2208809999999999</c:v>
                </c:pt>
                <c:pt idx="3">
                  <c:v>2.5715810000000001</c:v>
                </c:pt>
                <c:pt idx="4">
                  <c:v>3.062163</c:v>
                </c:pt>
                <c:pt idx="5">
                  <c:v>3.6905410000000001</c:v>
                </c:pt>
                <c:pt idx="6">
                  <c:v>3.5683280000000002</c:v>
                </c:pt>
                <c:pt idx="7">
                  <c:v>3.8190279999999999</c:v>
                </c:pt>
                <c:pt idx="8">
                  <c:v>4.0205719999999996</c:v>
                </c:pt>
                <c:pt idx="9">
                  <c:v>1.4121680000000001</c:v>
                </c:pt>
                <c:pt idx="10">
                  <c:v>3.5189080000000001</c:v>
                </c:pt>
                <c:pt idx="11">
                  <c:v>3.4010050000000001</c:v>
                </c:pt>
                <c:pt idx="12">
                  <c:v>3.0684070000000001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10.723705000000001</c:v>
                </c:pt>
                <c:pt idx="1">
                  <c:v>10.093087499999999</c:v>
                </c:pt>
                <c:pt idx="2">
                  <c:v>7.5393055000000002</c:v>
                </c:pt>
                <c:pt idx="3">
                  <c:v>6.0236640000000001</c:v>
                </c:pt>
                <c:pt idx="4">
                  <c:v>13.481942</c:v>
                </c:pt>
                <c:pt idx="5">
                  <c:v>11.473026000000001</c:v>
                </c:pt>
                <c:pt idx="6">
                  <c:v>13.3199895</c:v>
                </c:pt>
                <c:pt idx="7">
                  <c:v>11.972504499999999</c:v>
                </c:pt>
                <c:pt idx="8">
                  <c:v>6.4146000000000001</c:v>
                </c:pt>
                <c:pt idx="9">
                  <c:v>13.8683715</c:v>
                </c:pt>
                <c:pt idx="10">
                  <c:v>8.8660929999999993</c:v>
                </c:pt>
                <c:pt idx="11">
                  <c:v>9.8711500000000001</c:v>
                </c:pt>
                <c:pt idx="12">
                  <c:v>5.4414375000000001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10.723705000000001</c:v>
                </c:pt>
                <c:pt idx="1">
                  <c:v>10.093087499999999</c:v>
                </c:pt>
                <c:pt idx="2">
                  <c:v>7.5393055000000002</c:v>
                </c:pt>
                <c:pt idx="3">
                  <c:v>6.0236640000000001</c:v>
                </c:pt>
                <c:pt idx="4">
                  <c:v>13.481942</c:v>
                </c:pt>
                <c:pt idx="5">
                  <c:v>11.473026000000001</c:v>
                </c:pt>
                <c:pt idx="6">
                  <c:v>13.3199895</c:v>
                </c:pt>
                <c:pt idx="7">
                  <c:v>11.972504499999999</c:v>
                </c:pt>
                <c:pt idx="8">
                  <c:v>6.4146000000000001</c:v>
                </c:pt>
                <c:pt idx="9">
                  <c:v>13.8683715</c:v>
                </c:pt>
                <c:pt idx="10">
                  <c:v>8.8660929999999993</c:v>
                </c:pt>
                <c:pt idx="11">
                  <c:v>9.8711500000000001</c:v>
                </c:pt>
                <c:pt idx="12">
                  <c:v>5.4414375000000001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113.412009</c:v>
                </c:pt>
                <c:pt idx="1">
                  <c:v>127.985573</c:v>
                </c:pt>
                <c:pt idx="2">
                  <c:v>111.02179700000001</c:v>
                </c:pt>
                <c:pt idx="3">
                  <c:v>111.601713</c:v>
                </c:pt>
                <c:pt idx="4">
                  <c:v>65.429468</c:v>
                </c:pt>
                <c:pt idx="5">
                  <c:v>45.879221000000001</c:v>
                </c:pt>
                <c:pt idx="6">
                  <c:v>40.107311000000003</c:v>
                </c:pt>
                <c:pt idx="7">
                  <c:v>37.549396999999999</c:v>
                </c:pt>
                <c:pt idx="8">
                  <c:v>38.285525</c:v>
                </c:pt>
                <c:pt idx="9">
                  <c:v>28.435708999999999</c:v>
                </c:pt>
                <c:pt idx="10">
                  <c:v>32.270831999999999</c:v>
                </c:pt>
                <c:pt idx="11">
                  <c:v>31.159338999999999</c:v>
                </c:pt>
                <c:pt idx="12">
                  <c:v>27.502502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15.603137156568778</c:v>
                </c:pt>
                <c:pt idx="1">
                  <c:v>16.66256597958164</c:v>
                </c:pt>
                <c:pt idx="2">
                  <c:v>15.443150925367801</c:v>
                </c:pt>
                <c:pt idx="3">
                  <c:v>27.690416896264907</c:v>
                </c:pt>
                <c:pt idx="4">
                  <c:v>1.222294806375456</c:v>
                </c:pt>
                <c:pt idx="5">
                  <c:v>4.8635814285096675E-2</c:v>
                </c:pt>
                <c:pt idx="6">
                  <c:v>0.36220882743900945</c:v>
                </c:pt>
                <c:pt idx="7">
                  <c:v>17.151003943438219</c:v>
                </c:pt>
                <c:pt idx="8">
                  <c:v>5.6983238285753357</c:v>
                </c:pt>
                <c:pt idx="9">
                  <c:v>0.11826182210376139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22764227642276422"/>
                  <c:y val="2.176456692913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9.4308943089430899E-2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1219499391844301"/>
                  <c:y val="-0.129411811023622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9593483131681708"/>
                  <c:y val="-3.5000000000000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19.899436185607826</c:v>
                </c:pt>
                <c:pt idx="1">
                  <c:v>3.4333977490511378</c:v>
                </c:pt>
                <c:pt idx="2">
                  <c:v>15.797564126474786</c:v>
                </c:pt>
                <c:pt idx="3">
                  <c:v>43.920289999227847</c:v>
                </c:pt>
                <c:pt idx="4">
                  <c:v>0</c:v>
                </c:pt>
                <c:pt idx="5">
                  <c:v>3.8571174522572312E-2</c:v>
                </c:pt>
                <c:pt idx="6">
                  <c:v>0.22812578854548882</c:v>
                </c:pt>
                <c:pt idx="7">
                  <c:v>13.694760455769542</c:v>
                </c:pt>
                <c:pt idx="8">
                  <c:v>2.876920102781678</c:v>
                </c:pt>
                <c:pt idx="9">
                  <c:v>0.11093441801912675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0.25852999999999998</c:v>
                </c:pt>
                <c:pt idx="1">
                  <c:v>0.28226499999999999</c:v>
                </c:pt>
                <c:pt idx="2">
                  <c:v>0.13780600000000001</c:v>
                </c:pt>
                <c:pt idx="3">
                  <c:v>0.26783600000000002</c:v>
                </c:pt>
                <c:pt idx="4">
                  <c:v>0.28217700000000001</c:v>
                </c:pt>
                <c:pt idx="5">
                  <c:v>0.28972599999999998</c:v>
                </c:pt>
                <c:pt idx="6">
                  <c:v>0.28065899999999999</c:v>
                </c:pt>
                <c:pt idx="7">
                  <c:v>0.27753299999999997</c:v>
                </c:pt>
                <c:pt idx="8">
                  <c:v>0.28213100000000002</c:v>
                </c:pt>
                <c:pt idx="9">
                  <c:v>0.23125799999999999</c:v>
                </c:pt>
                <c:pt idx="10">
                  <c:v>0.15536</c:v>
                </c:pt>
                <c:pt idx="11">
                  <c:v>0.294213</c:v>
                </c:pt>
                <c:pt idx="12">
                  <c:v>0.25058200000000003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227.675399</c:v>
                </c:pt>
                <c:pt idx="1">
                  <c:v>244.02209900000003</c:v>
                </c:pt>
                <c:pt idx="2">
                  <c:v>226.89470900000001</c:v>
                </c:pt>
                <c:pt idx="3">
                  <c:v>205.95798300000001</c:v>
                </c:pt>
                <c:pt idx="4">
                  <c:v>182.21304600000002</c:v>
                </c:pt>
                <c:pt idx="5">
                  <c:v>222.63896800000001</c:v>
                </c:pt>
                <c:pt idx="6">
                  <c:v>266.14883300000002</c:v>
                </c:pt>
                <c:pt idx="7">
                  <c:v>313.81515200000001</c:v>
                </c:pt>
                <c:pt idx="8">
                  <c:v>299.91658699999999</c:v>
                </c:pt>
                <c:pt idx="9">
                  <c:v>280.34116800000004</c:v>
                </c:pt>
                <c:pt idx="10">
                  <c:v>286.855771</c:v>
                </c:pt>
                <c:pt idx="11">
                  <c:v>282.52258499999999</c:v>
                </c:pt>
                <c:pt idx="12">
                  <c:v>254.215059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269.76136200000002</c:v>
                </c:pt>
                <c:pt idx="1">
                  <c:v>284.19602200000003</c:v>
                </c:pt>
                <c:pt idx="2">
                  <c:v>311.21022299999998</c:v>
                </c:pt>
                <c:pt idx="3">
                  <c:v>236.28277700000001</c:v>
                </c:pt>
                <c:pt idx="4">
                  <c:v>276.61590899999999</c:v>
                </c:pt>
                <c:pt idx="5">
                  <c:v>284.60979800000001</c:v>
                </c:pt>
                <c:pt idx="6">
                  <c:v>284.30052499999999</c:v>
                </c:pt>
                <c:pt idx="7">
                  <c:v>278.88830000000002</c:v>
                </c:pt>
                <c:pt idx="8">
                  <c:v>288.42916700000001</c:v>
                </c:pt>
                <c:pt idx="9">
                  <c:v>314.272829</c:v>
                </c:pt>
                <c:pt idx="10">
                  <c:v>321.01253800000001</c:v>
                </c:pt>
                <c:pt idx="11">
                  <c:v>350.31383599999998</c:v>
                </c:pt>
                <c:pt idx="12">
                  <c:v>285.33313399999997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1.226483</c:v>
                </c:pt>
                <c:pt idx="1">
                  <c:v>1.921443</c:v>
                </c:pt>
                <c:pt idx="2">
                  <c:v>0.83590799999999998</c:v>
                </c:pt>
                <c:pt idx="3">
                  <c:v>3.227077</c:v>
                </c:pt>
                <c:pt idx="4">
                  <c:v>3.0020419999999999</c:v>
                </c:pt>
                <c:pt idx="5">
                  <c:v>3.5782180000000001</c:v>
                </c:pt>
                <c:pt idx="6">
                  <c:v>2.663478</c:v>
                </c:pt>
                <c:pt idx="7">
                  <c:v>1.4201079999999999</c:v>
                </c:pt>
                <c:pt idx="8">
                  <c:v>1.852679</c:v>
                </c:pt>
                <c:pt idx="9">
                  <c:v>1.1397900000000001</c:v>
                </c:pt>
                <c:pt idx="10">
                  <c:v>1.2278610000000001</c:v>
                </c:pt>
                <c:pt idx="11">
                  <c:v>1.110916</c:v>
                </c:pt>
                <c:pt idx="12">
                  <c:v>1.4820450000000001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58.777921999999997</c:v>
                </c:pt>
                <c:pt idx="1">
                  <c:v>84.841812000000004</c:v>
                </c:pt>
                <c:pt idx="2">
                  <c:v>53.035682999999999</c:v>
                </c:pt>
                <c:pt idx="3">
                  <c:v>162.608282</c:v>
                </c:pt>
                <c:pt idx="4">
                  <c:v>148.01756800000001</c:v>
                </c:pt>
                <c:pt idx="5">
                  <c:v>158.51529099999999</c:v>
                </c:pt>
                <c:pt idx="6">
                  <c:v>145.85682</c:v>
                </c:pt>
                <c:pt idx="7">
                  <c:v>107.853368</c:v>
                </c:pt>
                <c:pt idx="8">
                  <c:v>121.87329699999999</c:v>
                </c:pt>
                <c:pt idx="9">
                  <c:v>91.770038</c:v>
                </c:pt>
                <c:pt idx="10">
                  <c:v>92.799205999999998</c:v>
                </c:pt>
                <c:pt idx="11">
                  <c:v>60.108277000000001</c:v>
                </c:pt>
                <c:pt idx="12">
                  <c:v>88.969560999999999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18.033486</c:v>
                </c:pt>
                <c:pt idx="1">
                  <c:v>24.290976000000001</c:v>
                </c:pt>
                <c:pt idx="2">
                  <c:v>22.649926000000001</c:v>
                </c:pt>
                <c:pt idx="3">
                  <c:v>27.065259999999999</c:v>
                </c:pt>
                <c:pt idx="4">
                  <c:v>24.71088</c:v>
                </c:pt>
                <c:pt idx="5">
                  <c:v>27.905276000000001</c:v>
                </c:pt>
                <c:pt idx="6">
                  <c:v>26.076153999999999</c:v>
                </c:pt>
                <c:pt idx="7">
                  <c:v>21.556585999999999</c:v>
                </c:pt>
                <c:pt idx="8">
                  <c:v>20.903444</c:v>
                </c:pt>
                <c:pt idx="9">
                  <c:v>14.926348000000001</c:v>
                </c:pt>
                <c:pt idx="10">
                  <c:v>16.796773000000002</c:v>
                </c:pt>
                <c:pt idx="11">
                  <c:v>17.847128000000001</c:v>
                </c:pt>
                <c:pt idx="12">
                  <c:v>18.690237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feb.-21</c:v>
                </c:pt>
                <c:pt idx="1">
                  <c:v>mar.-21</c:v>
                </c:pt>
                <c:pt idx="2">
                  <c:v>abr.-21</c:v>
                </c:pt>
                <c:pt idx="3">
                  <c:v>may.-21</c:v>
                </c:pt>
                <c:pt idx="4">
                  <c:v>jun.-21</c:v>
                </c:pt>
                <c:pt idx="5">
                  <c:v>jul.-21</c:v>
                </c:pt>
                <c:pt idx="6">
                  <c:v>ago.-21</c:v>
                </c:pt>
                <c:pt idx="7">
                  <c:v>sep.-21</c:v>
                </c:pt>
                <c:pt idx="8">
                  <c:v>oct.-21</c:v>
                </c:pt>
                <c:pt idx="9">
                  <c:v>nov.-21</c:v>
                </c:pt>
                <c:pt idx="10">
                  <c:v>dic.-21</c:v>
                </c:pt>
                <c:pt idx="11">
                  <c:v>ene.-22</c:v>
                </c:pt>
                <c:pt idx="12">
                  <c:v>feb.-22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0.69978200000000002</c:v>
                </c:pt>
                <c:pt idx="1">
                  <c:v>0.79178499999999996</c:v>
                </c:pt>
                <c:pt idx="2">
                  <c:v>0.72202100000000002</c:v>
                </c:pt>
                <c:pt idx="3">
                  <c:v>0.72256799999999999</c:v>
                </c:pt>
                <c:pt idx="4">
                  <c:v>0.72395900000000002</c:v>
                </c:pt>
                <c:pt idx="5">
                  <c:v>0.73402900000000004</c:v>
                </c:pt>
                <c:pt idx="6">
                  <c:v>0.56980699999999995</c:v>
                </c:pt>
                <c:pt idx="7">
                  <c:v>0.40013300000000002</c:v>
                </c:pt>
                <c:pt idx="8">
                  <c:v>0.75599700000000003</c:v>
                </c:pt>
                <c:pt idx="9">
                  <c:v>0.75323799999999996</c:v>
                </c:pt>
                <c:pt idx="10">
                  <c:v>0.822349</c:v>
                </c:pt>
                <c:pt idx="11">
                  <c:v>0.86053100000000005</c:v>
                </c:pt>
                <c:pt idx="12">
                  <c:v>0.72069799999999995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Febrero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Febrero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397.102104</v>
      </c>
      <c r="G9" s="164">
        <f>Dat_01!T24*100</f>
        <v>9.7828487699999993</v>
      </c>
      <c r="H9" s="83">
        <f>Dat_01!U24/1000</f>
        <v>861.54934100000003</v>
      </c>
      <c r="I9" s="164">
        <f>Dat_01!W24*100</f>
        <v>3.4720590900000001</v>
      </c>
      <c r="J9" s="83">
        <f>Dat_01!X24/1000</f>
        <v>5555.4807220000002</v>
      </c>
      <c r="K9" s="164">
        <f>Dat_01!Y24*100</f>
        <v>13.04346164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0.11299999999999999</v>
      </c>
      <c r="H12" s="103"/>
      <c r="I12" s="103">
        <f>Dat_01!H152*100</f>
        <v>0.24299999999999999</v>
      </c>
      <c r="J12" s="103"/>
      <c r="K12" s="103">
        <f>Dat_01!L152*100</f>
        <v>-0.17600000000000002</v>
      </c>
    </row>
    <row r="13" spans="3:12">
      <c r="E13" s="85" t="s">
        <v>42</v>
      </c>
      <c r="F13" s="84"/>
      <c r="G13" s="103">
        <f>Dat_01!E152*100</f>
        <v>1.4569999999999999</v>
      </c>
      <c r="H13" s="103"/>
      <c r="I13" s="103">
        <f>Dat_01!I152*100</f>
        <v>-0.78400000000000003</v>
      </c>
      <c r="J13" s="103"/>
      <c r="K13" s="103">
        <f>Dat_01!M152*100</f>
        <v>0.86999999999999988</v>
      </c>
    </row>
    <row r="14" spans="3:12">
      <c r="E14" s="86" t="s">
        <v>43</v>
      </c>
      <c r="F14" s="87"/>
      <c r="G14" s="104">
        <f>Dat_01!F152*100</f>
        <v>8.2129999999999992</v>
      </c>
      <c r="H14" s="104"/>
      <c r="I14" s="104">
        <f>Dat_01!J152*100</f>
        <v>4.0129999999999999</v>
      </c>
      <c r="J14" s="104"/>
      <c r="K14" s="104">
        <f>Dat_01!N152*100</f>
        <v>12.349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Febrero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649.66131599999994</v>
      </c>
      <c r="G9" s="164">
        <f>Dat_01!AB24*100</f>
        <v>12.703706510000002</v>
      </c>
      <c r="H9" s="83">
        <f>Dat_01!AC24/1000</f>
        <v>1362.7188019999999</v>
      </c>
      <c r="I9" s="164">
        <f>Dat_01!AE24*100</f>
        <v>11.28081819</v>
      </c>
      <c r="J9" s="83">
        <f>Dat_01!AF24/1000</f>
        <v>8195.7454349999989</v>
      </c>
      <c r="K9" s="164">
        <f>Dat_01!AG24*100</f>
        <v>6.3218457000000008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0.503</v>
      </c>
      <c r="H12" s="103"/>
      <c r="I12" s="103">
        <f>Dat_01!H158*100</f>
        <v>0.40299999999999997</v>
      </c>
      <c r="J12" s="103"/>
      <c r="K12" s="103">
        <f>Dat_01!L158*100</f>
        <v>-2.2000000000000002E-2</v>
      </c>
    </row>
    <row r="13" spans="3:12">
      <c r="E13" s="85" t="s">
        <v>42</v>
      </c>
      <c r="F13" s="84"/>
      <c r="G13" s="103">
        <f>Dat_01!E158*100</f>
        <v>-9.4E-2</v>
      </c>
      <c r="H13" s="103"/>
      <c r="I13" s="103">
        <f>Dat_01!I158*100</f>
        <v>-0.125</v>
      </c>
      <c r="J13" s="103"/>
      <c r="K13" s="103">
        <f>Dat_01!M158*100</f>
        <v>-0.14899999999999999</v>
      </c>
    </row>
    <row r="14" spans="3:12">
      <c r="E14" s="86" t="s">
        <v>43</v>
      </c>
      <c r="F14" s="87"/>
      <c r="G14" s="104">
        <f>Dat_01!F158*100</f>
        <v>12.295</v>
      </c>
      <c r="H14" s="104"/>
      <c r="I14" s="104">
        <f>Dat_01!J158*100</f>
        <v>11.003</v>
      </c>
      <c r="J14" s="104"/>
      <c r="K14" s="104">
        <f>Dat_01!N158*100</f>
        <v>6.4930000000000003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126</v>
      </c>
    </row>
    <row r="2" spans="1:2">
      <c r="A2" t="s">
        <v>121</v>
      </c>
    </row>
    <row r="3" spans="1:2">
      <c r="A3" t="s">
        <v>122</v>
      </c>
    </row>
    <row r="4" spans="1:2">
      <c r="A4" t="s">
        <v>124</v>
      </c>
    </row>
    <row r="5" spans="1:2">
      <c r="A5" t="s">
        <v>125</v>
      </c>
    </row>
    <row r="6" spans="1:2">
      <c r="A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Febrero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0.25058199999999997</v>
      </c>
      <c r="I9" s="17">
        <f>IF(Dat_01!AB8*100=-100,"-",Dat_01!AB8*100)</f>
        <v>-3.0743047200000002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1.4820450000000001</v>
      </c>
      <c r="I10" s="17">
        <f>Dat_01!AB15*100</f>
        <v>20.83697858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0.22824</v>
      </c>
      <c r="G11" s="17">
        <f>Dat_01!T16*100</f>
        <v>43.112432050000002</v>
      </c>
      <c r="H11" s="153">
        <f>Dat_01!Z16/1000</f>
        <v>88.969560999999999</v>
      </c>
      <c r="I11" s="17">
        <f>Dat_01!AB16*100</f>
        <v>51.365611389999998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17.801418000000002</v>
      </c>
      <c r="G12" s="17">
        <f>Dat_01!T17*100</f>
        <v>87.12537042000001</v>
      </c>
      <c r="H12" s="153">
        <f>Dat_01!Z17/1000</f>
        <v>18.690237</v>
      </c>
      <c r="I12" s="17">
        <f>Dat_01!AB17*100</f>
        <v>3.6418416300000001</v>
      </c>
      <c r="J12" s="153" t="s">
        <v>3</v>
      </c>
      <c r="K12" s="17" t="s">
        <v>3</v>
      </c>
      <c r="L12" s="17">
        <f>Dat_01!J17/1000</f>
        <v>4.5929999999999999E-3</v>
      </c>
      <c r="M12" s="17">
        <f>IF(Dat_01!L17*100=-100,"-",Dat_01!L17*100)</f>
        <v>-5.9967253399999993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0.28095199999999998</v>
      </c>
      <c r="G13" s="17">
        <f>Dat_01!T18*100</f>
        <v>265.40422433000003</v>
      </c>
      <c r="H13" s="153">
        <f>Dat_01!Z18/1000</f>
        <v>0.72069799999999995</v>
      </c>
      <c r="I13" s="17">
        <f>IF(Dat_01!AB18*100=-100,"-",Dat_01!AB18*100)</f>
        <v>2.9889308400000001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5.4414375000000001</v>
      </c>
      <c r="G14" s="17">
        <f>Dat_01!T21*100</f>
        <v>-49.257859109999998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0.58250150000000001</v>
      </c>
      <c r="M14" s="17">
        <f>Dat_01!L21*100</f>
        <v>1.50090262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23.7520475</v>
      </c>
      <c r="G15" s="173">
        <f>((SUM(Dat_01!R8,Dat_01!R15:R18,Dat_01!R20)/SUM(Dat_01!S8,Dat_01!S15:S18,Dat_01!S20))-1)*100</f>
        <v>16.015468144581213</v>
      </c>
      <c r="H15" s="172">
        <f>SUM(H9:H14)</f>
        <v>110.11312299999999</v>
      </c>
      <c r="I15" s="173">
        <f>((SUM(Dat_01!Z8,Dat_01!Z15:Z18,Dat_01!Z20)/SUM(Dat_01!AA8,Dat_01!AA15:AA18,Dat_01!AA20))-1)*100</f>
        <v>39.390399561356105</v>
      </c>
      <c r="J15" s="172" t="s">
        <v>3</v>
      </c>
      <c r="K15" s="173" t="s">
        <v>3</v>
      </c>
      <c r="L15" s="173">
        <f>SUM(L9:L14)</f>
        <v>0.58709449999999996</v>
      </c>
      <c r="M15" s="173">
        <f>((SUM(Dat_01!J8,Dat_01!J15:J18,Dat_01!J21)/SUM(Dat_01!K8,Dat_01!K15:K18,Dat_01!K20))-1)*100</f>
        <v>1.4376077709088442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-0.58012699999999995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27.285067999999999</v>
      </c>
      <c r="G17" s="24">
        <f>((SUM(Dat_01!R10,Dat_01!R14)/SUM(Dat_01!S10,Dat_01!S14))-1)*100</f>
        <v>44.05806193314401</v>
      </c>
      <c r="H17" s="154">
        <f>Dat_01!Z10/1000</f>
        <v>129.27893900000001</v>
      </c>
      <c r="I17" s="24">
        <f>Dat_01!AB10*100</f>
        <v>15.05828189</v>
      </c>
      <c r="J17" s="154">
        <f>Dat_01!B10/1000</f>
        <v>15.284855</v>
      </c>
      <c r="K17" s="24">
        <f>Dat_01!D10*100</f>
        <v>0.47771575999999999</v>
      </c>
      <c r="L17" s="154">
        <f>Dat_01!J10/1000</f>
        <v>13.723559999999999</v>
      </c>
      <c r="M17" s="24">
        <f>Dat_01!L10*100</f>
        <v>-1.31229942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12.015179</v>
      </c>
      <c r="G18" s="24">
        <f>Dat_01!T11*100</f>
        <v>56.738262089999999</v>
      </c>
      <c r="H18" s="154">
        <f>Dat_01!Z11/1000</f>
        <v>22.305456999999997</v>
      </c>
      <c r="I18" s="24">
        <f>Dat_01!AB11*100</f>
        <v>115.40703853000001</v>
      </c>
      <c r="J18" s="154">
        <f>Dat_01!B11/1000</f>
        <v>5.0239999999999998E-3</v>
      </c>
      <c r="K18" s="24">
        <f>IF(Dat_01!D11=-100%,"-",Dat_01!D11*100)</f>
        <v>64.505566469999991</v>
      </c>
      <c r="L18" s="154">
        <f>Dat_01!J11/1000</f>
        <v>2.1349999999999997E-3</v>
      </c>
      <c r="M18" s="24">
        <f>IF(Dat_01!L11*100=-100,"-",Dat_01!L11*100)</f>
        <v>-6.7278287500000005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102.630663</v>
      </c>
      <c r="I19" s="24">
        <f>Dat_01!AB12*100</f>
        <v>-2.2200506799999999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39.300246999999999</v>
      </c>
      <c r="G20" s="17">
        <f>((SUM(Dat_01!R10:R12,Dat_01!R14)/SUM(Dat_01!S10:S12,Dat_01!S14))-1)*100</f>
        <v>47.711487976416848</v>
      </c>
      <c r="H20" s="153">
        <f>SUM(H17:H19)</f>
        <v>254.215059</v>
      </c>
      <c r="I20" s="17">
        <f>(H20/(H17/(I17/100+1)+H18/(I18/100+1)+H19/(I19/100+1))-1)*100</f>
        <v>11.656797407105323</v>
      </c>
      <c r="J20" s="153">
        <f>SUM(J17:J19)</f>
        <v>15.289879000000001</v>
      </c>
      <c r="K20" s="17">
        <f>((SUM(Dat_01!B10:B12)/SUM(Dat_01!C10:C12))-1)*100</f>
        <v>0.49056741669109005</v>
      </c>
      <c r="L20" s="153">
        <f>SUM(L17:L19)</f>
        <v>13.725695</v>
      </c>
      <c r="M20" s="17">
        <f>((SUM(Dat_01!J10:J12)/SUM(Dat_01!K10:K12))-1)*100</f>
        <v>-1.3131906917994263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298.61759000000001</v>
      </c>
      <c r="G21" s="17">
        <f>Dat_01!T13*100</f>
        <v>59.292055840000003</v>
      </c>
      <c r="H21" s="153">
        <f>Dat_01!Z13/1000</f>
        <v>285.33313400000003</v>
      </c>
      <c r="I21" s="17">
        <f>Dat_01!AB13*100</f>
        <v>5.7724248899999999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3.0684070000000001</v>
      </c>
      <c r="G22" s="17">
        <f>Dat_01!T19*100</f>
        <v>-15.742432310000002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5.4414375000000001</v>
      </c>
      <c r="G23" s="17">
        <f>Dat_01!T20*100</f>
        <v>-49.257859109999998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0.58250150000000001</v>
      </c>
      <c r="M23" s="17">
        <f>Dat_01!L20*100</f>
        <v>1.50090262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345.8475545</v>
      </c>
      <c r="G24" s="173">
        <f>((SUM(Dat_01!R9:R14,Dat_01!R19,Dat_01!R21)/SUM(Dat_01!S9:S14,Dat_01!S19,Dat_01!S21))-1)*100</f>
        <v>51.800178944202898</v>
      </c>
      <c r="H24" s="155">
        <f>SUM(H16,H20:H23)</f>
        <v>539.54819300000008</v>
      </c>
      <c r="I24" s="173">
        <f>((SUM(Dat_01!Z9:Z14,Dat_01!Z19,Dat_01!Z21)/SUM(Dat_01!AA9:AA14,Dat_01!AA19,Dat_01!AA21))-1)*100</f>
        <v>8.4656855507307291</v>
      </c>
      <c r="J24" s="155">
        <f>SUM(J16,J20:J23)</f>
        <v>15.289879000000001</v>
      </c>
      <c r="K24" s="173">
        <f>((SUM(Dat_01!B9:B14,Dat_01!B19,Dat_01!B21)/SUM(Dat_01!C9:C14,Dat_01!C19,Dat_01!C21))-1)*100</f>
        <v>0.49056741669109005</v>
      </c>
      <c r="L24" s="155">
        <f>SUM(L16,L20:L23)</f>
        <v>14.308196499999999</v>
      </c>
      <c r="M24" s="173">
        <f>((SUM(Dat_01!J9:J14,Dat_01!J19,Dat_01!J21)/SUM(Dat_01!K9:K14,Dat_01!K19,Dat_01!K21))-1)*100</f>
        <v>-1.2016764549869774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27.502502</v>
      </c>
      <c r="G25" s="14">
        <f>Dat_01!T23*100</f>
        <v>-75.749920799999998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397.102104</v>
      </c>
      <c r="G26" s="11">
        <f>Dat_01!T24*100</f>
        <v>9.7828487699999993</v>
      </c>
      <c r="H26" s="157">
        <f>Dat_01!Z24/1000</f>
        <v>649.66131599999994</v>
      </c>
      <c r="I26" s="11">
        <f>Dat_01!AB24*100</f>
        <v>12.703706510000002</v>
      </c>
      <c r="J26" s="157">
        <f>Dat_01!B24/1000</f>
        <v>15.289879000000001</v>
      </c>
      <c r="K26" s="11">
        <f>Dat_01!D24*100</f>
        <v>0.49056741999999998</v>
      </c>
      <c r="L26" s="157">
        <f>Dat_01!J24/1000</f>
        <v>14.895290999999999</v>
      </c>
      <c r="M26" s="11">
        <f>Dat_01!L24*100</f>
        <v>-1.1002523099999999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3" sqref="I23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28" sqref="J28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8" zoomScale="80" zoomScaleNormal="80" workbookViewId="0">
      <selection activeCell="G76" sqref="G76"/>
    </sheetView>
  </sheetViews>
  <sheetFormatPr baseColWidth="10" defaultColWidth="11.42578125" defaultRowHeight="12"/>
  <cols>
    <col min="1" max="1" width="9.5703125" style="111" bestFit="1" customWidth="1"/>
    <col min="2" max="2" width="13.28515625" style="111" bestFit="1" customWidth="1"/>
    <col min="3" max="3" width="24.5703125" style="111" bestFit="1" customWidth="1"/>
    <col min="4" max="4" width="20.42578125" style="111" bestFit="1" customWidth="1"/>
    <col min="5" max="5" width="20.85546875" style="111" bestFit="1" customWidth="1"/>
    <col min="6" max="6" width="33.28515625" style="111" bestFit="1" customWidth="1"/>
    <col min="7" max="7" width="24.5703125" style="111" bestFit="1" customWidth="1"/>
    <col min="8" max="8" width="20.42578125" style="111" bestFit="1" customWidth="1"/>
    <col min="9" max="9" width="20.85546875" style="111" bestFit="1" customWidth="1"/>
    <col min="10" max="10" width="28.85546875" style="111" bestFit="1" customWidth="1"/>
    <col min="11" max="11" width="29" style="111" bestFit="1" customWidth="1"/>
    <col min="12" max="12" width="24.7109375" style="111" bestFit="1" customWidth="1"/>
    <col min="13" max="13" width="25.42578125" style="111" bestFit="1" customWidth="1"/>
    <col min="14" max="14" width="33.28515625" style="111" bestFit="1" customWidth="1"/>
    <col min="15" max="33" width="21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119</v>
      </c>
      <c r="B2" s="144" t="s">
        <v>120</v>
      </c>
    </row>
    <row r="4" spans="1:33" ht="15">
      <c r="A4" s="145" t="s">
        <v>67</v>
      </c>
      <c r="B4" s="206" t="s">
        <v>119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250.58199999999999</v>
      </c>
      <c r="AA8" s="158">
        <v>258.52999999999997</v>
      </c>
      <c r="AB8" s="151">
        <v>-3.0743047200000002E-2</v>
      </c>
      <c r="AC8" s="158">
        <v>544.79499999999996</v>
      </c>
      <c r="AD8" s="158">
        <v>556.15099999999995</v>
      </c>
      <c r="AE8" s="151">
        <v>-2.0418914999999999E-2</v>
      </c>
      <c r="AF8" s="158">
        <v>3031.5459999999998</v>
      </c>
      <c r="AG8" s="151">
        <v>-0.1251833148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-580.12699999999995</v>
      </c>
      <c r="S9" s="158">
        <v>-606.15899999999999</v>
      </c>
      <c r="T9" s="151">
        <v>-4.2945827700000001E-2</v>
      </c>
      <c r="U9" s="158">
        <v>-1207.5940000000001</v>
      </c>
      <c r="V9" s="158">
        <v>-1238.8510000000001</v>
      </c>
      <c r="W9" s="151">
        <v>-2.5230637100000002E-2</v>
      </c>
      <c r="X9" s="158">
        <v>44633.891000000003</v>
      </c>
      <c r="Y9" s="151">
        <v>-0.80158958810000003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15284.855</v>
      </c>
      <c r="C10" s="158">
        <v>15212.183999999999</v>
      </c>
      <c r="D10" s="151">
        <v>4.7771576E-3</v>
      </c>
      <c r="E10" s="158">
        <v>32503.352999999999</v>
      </c>
      <c r="F10" s="158">
        <v>33749.514000000003</v>
      </c>
      <c r="G10" s="151">
        <v>-3.6923820599999997E-2</v>
      </c>
      <c r="H10" s="158">
        <v>195432.79</v>
      </c>
      <c r="I10" s="151">
        <v>-1.8790139099999999E-2</v>
      </c>
      <c r="J10" s="158">
        <v>13723.56</v>
      </c>
      <c r="K10" s="158">
        <v>13906.049000000001</v>
      </c>
      <c r="L10" s="151">
        <v>-1.31229942E-2</v>
      </c>
      <c r="M10" s="158">
        <v>29725.405999999999</v>
      </c>
      <c r="N10" s="158">
        <v>30880.699000000001</v>
      </c>
      <c r="O10" s="151">
        <v>-3.7411491200000001E-2</v>
      </c>
      <c r="P10" s="158">
        <v>191774.802</v>
      </c>
      <c r="Q10" s="151">
        <v>-1.67761313E-2</v>
      </c>
      <c r="R10" s="158">
        <v>27285.067999999999</v>
      </c>
      <c r="S10" s="158">
        <v>18940.327000000001</v>
      </c>
      <c r="T10" s="151">
        <v>0.44058061929999998</v>
      </c>
      <c r="U10" s="158">
        <v>59213.832000000002</v>
      </c>
      <c r="V10" s="158">
        <v>46137.277000000002</v>
      </c>
      <c r="W10" s="151">
        <v>0.2834271082</v>
      </c>
      <c r="X10" s="158">
        <v>411959.14</v>
      </c>
      <c r="Y10" s="151">
        <v>0.45503553930000001</v>
      </c>
      <c r="Z10" s="158">
        <v>129278.939</v>
      </c>
      <c r="AA10" s="158">
        <v>112359.52499999999</v>
      </c>
      <c r="AB10" s="151">
        <v>0.1505828189</v>
      </c>
      <c r="AC10" s="158">
        <v>274255.42099999997</v>
      </c>
      <c r="AD10" s="158">
        <v>253410.568</v>
      </c>
      <c r="AE10" s="151">
        <v>8.2257236400000003E-2</v>
      </c>
      <c r="AF10" s="158">
        <v>1737752.307</v>
      </c>
      <c r="AG10" s="151">
        <v>6.3301764799999993E-2</v>
      </c>
    </row>
    <row r="11" spans="1:33">
      <c r="A11" s="144" t="s">
        <v>9</v>
      </c>
      <c r="B11" s="158">
        <v>5.024</v>
      </c>
      <c r="C11" s="158">
        <v>3.0539999999999998</v>
      </c>
      <c r="D11" s="151">
        <v>0.64505566469999998</v>
      </c>
      <c r="E11" s="158">
        <v>39.731999999999999</v>
      </c>
      <c r="F11" s="158">
        <v>4.38</v>
      </c>
      <c r="G11" s="151">
        <v>8.0712328766999999</v>
      </c>
      <c r="H11" s="158">
        <v>242.245</v>
      </c>
      <c r="I11" s="151">
        <v>0.41209559899999998</v>
      </c>
      <c r="J11" s="158">
        <v>2.1349999999999998</v>
      </c>
      <c r="K11" s="158">
        <v>2.2890000000000001</v>
      </c>
      <c r="L11" s="151">
        <v>-6.7278287500000006E-2</v>
      </c>
      <c r="M11" s="158">
        <v>2.6389999999999998</v>
      </c>
      <c r="N11" s="158">
        <v>66.903000000000006</v>
      </c>
      <c r="O11" s="151">
        <v>-0.96055483310000001</v>
      </c>
      <c r="P11" s="158">
        <v>26.827999999999999</v>
      </c>
      <c r="Q11" s="151">
        <v>-0.83320484439999998</v>
      </c>
      <c r="R11" s="158">
        <v>12015.179</v>
      </c>
      <c r="S11" s="158">
        <v>7665.76</v>
      </c>
      <c r="T11" s="151">
        <v>0.56738262090000002</v>
      </c>
      <c r="U11" s="158">
        <v>26303.115000000002</v>
      </c>
      <c r="V11" s="158">
        <v>26208.246999999999</v>
      </c>
      <c r="W11" s="151">
        <v>3.6197766000000001E-3</v>
      </c>
      <c r="X11" s="158">
        <v>224351.18799999999</v>
      </c>
      <c r="Y11" s="151">
        <v>0.13564779709999999</v>
      </c>
      <c r="Z11" s="158">
        <v>22305.456999999999</v>
      </c>
      <c r="AA11" s="158">
        <v>10355.027</v>
      </c>
      <c r="AB11" s="151">
        <v>1.1540703853000001</v>
      </c>
      <c r="AC11" s="158">
        <v>42429.059000000001</v>
      </c>
      <c r="AD11" s="158">
        <v>20512.870999999999</v>
      </c>
      <c r="AE11" s="151">
        <v>1.0684115353999999</v>
      </c>
      <c r="AF11" s="158">
        <v>220941.886</v>
      </c>
      <c r="AG11" s="151">
        <v>0.24615919720000001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102630.663</v>
      </c>
      <c r="AA12" s="158">
        <v>104960.84699999999</v>
      </c>
      <c r="AB12" s="151">
        <v>-2.2200506799999999E-2</v>
      </c>
      <c r="AC12" s="158">
        <v>220053.16399999999</v>
      </c>
      <c r="AD12" s="158">
        <v>221242.9</v>
      </c>
      <c r="AE12" s="151">
        <v>-5.3775104000000004E-3</v>
      </c>
      <c r="AF12" s="158">
        <v>1106847.767</v>
      </c>
      <c r="AG12" s="151">
        <v>-0.17001943859999999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298617.59000000003</v>
      </c>
      <c r="S13" s="158">
        <v>187465.46299999999</v>
      </c>
      <c r="T13" s="151">
        <v>0.59292055840000002</v>
      </c>
      <c r="U13" s="158">
        <v>648700.51500000001</v>
      </c>
      <c r="V13" s="158">
        <v>447737.50799999997</v>
      </c>
      <c r="W13" s="151">
        <v>0.44884112549999999</v>
      </c>
      <c r="X13" s="158">
        <v>3683181.6430000002</v>
      </c>
      <c r="Y13" s="151">
        <v>0.54348771100000004</v>
      </c>
      <c r="Z13" s="158">
        <v>285333.13400000002</v>
      </c>
      <c r="AA13" s="158">
        <v>269761.36200000002</v>
      </c>
      <c r="AB13" s="151">
        <v>5.7724248899999997E-2</v>
      </c>
      <c r="AC13" s="158">
        <v>635646.97</v>
      </c>
      <c r="AD13" s="158">
        <v>550421.51100000006</v>
      </c>
      <c r="AE13" s="151">
        <v>0.15483671569999999</v>
      </c>
      <c r="AF13" s="158">
        <v>3515465.0580000002</v>
      </c>
      <c r="AG13" s="151">
        <v>0.1023026792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12023.662</v>
      </c>
      <c r="Y14" s="151">
        <v>2.0799805625999999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1482.0450000000001</v>
      </c>
      <c r="AA15" s="158">
        <v>1226.4829999999999</v>
      </c>
      <c r="AB15" s="151">
        <v>0.20836978580000001</v>
      </c>
      <c r="AC15" s="158">
        <v>2592.9609999999998</v>
      </c>
      <c r="AD15" s="158">
        <v>2219.6529999999998</v>
      </c>
      <c r="AE15" s="151">
        <v>0.16818304479999999</v>
      </c>
      <c r="AF15" s="158">
        <v>23461.564999999999</v>
      </c>
      <c r="AG15" s="151">
        <v>0.19721316959999999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228.24</v>
      </c>
      <c r="S16" s="158">
        <v>159.483</v>
      </c>
      <c r="T16" s="151">
        <v>0.43112432049999999</v>
      </c>
      <c r="U16" s="158">
        <v>443.87799999999999</v>
      </c>
      <c r="V16" s="158">
        <v>437.44600000000003</v>
      </c>
      <c r="W16" s="151">
        <v>1.47035291E-2</v>
      </c>
      <c r="X16" s="158">
        <v>2342.5410000000002</v>
      </c>
      <c r="Y16" s="151">
        <v>-0.30452633359999998</v>
      </c>
      <c r="Z16" s="158">
        <v>88969.561000000002</v>
      </c>
      <c r="AA16" s="158">
        <v>58777.921999999999</v>
      </c>
      <c r="AB16" s="151">
        <v>0.51365611389999999</v>
      </c>
      <c r="AC16" s="158">
        <v>149077.83799999999</v>
      </c>
      <c r="AD16" s="158">
        <v>140473.44200000001</v>
      </c>
      <c r="AE16" s="151">
        <v>6.1252831000000001E-2</v>
      </c>
      <c r="AF16" s="158">
        <v>1316249.203</v>
      </c>
      <c r="AG16" s="151">
        <v>0.21014602800000001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4.593</v>
      </c>
      <c r="K17" s="158">
        <v>4.8860000000000001</v>
      </c>
      <c r="L17" s="151">
        <v>-5.9967253399999997E-2</v>
      </c>
      <c r="M17" s="158">
        <v>9.4130000000000003</v>
      </c>
      <c r="N17" s="158">
        <v>9.484</v>
      </c>
      <c r="O17" s="151">
        <v>-7.4862927000000001E-3</v>
      </c>
      <c r="P17" s="158">
        <v>60.524000000000001</v>
      </c>
      <c r="Q17" s="151">
        <v>-0.2043853192</v>
      </c>
      <c r="R17" s="158">
        <v>17801.418000000001</v>
      </c>
      <c r="S17" s="158">
        <v>9513.0969999999998</v>
      </c>
      <c r="T17" s="151">
        <v>0.87125370420000003</v>
      </c>
      <c r="U17" s="158">
        <v>31772.971000000001</v>
      </c>
      <c r="V17" s="158">
        <v>18102.802</v>
      </c>
      <c r="W17" s="151">
        <v>0.75514105499999995</v>
      </c>
      <c r="X17" s="158">
        <v>201678.39499999999</v>
      </c>
      <c r="Y17" s="151">
        <v>0.65446612609999999</v>
      </c>
      <c r="Z17" s="158">
        <v>18690.237000000001</v>
      </c>
      <c r="AA17" s="158">
        <v>18033.486000000001</v>
      </c>
      <c r="AB17" s="151">
        <v>3.6418416299999999E-2</v>
      </c>
      <c r="AC17" s="158">
        <v>36537.364999999998</v>
      </c>
      <c r="AD17" s="158">
        <v>34680.947</v>
      </c>
      <c r="AE17" s="151">
        <v>5.3528469100000003E-2</v>
      </c>
      <c r="AF17" s="158">
        <v>263418.98800000001</v>
      </c>
      <c r="AG17" s="151">
        <v>3.3882900700000003E-2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280.952</v>
      </c>
      <c r="S18" s="158">
        <v>76.888000000000005</v>
      </c>
      <c r="T18" s="151">
        <v>2.6540422433000002</v>
      </c>
      <c r="U18" s="158">
        <v>566.19600000000003</v>
      </c>
      <c r="V18" s="158">
        <v>134.64500000000001</v>
      </c>
      <c r="W18" s="151">
        <v>3.2051023061000001</v>
      </c>
      <c r="X18" s="158">
        <v>2002.452</v>
      </c>
      <c r="Y18" s="151">
        <v>3.1635433278999998</v>
      </c>
      <c r="Z18" s="158">
        <v>720.69799999999998</v>
      </c>
      <c r="AA18" s="158">
        <v>699.78200000000004</v>
      </c>
      <c r="AB18" s="151">
        <v>2.9889308400000002E-2</v>
      </c>
      <c r="AC18" s="158">
        <v>1581.229</v>
      </c>
      <c r="AD18" s="158">
        <v>1058.5050000000001</v>
      </c>
      <c r="AE18" s="151">
        <v>0.49383233900000001</v>
      </c>
      <c r="AF18" s="158">
        <v>8577.1149999999998</v>
      </c>
      <c r="AG18" s="151">
        <v>6.2902564000000003E-3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3068.4070000000002</v>
      </c>
      <c r="S19" s="158">
        <v>3641.6990000000001</v>
      </c>
      <c r="T19" s="151">
        <v>-0.15742432310000001</v>
      </c>
      <c r="U19" s="158">
        <v>6469.4120000000003</v>
      </c>
      <c r="V19" s="158">
        <v>7707.6419999999998</v>
      </c>
      <c r="W19" s="151">
        <v>-0.1606496513</v>
      </c>
      <c r="X19" s="158">
        <v>39349.080999999998</v>
      </c>
      <c r="Y19" s="151">
        <v>0.16597687720000001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582.50149999999996</v>
      </c>
      <c r="K20" s="158">
        <v>573.88800000000003</v>
      </c>
      <c r="L20" s="151">
        <v>1.5009026199999999E-2</v>
      </c>
      <c r="M20" s="158">
        <v>1101.5145</v>
      </c>
      <c r="N20" s="158">
        <v>1212.6044999999999</v>
      </c>
      <c r="O20" s="151">
        <v>-9.1612722899999999E-2</v>
      </c>
      <c r="P20" s="158">
        <v>6037.2839999999997</v>
      </c>
      <c r="Q20" s="151">
        <v>-3.2385202500000002E-2</v>
      </c>
      <c r="R20" s="158">
        <v>5441.4375</v>
      </c>
      <c r="S20" s="158">
        <v>10723.705</v>
      </c>
      <c r="T20" s="151">
        <v>-0.49257859110000002</v>
      </c>
      <c r="U20" s="158">
        <v>15312.5875</v>
      </c>
      <c r="V20" s="158">
        <v>17875.232499999998</v>
      </c>
      <c r="W20" s="151">
        <v>-0.14336289050000001</v>
      </c>
      <c r="X20" s="158">
        <v>118365.171</v>
      </c>
      <c r="Y20" s="151">
        <v>1.58389328E-2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582.50149999999996</v>
      </c>
      <c r="K21" s="158">
        <v>573.88800000000003</v>
      </c>
      <c r="L21" s="151">
        <v>1.5009026199999999E-2</v>
      </c>
      <c r="M21" s="158">
        <v>1101.5145</v>
      </c>
      <c r="N21" s="158">
        <v>1212.6044999999999</v>
      </c>
      <c r="O21" s="151">
        <v>-9.1612722899999999E-2</v>
      </c>
      <c r="P21" s="158">
        <v>6037.2839999999997</v>
      </c>
      <c r="Q21" s="151">
        <v>-3.2385202500000002E-2</v>
      </c>
      <c r="R21" s="158">
        <v>5441.4375</v>
      </c>
      <c r="S21" s="158">
        <v>10723.705</v>
      </c>
      <c r="T21" s="151">
        <v>-0.49257859110000002</v>
      </c>
      <c r="U21" s="158">
        <v>15312.5875</v>
      </c>
      <c r="V21" s="158">
        <v>17875.232499999998</v>
      </c>
      <c r="W21" s="151">
        <v>-0.14336289050000001</v>
      </c>
      <c r="X21" s="158">
        <v>118365.171</v>
      </c>
      <c r="Y21" s="151">
        <v>1.58389328E-2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15289.879000000001</v>
      </c>
      <c r="C22" s="159">
        <v>15215.237999999999</v>
      </c>
      <c r="D22" s="152">
        <v>4.9056741999999997E-3</v>
      </c>
      <c r="E22" s="159">
        <v>32543.084999999999</v>
      </c>
      <c r="F22" s="159">
        <v>33753.894</v>
      </c>
      <c r="G22" s="152">
        <v>-3.58716834E-2</v>
      </c>
      <c r="H22" s="159">
        <v>195675.035</v>
      </c>
      <c r="I22" s="152">
        <v>-1.84193359E-2</v>
      </c>
      <c r="J22" s="159">
        <v>14895.290999999999</v>
      </c>
      <c r="K22" s="159">
        <v>15061</v>
      </c>
      <c r="L22" s="152">
        <v>-1.10025231E-2</v>
      </c>
      <c r="M22" s="159">
        <v>31940.487000000001</v>
      </c>
      <c r="N22" s="159">
        <v>33382.294999999998</v>
      </c>
      <c r="O22" s="152">
        <v>-4.3190799199999998E-2</v>
      </c>
      <c r="P22" s="159">
        <v>203936.72200000001</v>
      </c>
      <c r="Q22" s="152">
        <v>-1.8414397200000002E-2</v>
      </c>
      <c r="R22" s="159">
        <v>369599.60200000001</v>
      </c>
      <c r="S22" s="159">
        <v>248303.96799999999</v>
      </c>
      <c r="T22" s="152">
        <v>0.48849655920000001</v>
      </c>
      <c r="U22" s="159">
        <v>802887.5</v>
      </c>
      <c r="V22" s="159">
        <v>580977.18099999998</v>
      </c>
      <c r="W22" s="152">
        <v>0.38196047319999998</v>
      </c>
      <c r="X22" s="159">
        <v>4858252.335</v>
      </c>
      <c r="Y22" s="152">
        <v>0.3927082663</v>
      </c>
      <c r="Z22" s="159">
        <v>649661.31599999999</v>
      </c>
      <c r="AA22" s="159">
        <v>576432.96400000004</v>
      </c>
      <c r="AB22" s="152">
        <v>0.12703706510000001</v>
      </c>
      <c r="AC22" s="159">
        <v>1362718.8019999999</v>
      </c>
      <c r="AD22" s="159">
        <v>1224576.548</v>
      </c>
      <c r="AE22" s="152">
        <v>0.1128081819</v>
      </c>
      <c r="AF22" s="159">
        <v>8195745.4349999996</v>
      </c>
      <c r="AG22" s="152">
        <v>6.3218457000000006E-2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27502.502</v>
      </c>
      <c r="S23" s="158">
        <v>113412.00900000001</v>
      </c>
      <c r="T23" s="151">
        <v>-0.75749920800000003</v>
      </c>
      <c r="U23" s="158">
        <v>58661.841</v>
      </c>
      <c r="V23" s="158">
        <v>251662.421</v>
      </c>
      <c r="W23" s="151">
        <v>-0.76690265970000004</v>
      </c>
      <c r="X23" s="158">
        <v>697228.38699999999</v>
      </c>
      <c r="Y23" s="151">
        <v>-0.5110996525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15289.879000000001</v>
      </c>
      <c r="C24" s="159">
        <v>15215.237999999999</v>
      </c>
      <c r="D24" s="152">
        <v>4.9056741999999997E-3</v>
      </c>
      <c r="E24" s="159">
        <v>32543.084999999999</v>
      </c>
      <c r="F24" s="159">
        <v>33753.894</v>
      </c>
      <c r="G24" s="152">
        <v>-3.58716834E-2</v>
      </c>
      <c r="H24" s="159">
        <v>195675.035</v>
      </c>
      <c r="I24" s="152">
        <v>-1.84193359E-2</v>
      </c>
      <c r="J24" s="159">
        <v>14895.290999999999</v>
      </c>
      <c r="K24" s="159">
        <v>15061</v>
      </c>
      <c r="L24" s="152">
        <v>-1.10025231E-2</v>
      </c>
      <c r="M24" s="159">
        <v>31940.487000000001</v>
      </c>
      <c r="N24" s="159">
        <v>33382.294999999998</v>
      </c>
      <c r="O24" s="152">
        <v>-4.3190799199999998E-2</v>
      </c>
      <c r="P24" s="159">
        <v>203936.72200000001</v>
      </c>
      <c r="Q24" s="152">
        <v>-1.8414397200000002E-2</v>
      </c>
      <c r="R24" s="159">
        <v>397102.10399999999</v>
      </c>
      <c r="S24" s="159">
        <v>361715.97700000001</v>
      </c>
      <c r="T24" s="152">
        <v>9.7828487699999994E-2</v>
      </c>
      <c r="U24" s="159">
        <v>861549.34100000001</v>
      </c>
      <c r="V24" s="159">
        <v>832639.60199999996</v>
      </c>
      <c r="W24" s="152">
        <v>3.4720590900000001E-2</v>
      </c>
      <c r="X24" s="159">
        <v>5555480.7220000001</v>
      </c>
      <c r="Y24" s="152">
        <v>0.13043461640000001</v>
      </c>
      <c r="Z24" s="159">
        <v>649661.31599999999</v>
      </c>
      <c r="AA24" s="159">
        <v>576432.96400000004</v>
      </c>
      <c r="AB24" s="152">
        <v>0.12703706510000001</v>
      </c>
      <c r="AC24" s="159">
        <v>1362718.8019999999</v>
      </c>
      <c r="AD24" s="159">
        <v>1224576.548</v>
      </c>
      <c r="AE24" s="152">
        <v>0.1128081819</v>
      </c>
      <c r="AF24" s="159">
        <v>8195745.4349999996</v>
      </c>
      <c r="AG24" s="152">
        <v>6.3218457000000006E-2</v>
      </c>
    </row>
    <row r="26" spans="1:33">
      <c r="A26" s="111" t="s">
        <v>103</v>
      </c>
      <c r="B26" s="179">
        <f>SUM(B24,J24,R24,Z24)</f>
        <v>1076948.5899999999</v>
      </c>
      <c r="C26" s="179">
        <f>SUM(C24,K24,S24,AA24)</f>
        <v>968425.179</v>
      </c>
      <c r="D26" s="180">
        <f>((B26/C26)-1)*100</f>
        <v>11.206174039388529</v>
      </c>
      <c r="R26" s="180"/>
    </row>
    <row r="29" spans="1:33" ht="15">
      <c r="A29" s="145" t="s">
        <v>67</v>
      </c>
      <c r="B29" s="206" t="str">
        <f>A2</f>
        <v>Febrero 2022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536.01499999999999</v>
      </c>
      <c r="D41" s="185"/>
    </row>
    <row r="42" spans="1:4">
      <c r="A42" s="144" t="s">
        <v>4</v>
      </c>
      <c r="B42" s="147">
        <v>154.35321500000001</v>
      </c>
      <c r="C42" s="147">
        <v>178.08794499999999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91">
        <f>SUM(B33:B46)</f>
        <v>2053.013715</v>
      </c>
      <c r="C47" s="191">
        <f>SUM(C33:C46)</f>
        <v>3125.2689449999998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11.748582010812333</v>
      </c>
      <c r="D52" s="182"/>
      <c r="F52" s="114" t="s">
        <v>10</v>
      </c>
      <c r="G52" s="115">
        <f>C35</f>
        <v>487.64</v>
      </c>
      <c r="H52" s="116">
        <f>G52/$G$62*100</f>
        <v>15.603137156568778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6.7900179614727998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16.66256597958164</v>
      </c>
    </row>
    <row r="54" spans="1:8">
      <c r="A54" s="114" t="s">
        <v>9</v>
      </c>
      <c r="B54" s="115">
        <f t="shared" si="1"/>
        <v>603.1</v>
      </c>
      <c r="C54" s="116">
        <f t="shared" si="0"/>
        <v>29.37632591509502</v>
      </c>
      <c r="D54" s="182"/>
      <c r="F54" s="114" t="s">
        <v>8</v>
      </c>
      <c r="G54" s="115">
        <f>C37</f>
        <v>482.64</v>
      </c>
      <c r="H54" s="116">
        <f t="shared" si="2"/>
        <v>15.443150925367801</v>
      </c>
    </row>
    <row r="55" spans="1:8">
      <c r="A55" s="114" t="s">
        <v>25</v>
      </c>
      <c r="B55" s="115">
        <f>B38</f>
        <v>822.9</v>
      </c>
      <c r="C55" s="116">
        <f t="shared" si="0"/>
        <v>40.082537880171934</v>
      </c>
      <c r="D55" s="182"/>
      <c r="F55" s="114" t="s">
        <v>25</v>
      </c>
      <c r="G55" s="115">
        <f>C38</f>
        <v>865.4</v>
      </c>
      <c r="H55" s="116">
        <f t="shared" si="2"/>
        <v>27.690416896264907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1.222294806375456</v>
      </c>
    </row>
    <row r="57" spans="1:8">
      <c r="A57" s="114" t="s">
        <v>23</v>
      </c>
      <c r="B57" s="115">
        <f>B44</f>
        <v>11.523</v>
      </c>
      <c r="C57" s="116">
        <f t="shared" si="0"/>
        <v>0.56127243163594742</v>
      </c>
      <c r="D57" s="182"/>
      <c r="F57" s="114" t="s">
        <v>12</v>
      </c>
      <c r="G57" s="116">
        <f>C33</f>
        <v>1.52</v>
      </c>
      <c r="H57" s="116">
        <f t="shared" si="2"/>
        <v>4.8635814285096675E-2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1.8217121360048976</v>
      </c>
      <c r="D58" s="182"/>
      <c r="F58" s="114" t="s">
        <v>6</v>
      </c>
      <c r="G58" s="115">
        <f>C40</f>
        <v>11.32</v>
      </c>
      <c r="H58" s="116">
        <f t="shared" si="2"/>
        <v>0.36220882743900945</v>
      </c>
    </row>
    <row r="59" spans="1:8">
      <c r="A59" s="114" t="s">
        <v>54</v>
      </c>
      <c r="B59" s="115">
        <f>B45</f>
        <v>37.4</v>
      </c>
      <c r="C59" s="116">
        <f t="shared" si="3"/>
        <v>1.8217121360048976</v>
      </c>
      <c r="D59" s="182"/>
      <c r="F59" s="114" t="s">
        <v>5</v>
      </c>
      <c r="G59" s="115">
        <f>C41</f>
        <v>536.01499999999999</v>
      </c>
      <c r="H59" s="116">
        <f t="shared" si="2"/>
        <v>17.151003943438219</v>
      </c>
    </row>
    <row r="60" spans="1:8">
      <c r="A60" s="114" t="s">
        <v>5</v>
      </c>
      <c r="B60" s="115">
        <f>B41</f>
        <v>3.6074999999999999</v>
      </c>
      <c r="C60" s="116">
        <f t="shared" si="3"/>
        <v>0.17571728691544566</v>
      </c>
      <c r="D60" s="182"/>
      <c r="F60" s="114" t="s">
        <v>4</v>
      </c>
      <c r="G60" s="115">
        <f>C42</f>
        <v>178.08794499999999</v>
      </c>
      <c r="H60" s="116">
        <f t="shared" si="2"/>
        <v>5.6983238285753357</v>
      </c>
    </row>
    <row r="61" spans="1:8">
      <c r="A61" s="114" t="s">
        <v>4</v>
      </c>
      <c r="B61" s="115">
        <f>B42</f>
        <v>154.35321500000001</v>
      </c>
      <c r="C61" s="116">
        <f t="shared" si="3"/>
        <v>7.5183723261196045</v>
      </c>
      <c r="D61" s="182"/>
      <c r="F61" s="114" t="s">
        <v>22</v>
      </c>
      <c r="G61" s="115">
        <f>C43</f>
        <v>3.6960000000000002</v>
      </c>
      <c r="H61" s="116">
        <f t="shared" si="2"/>
        <v>0.11826182210376139</v>
      </c>
    </row>
    <row r="62" spans="1:8">
      <c r="A62" s="114" t="s">
        <v>22</v>
      </c>
      <c r="B62" s="115">
        <f>B43</f>
        <v>2.13</v>
      </c>
      <c r="C62" s="116">
        <f t="shared" si="3"/>
        <v>0.10374991576712383</v>
      </c>
      <c r="D62" s="182"/>
      <c r="F62" s="117" t="s">
        <v>20</v>
      </c>
      <c r="G62" s="118">
        <f>SUM(G52:G61)</f>
        <v>3125.2689449999998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2053.013715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6">
        <f>(C68/SUM($C$68:$C$78))*100</f>
        <v>0</v>
      </c>
      <c r="F68" s="114" t="s">
        <v>10</v>
      </c>
      <c r="G68" s="116">
        <f>Z10/Z$24*100</f>
        <v>19.899436185607826</v>
      </c>
    </row>
    <row r="69" spans="1:7">
      <c r="A69" s="114" t="s">
        <v>10</v>
      </c>
      <c r="B69" s="116">
        <f t="shared" ref="B69:B78" si="4">C69/$C$80*100</f>
        <v>6.8610226640978569</v>
      </c>
      <c r="C69" s="115">
        <f>R10</f>
        <v>27285.067999999999</v>
      </c>
      <c r="D69" s="186">
        <f t="shared" ref="D69:D78" si="5">(C69/SUM($C$68:$C$78))*100</f>
        <v>7.370762325021853</v>
      </c>
      <c r="F69" s="114" t="s">
        <v>9</v>
      </c>
      <c r="G69" s="116">
        <f>Z11/Z$24*100</f>
        <v>3.4333977490511378</v>
      </c>
    </row>
    <row r="70" spans="1:7">
      <c r="A70" s="114" t="s">
        <v>9</v>
      </c>
      <c r="B70" s="116">
        <f t="shared" si="4"/>
        <v>3.0213014470842672</v>
      </c>
      <c r="C70" s="115">
        <f>R11</f>
        <v>12015.179</v>
      </c>
      <c r="D70" s="186">
        <f t="shared" si="5"/>
        <v>3.2457690302107274</v>
      </c>
      <c r="F70" s="114" t="s">
        <v>8</v>
      </c>
      <c r="G70" s="116">
        <f>Z12/Z$24*100</f>
        <v>15.797564126474786</v>
      </c>
    </row>
    <row r="71" spans="1:7">
      <c r="A71" s="114" t="s">
        <v>25</v>
      </c>
      <c r="B71" s="116">
        <f t="shared" si="4"/>
        <v>75.089497775423624</v>
      </c>
      <c r="C71" s="115">
        <f>R13</f>
        <v>298617.59000000003</v>
      </c>
      <c r="D71" s="186">
        <f>(C71/SUM($C$68:$C$78))*100</f>
        <v>80.668271816688261</v>
      </c>
      <c r="F71" s="114" t="s">
        <v>25</v>
      </c>
      <c r="G71" s="116">
        <f>Z13/Z$24*100</f>
        <v>43.920289999227847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0.77157256744518721</v>
      </c>
      <c r="C73" s="115">
        <f>R19</f>
        <v>3068.4070000000002</v>
      </c>
      <c r="D73" s="186">
        <f t="shared" si="5"/>
        <v>0.82889654932996071</v>
      </c>
      <c r="F73" s="114" t="s">
        <v>12</v>
      </c>
      <c r="G73" s="116">
        <f>Z8/Z$24*100</f>
        <v>3.8571174522572312E-2</v>
      </c>
    </row>
    <row r="74" spans="1:7">
      <c r="A74" s="114" t="s">
        <v>55</v>
      </c>
      <c r="B74" s="116">
        <f t="shared" si="4"/>
        <v>1.3682878126883169</v>
      </c>
      <c r="C74" s="115">
        <f>R21</f>
        <v>5441.4375</v>
      </c>
      <c r="D74" s="186">
        <f t="shared" si="5"/>
        <v>1.4699447521611859</v>
      </c>
      <c r="F74" s="114" t="s">
        <v>6</v>
      </c>
      <c r="G74" s="116">
        <f>Z15/Z$24*100</f>
        <v>0.22812578854548882</v>
      </c>
    </row>
    <row r="75" spans="1:7">
      <c r="A75" s="114" t="s">
        <v>54</v>
      </c>
      <c r="B75" s="116">
        <f t="shared" si="4"/>
        <v>1.3682878126883169</v>
      </c>
      <c r="C75" s="115">
        <f>R20</f>
        <v>5441.4375</v>
      </c>
      <c r="D75" s="186">
        <f t="shared" si="5"/>
        <v>1.4699447521611859</v>
      </c>
      <c r="F75" s="114" t="s">
        <v>5</v>
      </c>
      <c r="G75" s="116">
        <f>Z16/Z$24*100</f>
        <v>13.694760455769542</v>
      </c>
    </row>
    <row r="76" spans="1:7">
      <c r="A76" s="114" t="s">
        <v>5</v>
      </c>
      <c r="B76" s="116">
        <f t="shared" si="4"/>
        <v>5.7392556722002497E-2</v>
      </c>
      <c r="C76" s="115">
        <f>R16</f>
        <v>228.24</v>
      </c>
      <c r="D76" s="186">
        <f t="shared" si="5"/>
        <v>6.1656536573886783E-2</v>
      </c>
      <c r="F76" s="114" t="s">
        <v>4</v>
      </c>
      <c r="G76" s="116">
        <f>Z17/Z$24*100</f>
        <v>2.876920102781678</v>
      </c>
    </row>
    <row r="77" spans="1:7">
      <c r="A77" s="114" t="s">
        <v>4</v>
      </c>
      <c r="B77" s="116">
        <f t="shared" si="4"/>
        <v>4.4762920272392055</v>
      </c>
      <c r="C77" s="115">
        <f>R17</f>
        <v>17801.418000000001</v>
      </c>
      <c r="D77" s="186">
        <f t="shared" si="5"/>
        <v>4.8088581317211991</v>
      </c>
      <c r="F77" s="114" t="s">
        <v>22</v>
      </c>
      <c r="G77" s="116">
        <f>Z18/Z$24*100</f>
        <v>0.11093441801912675</v>
      </c>
    </row>
    <row r="78" spans="1:7">
      <c r="A78" s="114" t="s">
        <v>22</v>
      </c>
      <c r="B78" s="116">
        <f t="shared" si="4"/>
        <v>7.0647360656151612E-2</v>
      </c>
      <c r="C78" s="115">
        <f>R18</f>
        <v>280.952</v>
      </c>
      <c r="D78" s="186">
        <f t="shared" si="5"/>
        <v>7.5896106131732546E-2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6.9156979759550774</v>
      </c>
      <c r="C79" s="115">
        <f>R23</f>
        <v>27502.502</v>
      </c>
      <c r="D79" s="182"/>
    </row>
    <row r="80" spans="1:7">
      <c r="A80" s="117" t="s">
        <v>20</v>
      </c>
      <c r="B80" s="119">
        <f>SUM(B68:B79)</f>
        <v>100.00000000000004</v>
      </c>
      <c r="C80" s="118">
        <f>SUM(C68:C79)</f>
        <v>397682.23100000003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8" t="s">
        <v>106</v>
      </c>
      <c r="D86" s="188" t="s">
        <v>107</v>
      </c>
      <c r="E86" s="188" t="s">
        <v>108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123</v>
      </c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/>
      <c r="S87"/>
      <c r="T87"/>
      <c r="U87"/>
      <c r="V87"/>
      <c r="W87"/>
      <c r="X87"/>
      <c r="Y87"/>
      <c r="Z87"/>
    </row>
    <row r="88" spans="1:26" ht="15">
      <c r="A88" s="217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-0.58012699999999995</v>
      </c>
      <c r="Q88" s="147">
        <v>0</v>
      </c>
      <c r="R88"/>
      <c r="S88"/>
      <c r="T88"/>
      <c r="U88"/>
      <c r="V88"/>
      <c r="W88"/>
      <c r="X88"/>
      <c r="Y88"/>
      <c r="Z88"/>
    </row>
    <row r="89" spans="1:26" ht="15">
      <c r="A89" s="215"/>
      <c r="B89" s="144" t="s">
        <v>78</v>
      </c>
      <c r="C89" s="147">
        <v>27.196950000000001</v>
      </c>
      <c r="D89" s="147">
        <v>18.940327</v>
      </c>
      <c r="E89" s="147">
        <v>14.240815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27.285067999999999</v>
      </c>
      <c r="Q89" s="147">
        <v>8.4673409999999993</v>
      </c>
      <c r="R89"/>
      <c r="S89"/>
      <c r="T89"/>
      <c r="U89"/>
      <c r="V89"/>
      <c r="W89"/>
      <c r="X89"/>
      <c r="Y89"/>
      <c r="Z89"/>
    </row>
    <row r="90" spans="1:26" ht="15">
      <c r="A90" s="215"/>
      <c r="B90" s="144" t="s">
        <v>9</v>
      </c>
      <c r="C90" s="147">
        <v>18.542487000000001</v>
      </c>
      <c r="D90" s="147">
        <v>7.6657599999999997</v>
      </c>
      <c r="E90" s="147">
        <v>13.131584999999999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12.015179</v>
      </c>
      <c r="Q90" s="147">
        <v>4.7447189999999999</v>
      </c>
      <c r="R90"/>
      <c r="S90"/>
      <c r="T90"/>
      <c r="U90"/>
      <c r="V90"/>
      <c r="W90"/>
      <c r="X90"/>
      <c r="Y90"/>
      <c r="Z90"/>
    </row>
    <row r="91" spans="1:26" ht="15">
      <c r="A91" s="215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240.57820899999999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298.61759000000001</v>
      </c>
      <c r="Q91" s="147">
        <v>96.368707000000001</v>
      </c>
      <c r="R91"/>
      <c r="S91"/>
      <c r="T91"/>
      <c r="U91"/>
      <c r="V91"/>
      <c r="W91"/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-2.3999999999999998E-3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/>
      <c r="S92"/>
      <c r="T92"/>
      <c r="U92"/>
      <c r="V92"/>
      <c r="W92"/>
      <c r="X92"/>
      <c r="Y92"/>
      <c r="Z92"/>
    </row>
    <row r="93" spans="1:26" ht="15">
      <c r="A93" s="215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0.22824</v>
      </c>
      <c r="Q93" s="147">
        <v>6.0979999999999999E-2</v>
      </c>
      <c r="R93"/>
      <c r="S93"/>
      <c r="T93"/>
      <c r="U93"/>
      <c r="V93"/>
      <c r="W93"/>
      <c r="X93"/>
      <c r="Y93"/>
      <c r="Z93"/>
    </row>
    <row r="94" spans="1:26" ht="15">
      <c r="A94" s="215"/>
      <c r="B94" s="144" t="s">
        <v>4</v>
      </c>
      <c r="C94" s="147">
        <v>8.5897050000000004</v>
      </c>
      <c r="D94" s="147">
        <v>9.5130970000000001</v>
      </c>
      <c r="E94" s="147">
        <v>13.293218</v>
      </c>
      <c r="F94" s="147">
        <v>14.710262</v>
      </c>
      <c r="G94" s="147">
        <v>22.207816999999999</v>
      </c>
      <c r="H94" s="147">
        <v>21.167138000000001</v>
      </c>
      <c r="I94" s="147">
        <v>22.964213999999998</v>
      </c>
      <c r="J94" s="147">
        <v>21.415870999999999</v>
      </c>
      <c r="K94" s="147">
        <v>17.621904000000001</v>
      </c>
      <c r="L94" s="147">
        <v>16.793078000000001</v>
      </c>
      <c r="M94" s="147">
        <v>8.8028849999999998</v>
      </c>
      <c r="N94" s="147">
        <v>10.929036999999999</v>
      </c>
      <c r="O94" s="147">
        <v>13.971553</v>
      </c>
      <c r="P94" s="147">
        <v>17.801418000000002</v>
      </c>
      <c r="Q94" s="147">
        <v>4.9021049999999997</v>
      </c>
      <c r="R94"/>
      <c r="S94"/>
      <c r="T94"/>
      <c r="U94"/>
      <c r="V94"/>
      <c r="W94"/>
      <c r="X94"/>
      <c r="Y94"/>
      <c r="Z94"/>
    </row>
    <row r="95" spans="1:26" ht="15">
      <c r="A95" s="215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9.8640000000000005E-2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0.28095199999999998</v>
      </c>
      <c r="Q95" s="147">
        <v>6.4699999999999994E-2</v>
      </c>
      <c r="R95"/>
      <c r="S95"/>
      <c r="T95"/>
      <c r="U95"/>
      <c r="V95"/>
      <c r="W95"/>
      <c r="X95"/>
      <c r="Y95"/>
      <c r="Z95"/>
    </row>
    <row r="96" spans="1:26" ht="15">
      <c r="A96" s="215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3.6905410000000001</v>
      </c>
      <c r="J96" s="147">
        <v>3.5683280000000002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3.0684070000000001</v>
      </c>
      <c r="Q96" s="147">
        <v>1.1368499999999999</v>
      </c>
      <c r="R96"/>
      <c r="S96"/>
      <c r="T96"/>
      <c r="U96"/>
      <c r="V96"/>
      <c r="W96"/>
      <c r="X96"/>
      <c r="Y96"/>
      <c r="Z96"/>
    </row>
    <row r="97" spans="1:26" ht="15">
      <c r="A97" s="215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5.4414375000000001</v>
      </c>
      <c r="Q97" s="147">
        <v>1.8092999999999999</v>
      </c>
      <c r="R97"/>
      <c r="S97"/>
      <c r="T97"/>
      <c r="U97"/>
      <c r="V97"/>
      <c r="W97"/>
      <c r="X97"/>
      <c r="Y97"/>
      <c r="Z97"/>
    </row>
    <row r="98" spans="1:26" ht="15">
      <c r="A98" s="215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5.4414375000000001</v>
      </c>
      <c r="Q98" s="147">
        <v>1.8092999999999999</v>
      </c>
      <c r="R98"/>
      <c r="S98"/>
      <c r="T98"/>
      <c r="U98"/>
      <c r="V98"/>
      <c r="W98"/>
      <c r="X98"/>
      <c r="Y98"/>
      <c r="Z98"/>
    </row>
    <row r="99" spans="1:26" ht="15">
      <c r="A99" s="215"/>
      <c r="B99" s="149" t="s">
        <v>2</v>
      </c>
      <c r="C99" s="150">
        <v>332.67321299999998</v>
      </c>
      <c r="D99" s="150">
        <v>248.303968</v>
      </c>
      <c r="E99" s="150">
        <v>282.115883</v>
      </c>
      <c r="F99" s="150">
        <v>267.78414299999997</v>
      </c>
      <c r="G99" s="150">
        <v>268.84081900000001</v>
      </c>
      <c r="H99" s="150">
        <v>394.26093600000002</v>
      </c>
      <c r="I99" s="150">
        <v>554.99038199999995</v>
      </c>
      <c r="J99" s="150">
        <v>592.136122</v>
      </c>
      <c r="K99" s="150">
        <v>506.01858299999998</v>
      </c>
      <c r="L99" s="150">
        <v>406.24330500000002</v>
      </c>
      <c r="M99" s="150">
        <v>380.15486299999998</v>
      </c>
      <c r="N99" s="150">
        <v>402.81979899999999</v>
      </c>
      <c r="O99" s="150">
        <v>433.28789799999998</v>
      </c>
      <c r="P99" s="150">
        <v>369.599602</v>
      </c>
      <c r="Q99" s="150">
        <v>119.364002</v>
      </c>
      <c r="R99"/>
      <c r="S99"/>
      <c r="T99"/>
      <c r="U99"/>
      <c r="V99"/>
      <c r="W99"/>
      <c r="X99"/>
      <c r="Y99"/>
      <c r="Z99"/>
    </row>
    <row r="100" spans="1:26" ht="15">
      <c r="A100" s="215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27.502502</v>
      </c>
      <c r="Q100" s="147">
        <v>8.8127999999999993</v>
      </c>
      <c r="R100"/>
      <c r="S100"/>
      <c r="T100"/>
      <c r="U100"/>
      <c r="V100"/>
      <c r="W100"/>
      <c r="X100"/>
      <c r="Y100"/>
      <c r="Z100"/>
    </row>
    <row r="101" spans="1:26" ht="15">
      <c r="A101" s="216"/>
      <c r="B101" s="149" t="s">
        <v>79</v>
      </c>
      <c r="C101" s="150">
        <v>470.92362500000002</v>
      </c>
      <c r="D101" s="150">
        <v>361.71597700000001</v>
      </c>
      <c r="E101" s="150">
        <v>410.10145599999998</v>
      </c>
      <c r="F101" s="150">
        <v>378.80594000000002</v>
      </c>
      <c r="G101" s="150">
        <v>380.44253200000003</v>
      </c>
      <c r="H101" s="150">
        <v>459.690404</v>
      </c>
      <c r="I101" s="150">
        <v>600.86960299999998</v>
      </c>
      <c r="J101" s="150">
        <v>632.24343299999998</v>
      </c>
      <c r="K101" s="150">
        <v>543.56798000000003</v>
      </c>
      <c r="L101" s="150">
        <v>444.52883000000003</v>
      </c>
      <c r="M101" s="150">
        <v>408.59057200000001</v>
      </c>
      <c r="N101" s="150">
        <v>435.09063099999997</v>
      </c>
      <c r="O101" s="150">
        <v>464.44723699999997</v>
      </c>
      <c r="P101" s="150">
        <v>397.102104</v>
      </c>
      <c r="Q101" s="150">
        <v>128.17680200000001</v>
      </c>
      <c r="R101"/>
      <c r="S101"/>
      <c r="T101"/>
      <c r="U101"/>
      <c r="V101"/>
      <c r="W101"/>
      <c r="X101"/>
      <c r="Y101"/>
      <c r="Z101"/>
    </row>
    <row r="102" spans="1:26" ht="15">
      <c r="A102" s="214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0.25058200000000003</v>
      </c>
      <c r="Q102" s="147">
        <v>0</v>
      </c>
      <c r="R102"/>
      <c r="S102"/>
      <c r="T102"/>
      <c r="U102"/>
      <c r="V102"/>
      <c r="W102"/>
      <c r="X102"/>
      <c r="Y102"/>
      <c r="Z102"/>
    </row>
    <row r="103" spans="1:26" ht="15">
      <c r="A103" s="215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133.47633400000001</v>
      </c>
      <c r="I103" s="147">
        <v>143.30591200000001</v>
      </c>
      <c r="J103" s="147">
        <v>156.76769400000001</v>
      </c>
      <c r="K103" s="147">
        <v>167.979367</v>
      </c>
      <c r="L103" s="147">
        <v>160.016738</v>
      </c>
      <c r="M103" s="147">
        <v>150.664601</v>
      </c>
      <c r="N103" s="147">
        <v>156.43278100000001</v>
      </c>
      <c r="O103" s="147">
        <v>144.976482</v>
      </c>
      <c r="P103" s="147">
        <v>129.27893900000001</v>
      </c>
      <c r="Q103" s="147">
        <v>39.841901999999997</v>
      </c>
      <c r="R103"/>
      <c r="S103"/>
      <c r="T103"/>
      <c r="U103"/>
      <c r="V103"/>
      <c r="W103"/>
      <c r="X103"/>
      <c r="Y103"/>
      <c r="Z103"/>
    </row>
    <row r="104" spans="1:26" ht="15">
      <c r="A104" s="215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22.305457000000001</v>
      </c>
      <c r="Q104" s="147">
        <v>6.1911149999999999</v>
      </c>
      <c r="R104"/>
      <c r="S104"/>
      <c r="T104"/>
      <c r="U104"/>
      <c r="V104"/>
      <c r="W104"/>
      <c r="X104"/>
      <c r="Y104"/>
      <c r="Z104"/>
    </row>
    <row r="105" spans="1:26" ht="15">
      <c r="A105" s="215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102.630663</v>
      </c>
      <c r="Q105" s="147">
        <v>29.454474999999999</v>
      </c>
      <c r="R105"/>
      <c r="S105"/>
      <c r="T105"/>
      <c r="U105"/>
      <c r="V105"/>
      <c r="W105"/>
      <c r="X105"/>
      <c r="Y105"/>
      <c r="Z105"/>
    </row>
    <row r="106" spans="1:26" ht="15">
      <c r="A106" s="215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285.33313399999997</v>
      </c>
      <c r="Q106" s="147">
        <v>75.777585000000002</v>
      </c>
      <c r="R106"/>
      <c r="S106"/>
      <c r="T106"/>
      <c r="U106"/>
      <c r="V106"/>
      <c r="W106"/>
      <c r="X106"/>
      <c r="Y106"/>
      <c r="Z106"/>
    </row>
    <row r="107" spans="1:26" ht="15">
      <c r="A107" s="215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1.4820450000000001</v>
      </c>
      <c r="Q107" s="147">
        <v>0.82038500000000003</v>
      </c>
      <c r="R107"/>
      <c r="S107"/>
      <c r="T107"/>
      <c r="U107"/>
      <c r="V107"/>
      <c r="W107"/>
      <c r="X107"/>
      <c r="Y107"/>
      <c r="Z107"/>
    </row>
    <row r="108" spans="1:26" ht="15">
      <c r="A108" s="215"/>
      <c r="B108" s="144" t="s">
        <v>5</v>
      </c>
      <c r="C108" s="147">
        <v>81.695520000000002</v>
      </c>
      <c r="D108" s="147">
        <v>58.777921999999997</v>
      </c>
      <c r="E108" s="147">
        <v>84.841812000000004</v>
      </c>
      <c r="F108" s="147">
        <v>53.035682999999999</v>
      </c>
      <c r="G108" s="147">
        <v>162.608282</v>
      </c>
      <c r="H108" s="147">
        <v>148.01756800000001</v>
      </c>
      <c r="I108" s="147">
        <v>158.51529099999999</v>
      </c>
      <c r="J108" s="147">
        <v>145.85682</v>
      </c>
      <c r="K108" s="147">
        <v>107.853368</v>
      </c>
      <c r="L108" s="147">
        <v>121.87329699999999</v>
      </c>
      <c r="M108" s="147">
        <v>91.770038</v>
      </c>
      <c r="N108" s="147">
        <v>92.799205999999998</v>
      </c>
      <c r="O108" s="147">
        <v>60.108277000000001</v>
      </c>
      <c r="P108" s="147">
        <v>88.969560999999999</v>
      </c>
      <c r="Q108" s="147">
        <v>50.154367000000001</v>
      </c>
      <c r="R108"/>
      <c r="S108"/>
      <c r="T108"/>
      <c r="U108"/>
      <c r="V108"/>
      <c r="W108"/>
      <c r="X108"/>
      <c r="Y108"/>
      <c r="Z108"/>
    </row>
    <row r="109" spans="1:26" ht="15">
      <c r="A109" s="215"/>
      <c r="B109" s="144" t="s">
        <v>4</v>
      </c>
      <c r="C109" s="147">
        <v>16.647461</v>
      </c>
      <c r="D109" s="147">
        <v>18.033486</v>
      </c>
      <c r="E109" s="147">
        <v>24.290976000000001</v>
      </c>
      <c r="F109" s="147">
        <v>22.649926000000001</v>
      </c>
      <c r="G109" s="147">
        <v>27.065259999999999</v>
      </c>
      <c r="H109" s="147">
        <v>24.71088</v>
      </c>
      <c r="I109" s="147">
        <v>27.905276000000001</v>
      </c>
      <c r="J109" s="147">
        <v>26.076153999999999</v>
      </c>
      <c r="K109" s="147">
        <v>21.556585999999999</v>
      </c>
      <c r="L109" s="147">
        <v>20.903444</v>
      </c>
      <c r="M109" s="147">
        <v>14.926348000000001</v>
      </c>
      <c r="N109" s="147">
        <v>16.796773000000002</v>
      </c>
      <c r="O109" s="147">
        <v>17.847128000000001</v>
      </c>
      <c r="P109" s="147">
        <v>18.690237</v>
      </c>
      <c r="Q109" s="147">
        <v>7.0294160000000003</v>
      </c>
      <c r="R109"/>
      <c r="S109"/>
      <c r="T109"/>
      <c r="U109"/>
      <c r="V109"/>
      <c r="W109"/>
      <c r="X109"/>
      <c r="Y109"/>
      <c r="Z109"/>
    </row>
    <row r="110" spans="1:26" ht="15">
      <c r="A110" s="215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0.72069799999999995</v>
      </c>
      <c r="Q110" s="147">
        <v>0</v>
      </c>
      <c r="R110"/>
      <c r="S110"/>
      <c r="T110"/>
      <c r="U110"/>
      <c r="V110"/>
      <c r="W110"/>
      <c r="X110"/>
      <c r="Y110"/>
      <c r="Z110"/>
    </row>
    <row r="111" spans="1:26" ht="15">
      <c r="A111" s="215"/>
      <c r="B111" s="149" t="s">
        <v>2</v>
      </c>
      <c r="C111" s="150">
        <v>648.14358400000003</v>
      </c>
      <c r="D111" s="150">
        <v>576.43296399999997</v>
      </c>
      <c r="E111" s="150">
        <v>640.34640200000001</v>
      </c>
      <c r="F111" s="150">
        <v>615.48627599999998</v>
      </c>
      <c r="G111" s="150">
        <v>636.13178300000004</v>
      </c>
      <c r="H111" s="150">
        <v>635.56558099999995</v>
      </c>
      <c r="I111" s="150">
        <v>698.27130599999998</v>
      </c>
      <c r="J111" s="150">
        <v>725.89627599999994</v>
      </c>
      <c r="K111" s="150">
        <v>724.21118000000001</v>
      </c>
      <c r="L111" s="150">
        <v>734.01330199999995</v>
      </c>
      <c r="M111" s="150">
        <v>703.43466899999999</v>
      </c>
      <c r="N111" s="150">
        <v>719.66985799999998</v>
      </c>
      <c r="O111" s="150">
        <v>713.05748600000004</v>
      </c>
      <c r="P111" s="150">
        <v>649.66131600000006</v>
      </c>
      <c r="Q111" s="150">
        <v>209.26924500000001</v>
      </c>
      <c r="R111"/>
      <c r="S111"/>
      <c r="T111"/>
      <c r="U111"/>
      <c r="V111"/>
      <c r="W111"/>
      <c r="X111"/>
      <c r="Y111"/>
      <c r="Z111"/>
    </row>
    <row r="112" spans="1:26" ht="15">
      <c r="A112" s="216"/>
      <c r="B112" s="149" t="s">
        <v>79</v>
      </c>
      <c r="C112" s="150">
        <v>648.14358400000003</v>
      </c>
      <c r="D112" s="150">
        <v>576.43296399999997</v>
      </c>
      <c r="E112" s="150">
        <v>640.34640200000001</v>
      </c>
      <c r="F112" s="150">
        <v>615.48627599999998</v>
      </c>
      <c r="G112" s="150">
        <v>636.13178300000004</v>
      </c>
      <c r="H112" s="150">
        <v>635.56558099999995</v>
      </c>
      <c r="I112" s="150">
        <v>698.27130599999998</v>
      </c>
      <c r="J112" s="150">
        <v>725.89627599999994</v>
      </c>
      <c r="K112" s="150">
        <v>724.21118000000001</v>
      </c>
      <c r="L112" s="150">
        <v>734.01330199999995</v>
      </c>
      <c r="M112" s="150">
        <v>703.43466899999999</v>
      </c>
      <c r="N112" s="150">
        <v>719.66985799999998</v>
      </c>
      <c r="O112" s="150">
        <v>713.05748600000004</v>
      </c>
      <c r="P112" s="150">
        <v>649.66131600000006</v>
      </c>
      <c r="Q112" s="150">
        <v>209.26924500000001</v>
      </c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febrero 2021</v>
      </c>
      <c r="D117" s="120" t="str">
        <f t="shared" ref="D117:M117" si="6">TEXT(EDATE(E117,-1),"mmmm aaaa")</f>
        <v>marzo 2021</v>
      </c>
      <c r="E117" s="120" t="str">
        <f t="shared" si="6"/>
        <v>abril 2021</v>
      </c>
      <c r="F117" s="120" t="str">
        <f t="shared" si="6"/>
        <v>mayo 2021</v>
      </c>
      <c r="G117" s="120" t="str">
        <f t="shared" si="6"/>
        <v>junio 2021</v>
      </c>
      <c r="H117" s="120" t="str">
        <f t="shared" si="6"/>
        <v>julio 2021</v>
      </c>
      <c r="I117" s="120" t="str">
        <f t="shared" si="6"/>
        <v>agosto 2021</v>
      </c>
      <c r="J117" s="120" t="str">
        <f t="shared" si="6"/>
        <v>septiembre 2021</v>
      </c>
      <c r="K117" s="120" t="str">
        <f t="shared" si="6"/>
        <v>octubre 2021</v>
      </c>
      <c r="L117" s="120" t="str">
        <f t="shared" si="6"/>
        <v>noviembre 2021</v>
      </c>
      <c r="M117" s="120" t="str">
        <f t="shared" si="6"/>
        <v>diciembre 2021</v>
      </c>
      <c r="N117" s="120" t="str">
        <f>TEXT(EDATE(O117,-1),"mmmm aaaa")</f>
        <v>enero 2022</v>
      </c>
      <c r="O117" s="121" t="str">
        <f>A2</f>
        <v>Febrero 2022</v>
      </c>
    </row>
    <row r="118" spans="1:19">
      <c r="B118" s="213"/>
      <c r="C118" s="131" t="str">
        <f>TEXT(EDATE($A$2,-12),"mmm")&amp;".-"&amp;TEXT(EDATE($A$2,-12),"aa")</f>
        <v>feb.-21</v>
      </c>
      <c r="D118" s="131" t="str">
        <f>TEXT(EDATE($A$2,-11),"mmm")&amp;".-"&amp;TEXT(EDATE($A$2,-11),"aa")</f>
        <v>mar.-21</v>
      </c>
      <c r="E118" s="131" t="str">
        <f>TEXT(EDATE($A$2,-10),"mmm")&amp;".-"&amp;TEXT(EDATE($A$2,-10),"aa")</f>
        <v>abr.-21</v>
      </c>
      <c r="F118" s="131" t="str">
        <f>TEXT(EDATE($A$2,-9),"mmm")&amp;".-"&amp;TEXT(EDATE($A$2,-9),"aa")</f>
        <v>may.-21</v>
      </c>
      <c r="G118" s="131" t="str">
        <f>TEXT(EDATE($A$2,-8),"mmm")&amp;".-"&amp;TEXT(EDATE($A$2,-8),"aa")</f>
        <v>jun.-21</v>
      </c>
      <c r="H118" s="131" t="str">
        <f>TEXT(EDATE($A$2,-7),"mmm")&amp;".-"&amp;TEXT(EDATE($A$2,-7),"aa")</f>
        <v>jul.-21</v>
      </c>
      <c r="I118" s="131" t="str">
        <f>TEXT(EDATE($A$2,-6),"mmm")&amp;".-"&amp;TEXT(EDATE($A$2,-6),"aa")</f>
        <v>ago.-21</v>
      </c>
      <c r="J118" s="131" t="str">
        <f>TEXT(EDATE($A$2,-5),"mmm")&amp;".-"&amp;TEXT(EDATE($A$2,-5),"aa")</f>
        <v>sep.-21</v>
      </c>
      <c r="K118" s="131" t="str">
        <f>TEXT(EDATE($A$2,-4),"mmm")&amp;".-"&amp;TEXT(EDATE($A$2,-4),"aa")</f>
        <v>oct.-21</v>
      </c>
      <c r="L118" s="131" t="str">
        <f>TEXT(EDATE($A$2,-3),"mmm")&amp;".-"&amp;TEXT(EDATE($A$2,-3),"aa")</f>
        <v>nov.-21</v>
      </c>
      <c r="M118" s="131" t="str">
        <f>TEXT(EDATE($A$2,-2),"mmm")&amp;".-"&amp;TEXT(EDATE($A$2,-2),"aa")</f>
        <v>dic.-21</v>
      </c>
      <c r="N118" s="131" t="str">
        <f>TEXT(EDATE($A$2,-1),"mmm")&amp;".-"&amp;TEXT(EDATE($A$2,-1),"aa")</f>
        <v>ene.-22</v>
      </c>
      <c r="O118" s="160" t="str">
        <f>TEXT($A$2,"mmm")&amp;".-"&amp;TEXT($A$2,"aa")</f>
        <v>feb.-22</v>
      </c>
    </row>
    <row r="119" spans="1:19">
      <c r="A119" s="209" t="s">
        <v>76</v>
      </c>
      <c r="B119" s="132" t="s">
        <v>11</v>
      </c>
      <c r="C119" s="133">
        <f>HLOOKUP(C$117,$86:$101,3,FALSE)</f>
        <v>-0.606159</v>
      </c>
      <c r="D119" s="133">
        <f t="shared" ref="D119:N119" si="7">HLOOKUP(D$117,$86:$101,3,FALSE)</f>
        <v>-0.651559</v>
      </c>
      <c r="E119" s="133">
        <f t="shared" si="7"/>
        <v>-0.59136100000000003</v>
      </c>
      <c r="F119" s="133">
        <f t="shared" si="7"/>
        <v>-1.103416</v>
      </c>
      <c r="G119" s="133">
        <f t="shared" si="7"/>
        <v>41.953423999999998</v>
      </c>
      <c r="H119" s="133">
        <f t="shared" si="7"/>
        <v>9.292719</v>
      </c>
      <c r="I119" s="133">
        <f t="shared" si="7"/>
        <v>-0.72875599999999996</v>
      </c>
      <c r="J119" s="133">
        <f t="shared" si="7"/>
        <v>-0.54997399999999996</v>
      </c>
      <c r="K119" s="133">
        <f t="shared" si="7"/>
        <v>-0.58327700000000005</v>
      </c>
      <c r="L119" s="133">
        <f t="shared" si="7"/>
        <v>-0.582067</v>
      </c>
      <c r="M119" s="133">
        <f t="shared" si="7"/>
        <v>-0.61424800000000002</v>
      </c>
      <c r="N119" s="133">
        <f t="shared" si="7"/>
        <v>-0.627467</v>
      </c>
      <c r="O119" s="134">
        <f>HLOOKUP(O$117,$86:$101,3,FALSE)</f>
        <v>-0.58012699999999995</v>
      </c>
    </row>
    <row r="120" spans="1:19">
      <c r="A120" s="210"/>
      <c r="B120" s="122" t="s">
        <v>10</v>
      </c>
      <c r="C120" s="116">
        <f>HLOOKUP(C$117,$86:$101,4,FALSE)</f>
        <v>18.940327</v>
      </c>
      <c r="D120" s="116">
        <f t="shared" ref="D120:O120" si="8">HLOOKUP(D$117,$86:$101,4,FALSE)</f>
        <v>14.240815</v>
      </c>
      <c r="E120" s="116">
        <f t="shared" si="8"/>
        <v>18.127455999999999</v>
      </c>
      <c r="F120" s="116">
        <f t="shared" si="8"/>
        <v>20.114982000000001</v>
      </c>
      <c r="G120" s="116">
        <f t="shared" si="8"/>
        <v>40.523569999999999</v>
      </c>
      <c r="H120" s="116">
        <f t="shared" si="8"/>
        <v>56.775785999999997</v>
      </c>
      <c r="I120" s="116">
        <f t="shared" si="8"/>
        <v>61.091033000000003</v>
      </c>
      <c r="J120" s="116">
        <f t="shared" si="8"/>
        <v>52.802481999999998</v>
      </c>
      <c r="K120" s="116">
        <f t="shared" si="8"/>
        <v>40.707250000000002</v>
      </c>
      <c r="L120" s="116">
        <f t="shared" si="8"/>
        <v>21.566172999999999</v>
      </c>
      <c r="M120" s="116">
        <f t="shared" si="8"/>
        <v>26.795760999999999</v>
      </c>
      <c r="N120" s="116">
        <f t="shared" si="8"/>
        <v>31.928764000000001</v>
      </c>
      <c r="O120" s="134">
        <f t="shared" si="8"/>
        <v>27.285067999999999</v>
      </c>
    </row>
    <row r="121" spans="1:19">
      <c r="A121" s="210"/>
      <c r="B121" s="122" t="s">
        <v>9</v>
      </c>
      <c r="C121" s="116">
        <f>HLOOKUP(C$117,$86:$101,5,FALSE)</f>
        <v>7.6657599999999997</v>
      </c>
      <c r="D121" s="116">
        <f t="shared" ref="D121:O121" si="9">HLOOKUP(D$117,$86:$101,5,FALSE)</f>
        <v>13.131584999999999</v>
      </c>
      <c r="E121" s="116">
        <f t="shared" si="9"/>
        <v>8.3072920000000003</v>
      </c>
      <c r="F121" s="116">
        <f t="shared" si="9"/>
        <v>7.7047420000000004</v>
      </c>
      <c r="G121" s="116">
        <f t="shared" si="9"/>
        <v>18.862037999999998</v>
      </c>
      <c r="H121" s="116">
        <f t="shared" si="9"/>
        <v>27.349309999999999</v>
      </c>
      <c r="I121" s="116">
        <f t="shared" si="9"/>
        <v>38.115422000000002</v>
      </c>
      <c r="J121" s="116">
        <f t="shared" si="9"/>
        <v>38.690980000000003</v>
      </c>
      <c r="K121" s="116">
        <f t="shared" si="9"/>
        <v>18.871455999999998</v>
      </c>
      <c r="L121" s="116">
        <f t="shared" si="9"/>
        <v>15.480005999999999</v>
      </c>
      <c r="M121" s="116">
        <f t="shared" si="9"/>
        <v>11.535242</v>
      </c>
      <c r="N121" s="116">
        <f t="shared" si="9"/>
        <v>14.287936</v>
      </c>
      <c r="O121" s="134">
        <f t="shared" si="9"/>
        <v>12.015179</v>
      </c>
    </row>
    <row r="122" spans="1:19" ht="14.25">
      <c r="A122" s="210"/>
      <c r="B122" s="122" t="s">
        <v>74</v>
      </c>
      <c r="C122" s="116">
        <f>HLOOKUP(C$117,$86:$101,6,FALSE)</f>
        <v>187.465463</v>
      </c>
      <c r="D122" s="116">
        <f t="shared" ref="D122:O122" si="10">HLOOKUP(D$117,$86:$101,6,FALSE)</f>
        <v>217.47864799999999</v>
      </c>
      <c r="E122" s="116">
        <f t="shared" si="10"/>
        <v>208.53059300000001</v>
      </c>
      <c r="F122" s="116">
        <f t="shared" si="10"/>
        <v>203.81251599999999</v>
      </c>
      <c r="G122" s="116">
        <f t="shared" si="10"/>
        <v>240.57820899999999</v>
      </c>
      <c r="H122" s="116">
        <f t="shared" si="10"/>
        <v>408.79444899999999</v>
      </c>
      <c r="I122" s="116">
        <f t="shared" si="10"/>
        <v>437.91378300000002</v>
      </c>
      <c r="J122" s="116">
        <f t="shared" si="10"/>
        <v>367.24080800000002</v>
      </c>
      <c r="K122" s="116">
        <f t="shared" si="10"/>
        <v>312.10340600000001</v>
      </c>
      <c r="L122" s="116">
        <f t="shared" si="10"/>
        <v>305.43751500000002</v>
      </c>
      <c r="M122" s="116">
        <f t="shared" si="10"/>
        <v>332.59120100000001</v>
      </c>
      <c r="N122" s="116">
        <f t="shared" si="10"/>
        <v>350.08292499999999</v>
      </c>
      <c r="O122" s="134">
        <f t="shared" si="10"/>
        <v>298.61759000000001</v>
      </c>
    </row>
    <row r="123" spans="1:19">
      <c r="A123" s="210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-2.3999999999999998E-3</v>
      </c>
      <c r="E123" s="116">
        <f t="shared" si="11"/>
        <v>0</v>
      </c>
      <c r="F123" s="116">
        <f t="shared" si="11"/>
        <v>1.1771689999999999</v>
      </c>
      <c r="G123" s="116">
        <f t="shared" si="11"/>
        <v>0.95765299999999998</v>
      </c>
      <c r="H123" s="116">
        <f t="shared" si="11"/>
        <v>2.9751430000000001</v>
      </c>
      <c r="I123" s="116">
        <f t="shared" si="11"/>
        <v>3.834768</v>
      </c>
      <c r="J123" s="116">
        <f t="shared" si="11"/>
        <v>2.0925159999999998</v>
      </c>
      <c r="K123" s="116">
        <f t="shared" si="11"/>
        <v>0.98881300000000005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0.15948300000000001</v>
      </c>
      <c r="D124" s="116">
        <f t="shared" ref="D124:O124" si="12">HLOOKUP(D$117,$86:$102,8,FALSE)</f>
        <v>0.30611500000000003</v>
      </c>
      <c r="E124" s="116">
        <f t="shared" si="12"/>
        <v>0.29466900000000001</v>
      </c>
      <c r="F124" s="116">
        <f t="shared" si="12"/>
        <v>0.189554</v>
      </c>
      <c r="G124" s="116">
        <f t="shared" si="12"/>
        <v>9.4216999999999995E-2</v>
      </c>
      <c r="H124" s="116">
        <f t="shared" si="12"/>
        <v>0.106017</v>
      </c>
      <c r="I124" s="116">
        <f t="shared" si="12"/>
        <v>0.20128099999999999</v>
      </c>
      <c r="J124" s="116">
        <f t="shared" si="12"/>
        <v>0.27444800000000003</v>
      </c>
      <c r="K124" s="116">
        <f t="shared" si="12"/>
        <v>0.26974799999999999</v>
      </c>
      <c r="L124" s="116">
        <f t="shared" si="12"/>
        <v>6.1364000000000002E-2</v>
      </c>
      <c r="M124" s="116">
        <f t="shared" si="12"/>
        <v>0.10125000000000001</v>
      </c>
      <c r="N124" s="116">
        <f t="shared" si="12"/>
        <v>0.215638</v>
      </c>
      <c r="O124" s="134">
        <f t="shared" si="12"/>
        <v>0.22824</v>
      </c>
    </row>
    <row r="125" spans="1:19">
      <c r="A125" s="210"/>
      <c r="B125" s="122" t="s">
        <v>4</v>
      </c>
      <c r="C125" s="116">
        <f>HLOOKUP(C$117,$86:$102,9,FALSE)</f>
        <v>9.5130970000000001</v>
      </c>
      <c r="D125" s="116">
        <f t="shared" ref="D125:O125" si="13">HLOOKUP(D$117,$86:$102,9,FALSE)</f>
        <v>13.293218</v>
      </c>
      <c r="E125" s="116">
        <f t="shared" si="13"/>
        <v>14.710262</v>
      </c>
      <c r="F125" s="116">
        <f t="shared" si="13"/>
        <v>22.207816999999999</v>
      </c>
      <c r="G125" s="116">
        <f t="shared" si="13"/>
        <v>21.167138000000001</v>
      </c>
      <c r="H125" s="116">
        <f t="shared" si="13"/>
        <v>22.964213999999998</v>
      </c>
      <c r="I125" s="116">
        <f t="shared" si="13"/>
        <v>21.415870999999999</v>
      </c>
      <c r="J125" s="116">
        <f t="shared" si="13"/>
        <v>17.621904000000001</v>
      </c>
      <c r="K125" s="116">
        <f t="shared" si="13"/>
        <v>16.793078000000001</v>
      </c>
      <c r="L125" s="116">
        <f t="shared" si="13"/>
        <v>8.8028849999999998</v>
      </c>
      <c r="M125" s="116">
        <f t="shared" si="13"/>
        <v>10.929036999999999</v>
      </c>
      <c r="N125" s="116">
        <f t="shared" si="13"/>
        <v>13.971553</v>
      </c>
      <c r="O125" s="134">
        <f t="shared" si="13"/>
        <v>17.801418000000002</v>
      </c>
    </row>
    <row r="126" spans="1:19">
      <c r="A126" s="210"/>
      <c r="B126" s="123" t="s">
        <v>22</v>
      </c>
      <c r="C126" s="116">
        <f>HLOOKUP(C$117,$86:$102,10,FALSE)</f>
        <v>7.6887999999999998E-2</v>
      </c>
      <c r="D126" s="116">
        <f t="shared" ref="D126:O126" si="14">HLOOKUP(D$117,$86:$102,10,FALSE)</f>
        <v>0.13778699999999999</v>
      </c>
      <c r="E126" s="116">
        <f t="shared" si="14"/>
        <v>0.10574</v>
      </c>
      <c r="F126" s="116">
        <f t="shared" si="14"/>
        <v>0.118546</v>
      </c>
      <c r="G126" s="116">
        <f t="shared" si="14"/>
        <v>9.8640000000000005E-2</v>
      </c>
      <c r="H126" s="116">
        <f t="shared" si="14"/>
        <v>9.6151E-2</v>
      </c>
      <c r="I126" s="116">
        <f t="shared" si="14"/>
        <v>8.4413000000000002E-2</v>
      </c>
      <c r="J126" s="116">
        <f t="shared" si="14"/>
        <v>8.1381999999999996E-2</v>
      </c>
      <c r="K126" s="116">
        <f t="shared" si="14"/>
        <v>0.243059</v>
      </c>
      <c r="L126" s="116">
        <f t="shared" si="14"/>
        <v>0.24007600000000001</v>
      </c>
      <c r="M126" s="116">
        <f t="shared" si="14"/>
        <v>0.230462</v>
      </c>
      <c r="N126" s="116">
        <f t="shared" si="14"/>
        <v>0.285244</v>
      </c>
      <c r="O126" s="134">
        <f t="shared" si="14"/>
        <v>0.28095199999999998</v>
      </c>
    </row>
    <row r="127" spans="1:19">
      <c r="A127" s="210"/>
      <c r="B127" s="123" t="s">
        <v>23</v>
      </c>
      <c r="C127" s="116">
        <f>HLOOKUP(C$117,$86:$102,11,FALSE)</f>
        <v>3.641699</v>
      </c>
      <c r="D127" s="116">
        <f t="shared" ref="D127:O127" si="15">HLOOKUP(D$117,$86:$102,11,FALSE)</f>
        <v>3.9954990000000001</v>
      </c>
      <c r="E127" s="116">
        <f t="shared" si="15"/>
        <v>3.2208809999999999</v>
      </c>
      <c r="F127" s="116">
        <f t="shared" si="15"/>
        <v>2.5715810000000001</v>
      </c>
      <c r="G127" s="116">
        <f t="shared" si="15"/>
        <v>3.062163</v>
      </c>
      <c r="H127" s="116">
        <f t="shared" si="15"/>
        <v>3.6905410000000001</v>
      </c>
      <c r="I127" s="116">
        <f t="shared" si="15"/>
        <v>3.5683280000000002</v>
      </c>
      <c r="J127" s="116">
        <f t="shared" si="15"/>
        <v>3.8190279999999999</v>
      </c>
      <c r="K127" s="116">
        <f t="shared" si="15"/>
        <v>4.0205719999999996</v>
      </c>
      <c r="L127" s="116">
        <f t="shared" si="15"/>
        <v>1.4121680000000001</v>
      </c>
      <c r="M127" s="116">
        <f t="shared" si="15"/>
        <v>3.5189080000000001</v>
      </c>
      <c r="N127" s="116">
        <f t="shared" si="15"/>
        <v>3.4010050000000001</v>
      </c>
      <c r="O127" s="134">
        <f t="shared" si="15"/>
        <v>3.0684070000000001</v>
      </c>
    </row>
    <row r="128" spans="1:19">
      <c r="A128" s="210"/>
      <c r="B128" s="122" t="s">
        <v>55</v>
      </c>
      <c r="C128" s="116">
        <f t="shared" ref="C128:O128" si="16">HLOOKUP(C$117,$86:$102,13,FALSE)</f>
        <v>10.723705000000001</v>
      </c>
      <c r="D128" s="116">
        <f t="shared" si="16"/>
        <v>10.093087499999999</v>
      </c>
      <c r="E128" s="116">
        <f t="shared" si="16"/>
        <v>7.5393055000000002</v>
      </c>
      <c r="F128" s="116">
        <f t="shared" si="16"/>
        <v>6.0236640000000001</v>
      </c>
      <c r="G128" s="116">
        <f t="shared" si="16"/>
        <v>13.481942</v>
      </c>
      <c r="H128" s="116">
        <f t="shared" si="16"/>
        <v>11.473026000000001</v>
      </c>
      <c r="I128" s="116">
        <f t="shared" si="16"/>
        <v>13.3199895</v>
      </c>
      <c r="J128" s="116">
        <f t="shared" si="16"/>
        <v>11.972504499999999</v>
      </c>
      <c r="K128" s="116">
        <f t="shared" si="16"/>
        <v>6.4146000000000001</v>
      </c>
      <c r="L128" s="116">
        <f t="shared" si="16"/>
        <v>13.8683715</v>
      </c>
      <c r="M128" s="116">
        <f t="shared" si="16"/>
        <v>8.8660929999999993</v>
      </c>
      <c r="N128" s="116">
        <f t="shared" si="16"/>
        <v>9.8711500000000001</v>
      </c>
      <c r="O128" s="134">
        <f t="shared" si="16"/>
        <v>5.4414375000000001</v>
      </c>
    </row>
    <row r="129" spans="1:15">
      <c r="A129" s="210"/>
      <c r="B129" s="122" t="s">
        <v>54</v>
      </c>
      <c r="C129" s="116">
        <f>HLOOKUP(C$117,$86:$102,12,FALSE)</f>
        <v>10.723705000000001</v>
      </c>
      <c r="D129" s="116">
        <f t="shared" ref="D129:O129" si="17">HLOOKUP(D$117,$86:$102,12,FALSE)</f>
        <v>10.093087499999999</v>
      </c>
      <c r="E129" s="116">
        <f t="shared" si="17"/>
        <v>7.5393055000000002</v>
      </c>
      <c r="F129" s="116">
        <f t="shared" si="17"/>
        <v>6.0236640000000001</v>
      </c>
      <c r="G129" s="116">
        <f t="shared" si="17"/>
        <v>13.481942</v>
      </c>
      <c r="H129" s="116">
        <f t="shared" si="17"/>
        <v>11.473026000000001</v>
      </c>
      <c r="I129" s="116">
        <f t="shared" si="17"/>
        <v>13.3199895</v>
      </c>
      <c r="J129" s="116">
        <f t="shared" si="17"/>
        <v>11.972504499999999</v>
      </c>
      <c r="K129" s="116">
        <f t="shared" si="17"/>
        <v>6.4146000000000001</v>
      </c>
      <c r="L129" s="116">
        <f t="shared" si="17"/>
        <v>13.8683715</v>
      </c>
      <c r="M129" s="116">
        <f t="shared" si="17"/>
        <v>8.8660929999999993</v>
      </c>
      <c r="N129" s="116">
        <f t="shared" si="17"/>
        <v>9.8711500000000001</v>
      </c>
      <c r="O129" s="134">
        <f t="shared" si="17"/>
        <v>5.4414375000000001</v>
      </c>
    </row>
    <row r="130" spans="1:15">
      <c r="A130" s="210"/>
      <c r="B130" s="124" t="s">
        <v>2</v>
      </c>
      <c r="C130" s="125">
        <f>HLOOKUP(C$117,$86:$102,14,FALSE)</f>
        <v>248.303968</v>
      </c>
      <c r="D130" s="125">
        <f t="shared" ref="D130:O130" si="18">HLOOKUP(D$117,$86:$102,14,FALSE)</f>
        <v>282.115883</v>
      </c>
      <c r="E130" s="125">
        <f t="shared" si="18"/>
        <v>267.78414299999997</v>
      </c>
      <c r="F130" s="125">
        <f t="shared" si="18"/>
        <v>268.84081900000001</v>
      </c>
      <c r="G130" s="125">
        <f t="shared" si="18"/>
        <v>394.26093600000002</v>
      </c>
      <c r="H130" s="125">
        <f t="shared" si="18"/>
        <v>554.99038199999995</v>
      </c>
      <c r="I130" s="125">
        <f t="shared" si="18"/>
        <v>592.136122</v>
      </c>
      <c r="J130" s="125">
        <f t="shared" si="18"/>
        <v>506.01858299999998</v>
      </c>
      <c r="K130" s="125">
        <f t="shared" si="18"/>
        <v>406.24330500000002</v>
      </c>
      <c r="L130" s="125">
        <f t="shared" si="18"/>
        <v>380.15486299999998</v>
      </c>
      <c r="M130" s="125">
        <f t="shared" si="18"/>
        <v>402.81979899999999</v>
      </c>
      <c r="N130" s="125">
        <f t="shared" si="18"/>
        <v>433.28789799999998</v>
      </c>
      <c r="O130" s="135">
        <f t="shared" si="18"/>
        <v>369.599602</v>
      </c>
    </row>
    <row r="131" spans="1:15">
      <c r="A131" s="210"/>
      <c r="B131" s="122" t="s">
        <v>21</v>
      </c>
      <c r="C131" s="126">
        <f>HLOOKUP(C$117,$86:$102,15,FALSE)</f>
        <v>113.412009</v>
      </c>
      <c r="D131" s="126">
        <f t="shared" ref="D131:O131" si="19">HLOOKUP(D$117,$86:$102,15,FALSE)</f>
        <v>127.985573</v>
      </c>
      <c r="E131" s="126">
        <f t="shared" si="19"/>
        <v>111.02179700000001</v>
      </c>
      <c r="F131" s="126">
        <f t="shared" si="19"/>
        <v>111.601713</v>
      </c>
      <c r="G131" s="126">
        <f t="shared" si="19"/>
        <v>65.429468</v>
      </c>
      <c r="H131" s="126">
        <f t="shared" si="19"/>
        <v>45.879221000000001</v>
      </c>
      <c r="I131" s="126">
        <f t="shared" si="19"/>
        <v>40.107311000000003</v>
      </c>
      <c r="J131" s="126">
        <f t="shared" si="19"/>
        <v>37.549396999999999</v>
      </c>
      <c r="K131" s="126">
        <f t="shared" si="19"/>
        <v>38.285525</v>
      </c>
      <c r="L131" s="126">
        <f t="shared" si="19"/>
        <v>28.435708999999999</v>
      </c>
      <c r="M131" s="126">
        <f t="shared" si="19"/>
        <v>32.270831999999999</v>
      </c>
      <c r="N131" s="126">
        <f t="shared" si="19"/>
        <v>31.159338999999999</v>
      </c>
      <c r="O131" s="126">
        <f t="shared" si="19"/>
        <v>27.502502</v>
      </c>
    </row>
    <row r="132" spans="1:15">
      <c r="A132" s="210"/>
      <c r="B132" s="127" t="s">
        <v>1</v>
      </c>
      <c r="C132" s="128">
        <f>HLOOKUP(C$117,$86:$102,16,FALSE)</f>
        <v>361.71597700000001</v>
      </c>
      <c r="D132" s="128">
        <f t="shared" ref="D132:O132" si="20">HLOOKUP(D$117,$86:$102,16,FALSE)</f>
        <v>410.10145599999998</v>
      </c>
      <c r="E132" s="128">
        <f t="shared" si="20"/>
        <v>378.80594000000002</v>
      </c>
      <c r="F132" s="128">
        <f t="shared" si="20"/>
        <v>380.44253200000003</v>
      </c>
      <c r="G132" s="128">
        <f t="shared" si="20"/>
        <v>459.690404</v>
      </c>
      <c r="H132" s="128">
        <f t="shared" si="20"/>
        <v>600.86960299999998</v>
      </c>
      <c r="I132" s="128">
        <f t="shared" si="20"/>
        <v>632.24343299999998</v>
      </c>
      <c r="J132" s="128">
        <f t="shared" si="20"/>
        <v>543.56798000000003</v>
      </c>
      <c r="K132" s="128">
        <f t="shared" si="20"/>
        <v>444.52883000000003</v>
      </c>
      <c r="L132" s="128">
        <f t="shared" si="20"/>
        <v>408.59057200000001</v>
      </c>
      <c r="M132" s="128">
        <f t="shared" si="20"/>
        <v>435.09063099999997</v>
      </c>
      <c r="N132" s="128">
        <f t="shared" si="20"/>
        <v>464.44723699999997</v>
      </c>
      <c r="O132" s="128">
        <f t="shared" si="20"/>
        <v>397.102104</v>
      </c>
    </row>
    <row r="133" spans="1:15" ht="14.25">
      <c r="A133" s="211"/>
      <c r="B133" s="137" t="s">
        <v>75</v>
      </c>
      <c r="C133" s="138">
        <f>C120+C121+C123</f>
        <v>26.606086999999999</v>
      </c>
      <c r="D133" s="138">
        <f>D120+D121+D123</f>
        <v>27.369999999999997</v>
      </c>
      <c r="E133" s="138">
        <f t="shared" ref="E133:O133" si="21">E120+E121+E123</f>
        <v>26.434747999999999</v>
      </c>
      <c r="F133" s="138">
        <f t="shared" si="21"/>
        <v>28.996893</v>
      </c>
      <c r="G133" s="138">
        <f t="shared" si="21"/>
        <v>60.343260999999998</v>
      </c>
      <c r="H133" s="138">
        <f t="shared" si="21"/>
        <v>87.100239000000002</v>
      </c>
      <c r="I133" s="138">
        <f t="shared" si="21"/>
        <v>103.041223</v>
      </c>
      <c r="J133" s="138">
        <f t="shared" si="21"/>
        <v>93.585977999999997</v>
      </c>
      <c r="K133" s="138">
        <f t="shared" si="21"/>
        <v>60.567518999999997</v>
      </c>
      <c r="L133" s="138">
        <f t="shared" si="21"/>
        <v>37.046178999999995</v>
      </c>
      <c r="M133" s="138">
        <f t="shared" si="21"/>
        <v>38.331002999999995</v>
      </c>
      <c r="N133" s="138">
        <f t="shared" si="21"/>
        <v>46.216700000000003</v>
      </c>
      <c r="O133" s="138">
        <f t="shared" si="21"/>
        <v>39.300246999999999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feb.-21</v>
      </c>
      <c r="D134" s="120" t="str">
        <f>TEXT(EDATE($A$2,-11),"mmm")&amp;".-"&amp;TEXT(EDATE($A$2,-11),"aa")</f>
        <v>mar.-21</v>
      </c>
      <c r="E134" s="120" t="str">
        <f>TEXT(EDATE($A$2,-10),"mmm")&amp;".-"&amp;TEXT(EDATE($A$2,-10),"aa")</f>
        <v>abr.-21</v>
      </c>
      <c r="F134" s="120" t="str">
        <f>TEXT(EDATE($A$2,-9),"mmm")&amp;".-"&amp;TEXT(EDATE($A$2,-9),"aa")</f>
        <v>may.-21</v>
      </c>
      <c r="G134" s="120" t="str">
        <f>TEXT(EDATE($A$2,-8),"mmm")&amp;".-"&amp;TEXT(EDATE($A$2,-8),"aa")</f>
        <v>jun.-21</v>
      </c>
      <c r="H134" s="120" t="str">
        <f>TEXT(EDATE($A$2,-7),"mmm")&amp;".-"&amp;TEXT(EDATE($A$2,-7),"aa")</f>
        <v>jul.-21</v>
      </c>
      <c r="I134" s="120" t="str">
        <f>TEXT(EDATE($A$2,-6),"mmm")&amp;".-"&amp;TEXT(EDATE($A$2,-6),"aa")</f>
        <v>ago.-21</v>
      </c>
      <c r="J134" s="120" t="str">
        <f>TEXT(EDATE($A$2,-5),"mmm")&amp;".-"&amp;TEXT(EDATE($A$2,-5),"aa")</f>
        <v>sep.-21</v>
      </c>
      <c r="K134" s="120" t="str">
        <f>TEXT(EDATE($A$2,-4),"mmm")&amp;".-"&amp;TEXT(EDATE($A$2,-4),"aa")</f>
        <v>oct.-21</v>
      </c>
      <c r="L134" s="120" t="str">
        <f>TEXT(EDATE($A$2,-3),"mmm")&amp;".-"&amp;TEXT(EDATE($A$2,-3),"aa")</f>
        <v>nov.-21</v>
      </c>
      <c r="M134" s="120" t="str">
        <f>TEXT(EDATE($A$2,-2),"mmm")&amp;".-"&amp;TEXT(EDATE($A$2,-2),"aa")</f>
        <v>dic.-21</v>
      </c>
      <c r="N134" s="120" t="str">
        <f>TEXT(EDATE($A$2,-1),"mmm")&amp;".-"&amp;TEXT(EDATE($A$2,-1),"aa")</f>
        <v>ene.-22</v>
      </c>
      <c r="O134" s="121" t="str">
        <f>TEXT($A$2,"mmm")&amp;".-"&amp;TEXT($A$2,"aa")</f>
        <v>feb.-22</v>
      </c>
    </row>
    <row r="135" spans="1:15" ht="15" customHeight="1">
      <c r="A135" s="210"/>
      <c r="B135" s="122" t="s">
        <v>12</v>
      </c>
      <c r="C135" s="116">
        <f>HLOOKUP(C$117,$86:$115,17,FALSE)</f>
        <v>0.25852999999999998</v>
      </c>
      <c r="D135" s="116">
        <f t="shared" ref="D135:O135" si="22">HLOOKUP(D$117,$86:$115,17,FALSE)</f>
        <v>0.28226499999999999</v>
      </c>
      <c r="E135" s="116">
        <f t="shared" si="22"/>
        <v>0.13780600000000001</v>
      </c>
      <c r="F135" s="116">
        <f t="shared" si="22"/>
        <v>0.26783600000000002</v>
      </c>
      <c r="G135" s="116">
        <f t="shared" si="22"/>
        <v>0.28217700000000001</v>
      </c>
      <c r="H135" s="116">
        <f t="shared" si="22"/>
        <v>0.28972599999999998</v>
      </c>
      <c r="I135" s="116">
        <f t="shared" si="22"/>
        <v>0.28065899999999999</v>
      </c>
      <c r="J135" s="116">
        <f t="shared" si="22"/>
        <v>0.27753299999999997</v>
      </c>
      <c r="K135" s="116">
        <f t="shared" si="22"/>
        <v>0.28213100000000002</v>
      </c>
      <c r="L135" s="116">
        <f t="shared" si="22"/>
        <v>0.23125799999999999</v>
      </c>
      <c r="M135" s="116">
        <f t="shared" si="22"/>
        <v>0.15536</v>
      </c>
      <c r="N135" s="116">
        <f t="shared" si="22"/>
        <v>0.294213</v>
      </c>
      <c r="O135" s="161">
        <f t="shared" si="22"/>
        <v>0.25058200000000003</v>
      </c>
    </row>
    <row r="136" spans="1:15">
      <c r="A136" s="210"/>
      <c r="B136" s="122" t="s">
        <v>10</v>
      </c>
      <c r="C136" s="116">
        <f>HLOOKUP(C$117,$86:$115,18,FALSE)</f>
        <v>112.359525</v>
      </c>
      <c r="D136" s="116">
        <f t="shared" ref="D136:O136" si="23">HLOOKUP(D$117,$86:$115,18,FALSE)</f>
        <v>128.50312700000001</v>
      </c>
      <c r="E136" s="116">
        <f t="shared" si="23"/>
        <v>140.012246</v>
      </c>
      <c r="F136" s="116">
        <f t="shared" si="23"/>
        <v>126.338086</v>
      </c>
      <c r="G136" s="116">
        <f t="shared" si="23"/>
        <v>133.47633400000001</v>
      </c>
      <c r="H136" s="116">
        <f t="shared" si="23"/>
        <v>143.30591200000001</v>
      </c>
      <c r="I136" s="116">
        <f t="shared" si="23"/>
        <v>156.76769400000001</v>
      </c>
      <c r="J136" s="116">
        <f t="shared" si="23"/>
        <v>167.979367</v>
      </c>
      <c r="K136" s="116">
        <f t="shared" si="23"/>
        <v>160.016738</v>
      </c>
      <c r="L136" s="116">
        <f t="shared" si="23"/>
        <v>150.664601</v>
      </c>
      <c r="M136" s="116">
        <f t="shared" si="23"/>
        <v>156.43278100000001</v>
      </c>
      <c r="N136" s="116">
        <f t="shared" si="23"/>
        <v>144.976482</v>
      </c>
      <c r="O136" s="134">
        <f t="shared" si="23"/>
        <v>129.27893900000001</v>
      </c>
    </row>
    <row r="137" spans="1:15">
      <c r="A137" s="210"/>
      <c r="B137" s="122" t="s">
        <v>9</v>
      </c>
      <c r="C137" s="116">
        <f>HLOOKUP(C$117,$86:$115,19,FALSE)</f>
        <v>10.355027</v>
      </c>
      <c r="D137" s="116">
        <f t="shared" ref="D137:O137" si="24">HLOOKUP(D$117,$86:$115,19,FALSE)</f>
        <v>14.760713000000001</v>
      </c>
      <c r="E137" s="116">
        <f t="shared" si="24"/>
        <v>16.229486999999999</v>
      </c>
      <c r="F137" s="116">
        <f t="shared" si="24"/>
        <v>17.203126999999999</v>
      </c>
      <c r="G137" s="116">
        <f t="shared" si="24"/>
        <v>15.24977</v>
      </c>
      <c r="H137" s="116">
        <f t="shared" si="24"/>
        <v>13.198846</v>
      </c>
      <c r="I137" s="116">
        <f t="shared" si="24"/>
        <v>9.7369489999999992</v>
      </c>
      <c r="J137" s="116">
        <f t="shared" si="24"/>
        <v>32.625571999999998</v>
      </c>
      <c r="K137" s="116">
        <f t="shared" si="24"/>
        <v>27.415593999999999</v>
      </c>
      <c r="L137" s="116">
        <f t="shared" si="24"/>
        <v>14.576139</v>
      </c>
      <c r="M137" s="116">
        <f t="shared" si="24"/>
        <v>17.516629999999999</v>
      </c>
      <c r="N137" s="116">
        <f t="shared" si="24"/>
        <v>20.123602000000002</v>
      </c>
      <c r="O137" s="134">
        <f t="shared" si="24"/>
        <v>22.305457000000001</v>
      </c>
    </row>
    <row r="138" spans="1:15">
      <c r="A138" s="210"/>
      <c r="B138" s="122" t="s">
        <v>8</v>
      </c>
      <c r="C138" s="116">
        <f>HLOOKUP(C$117,$86:$115,20,FALSE)</f>
        <v>104.960847</v>
      </c>
      <c r="D138" s="116">
        <f t="shared" ref="D138:O138" si="25">HLOOKUP(D$117,$86:$115,20,FALSE)</f>
        <v>100.758259</v>
      </c>
      <c r="E138" s="116">
        <f t="shared" si="25"/>
        <v>70.652975999999995</v>
      </c>
      <c r="F138" s="116">
        <f t="shared" si="25"/>
        <v>62.41677</v>
      </c>
      <c r="G138" s="116">
        <f t="shared" si="25"/>
        <v>33.486941999999999</v>
      </c>
      <c r="H138" s="116">
        <f t="shared" si="25"/>
        <v>66.134209999999996</v>
      </c>
      <c r="I138" s="116">
        <f t="shared" si="25"/>
        <v>99.644189999999995</v>
      </c>
      <c r="J138" s="116">
        <f t="shared" si="25"/>
        <v>113.210213</v>
      </c>
      <c r="K138" s="116">
        <f t="shared" si="25"/>
        <v>112.484255</v>
      </c>
      <c r="L138" s="116">
        <f t="shared" si="25"/>
        <v>115.10042799999999</v>
      </c>
      <c r="M138" s="116">
        <f t="shared" si="25"/>
        <v>112.90636000000001</v>
      </c>
      <c r="N138" s="116">
        <f t="shared" si="25"/>
        <v>117.422501</v>
      </c>
      <c r="O138" s="134">
        <f t="shared" si="25"/>
        <v>102.630663</v>
      </c>
    </row>
    <row r="139" spans="1:15" ht="14.25">
      <c r="A139" s="210"/>
      <c r="B139" s="122" t="s">
        <v>74</v>
      </c>
      <c r="C139" s="116">
        <f>HLOOKUP(C$117,$86:$115,21,FALSE)</f>
        <v>269.76136200000002</v>
      </c>
      <c r="D139" s="116">
        <f t="shared" ref="D139:O139" si="26">HLOOKUP(D$117,$86:$115,21,FALSE)</f>
        <v>284.19602200000003</v>
      </c>
      <c r="E139" s="116">
        <f t="shared" si="26"/>
        <v>311.21022299999998</v>
      </c>
      <c r="F139" s="116">
        <f t="shared" si="26"/>
        <v>236.28277700000001</v>
      </c>
      <c r="G139" s="116">
        <f t="shared" si="26"/>
        <v>276.61590899999999</v>
      </c>
      <c r="H139" s="116">
        <f t="shared" si="26"/>
        <v>284.60979800000001</v>
      </c>
      <c r="I139" s="116">
        <f t="shared" si="26"/>
        <v>284.30052499999999</v>
      </c>
      <c r="J139" s="116">
        <f t="shared" si="26"/>
        <v>278.88830000000002</v>
      </c>
      <c r="K139" s="116">
        <f t="shared" si="26"/>
        <v>288.42916700000001</v>
      </c>
      <c r="L139" s="116">
        <f t="shared" si="26"/>
        <v>314.272829</v>
      </c>
      <c r="M139" s="116">
        <f t="shared" si="26"/>
        <v>321.01253800000001</v>
      </c>
      <c r="N139" s="116">
        <f t="shared" si="26"/>
        <v>350.31383599999998</v>
      </c>
      <c r="O139" s="134">
        <f t="shared" si="26"/>
        <v>285.33313399999997</v>
      </c>
    </row>
    <row r="140" spans="1:15">
      <c r="A140" s="210"/>
      <c r="B140" s="122" t="s">
        <v>6</v>
      </c>
      <c r="C140" s="116">
        <f>HLOOKUP(C$117,$86:$115,22,FALSE)</f>
        <v>1.226483</v>
      </c>
      <c r="D140" s="116">
        <f t="shared" ref="D140:O140" si="27">HLOOKUP(D$117,$86:$115,22,FALSE)</f>
        <v>1.921443</v>
      </c>
      <c r="E140" s="116">
        <f t="shared" si="27"/>
        <v>0.83590799999999998</v>
      </c>
      <c r="F140" s="116">
        <f t="shared" si="27"/>
        <v>3.227077</v>
      </c>
      <c r="G140" s="116">
        <f t="shared" si="27"/>
        <v>3.0020419999999999</v>
      </c>
      <c r="H140" s="116">
        <f t="shared" si="27"/>
        <v>3.5782180000000001</v>
      </c>
      <c r="I140" s="116">
        <f t="shared" si="27"/>
        <v>2.663478</v>
      </c>
      <c r="J140" s="116">
        <f t="shared" si="27"/>
        <v>1.4201079999999999</v>
      </c>
      <c r="K140" s="116">
        <f t="shared" si="27"/>
        <v>1.852679</v>
      </c>
      <c r="L140" s="116">
        <f t="shared" si="27"/>
        <v>1.1397900000000001</v>
      </c>
      <c r="M140" s="116">
        <f t="shared" si="27"/>
        <v>1.2278610000000001</v>
      </c>
      <c r="N140" s="116">
        <f t="shared" si="27"/>
        <v>1.110916</v>
      </c>
      <c r="O140" s="134">
        <f t="shared" si="27"/>
        <v>1.4820450000000001</v>
      </c>
    </row>
    <row r="141" spans="1:15">
      <c r="A141" s="210"/>
      <c r="B141" s="122" t="s">
        <v>5</v>
      </c>
      <c r="C141" s="116">
        <f>HLOOKUP(C$117,$86:$115,23,FALSE)</f>
        <v>58.777921999999997</v>
      </c>
      <c r="D141" s="116">
        <f t="shared" ref="D141:O141" si="28">HLOOKUP(D$117,$86:$115,23,FALSE)</f>
        <v>84.841812000000004</v>
      </c>
      <c r="E141" s="116">
        <f t="shared" si="28"/>
        <v>53.035682999999999</v>
      </c>
      <c r="F141" s="116">
        <f t="shared" si="28"/>
        <v>162.608282</v>
      </c>
      <c r="G141" s="116">
        <f t="shared" si="28"/>
        <v>148.01756800000001</v>
      </c>
      <c r="H141" s="116">
        <f t="shared" si="28"/>
        <v>158.51529099999999</v>
      </c>
      <c r="I141" s="116">
        <f t="shared" si="28"/>
        <v>145.85682</v>
      </c>
      <c r="J141" s="116">
        <f t="shared" si="28"/>
        <v>107.853368</v>
      </c>
      <c r="K141" s="116">
        <f t="shared" si="28"/>
        <v>121.87329699999999</v>
      </c>
      <c r="L141" s="116">
        <f t="shared" si="28"/>
        <v>91.770038</v>
      </c>
      <c r="M141" s="116">
        <f t="shared" si="28"/>
        <v>92.799205999999998</v>
      </c>
      <c r="N141" s="116">
        <f t="shared" si="28"/>
        <v>60.108277000000001</v>
      </c>
      <c r="O141" s="134">
        <f t="shared" si="28"/>
        <v>88.969560999999999</v>
      </c>
    </row>
    <row r="142" spans="1:15">
      <c r="A142" s="210"/>
      <c r="B142" s="122" t="s">
        <v>4</v>
      </c>
      <c r="C142" s="116">
        <f>HLOOKUP(C$117,$86:$115,24,FALSE)</f>
        <v>18.033486</v>
      </c>
      <c r="D142" s="116">
        <f t="shared" ref="D142:O142" si="29">HLOOKUP(D$117,$86:$115,24,FALSE)</f>
        <v>24.290976000000001</v>
      </c>
      <c r="E142" s="116">
        <f t="shared" si="29"/>
        <v>22.649926000000001</v>
      </c>
      <c r="F142" s="116">
        <f t="shared" si="29"/>
        <v>27.065259999999999</v>
      </c>
      <c r="G142" s="116">
        <f t="shared" si="29"/>
        <v>24.71088</v>
      </c>
      <c r="H142" s="116">
        <f t="shared" si="29"/>
        <v>27.905276000000001</v>
      </c>
      <c r="I142" s="116">
        <f t="shared" si="29"/>
        <v>26.076153999999999</v>
      </c>
      <c r="J142" s="116">
        <f t="shared" si="29"/>
        <v>21.556585999999999</v>
      </c>
      <c r="K142" s="116">
        <f t="shared" si="29"/>
        <v>20.903444</v>
      </c>
      <c r="L142" s="116">
        <f t="shared" si="29"/>
        <v>14.926348000000001</v>
      </c>
      <c r="M142" s="116">
        <f t="shared" si="29"/>
        <v>16.796773000000002</v>
      </c>
      <c r="N142" s="116">
        <f t="shared" si="29"/>
        <v>17.847128000000001</v>
      </c>
      <c r="O142" s="134">
        <f t="shared" si="29"/>
        <v>18.690237</v>
      </c>
    </row>
    <row r="143" spans="1:15">
      <c r="A143" s="210"/>
      <c r="B143" s="122" t="s">
        <v>22</v>
      </c>
      <c r="C143" s="116">
        <f>HLOOKUP(C$117,$86:$115,25,FALSE)</f>
        <v>0.69978200000000002</v>
      </c>
      <c r="D143" s="116">
        <f t="shared" ref="D143:O143" si="30">HLOOKUP(D$117,$86:$115,25,FALSE)</f>
        <v>0.79178499999999996</v>
      </c>
      <c r="E143" s="116">
        <f t="shared" si="30"/>
        <v>0.72202100000000002</v>
      </c>
      <c r="F143" s="116">
        <f t="shared" si="30"/>
        <v>0.72256799999999999</v>
      </c>
      <c r="G143" s="116">
        <f t="shared" si="30"/>
        <v>0.72395900000000002</v>
      </c>
      <c r="H143" s="116">
        <f t="shared" si="30"/>
        <v>0.73402900000000004</v>
      </c>
      <c r="I143" s="116">
        <f t="shared" si="30"/>
        <v>0.56980699999999995</v>
      </c>
      <c r="J143" s="116">
        <f t="shared" si="30"/>
        <v>0.40013300000000002</v>
      </c>
      <c r="K143" s="116">
        <f t="shared" si="30"/>
        <v>0.75599700000000003</v>
      </c>
      <c r="L143" s="116">
        <f t="shared" si="30"/>
        <v>0.75323799999999996</v>
      </c>
      <c r="M143" s="116">
        <f t="shared" si="30"/>
        <v>0.822349</v>
      </c>
      <c r="N143" s="116">
        <f t="shared" si="30"/>
        <v>0.86053100000000005</v>
      </c>
      <c r="O143" s="134">
        <f t="shared" si="30"/>
        <v>0.72069799999999995</v>
      </c>
    </row>
    <row r="144" spans="1:15">
      <c r="A144" s="210"/>
      <c r="B144" s="127" t="s">
        <v>1</v>
      </c>
      <c r="C144" s="128">
        <f>HLOOKUP(C$117,$86:$115,26,FALSE)</f>
        <v>576.43296399999997</v>
      </c>
      <c r="D144" s="128">
        <f t="shared" ref="D144:O144" si="31">HLOOKUP(D$117,$86:$115,26,FALSE)</f>
        <v>640.34640200000001</v>
      </c>
      <c r="E144" s="128">
        <f t="shared" si="31"/>
        <v>615.48627599999998</v>
      </c>
      <c r="F144" s="128">
        <f t="shared" si="31"/>
        <v>636.13178300000004</v>
      </c>
      <c r="G144" s="128">
        <f t="shared" si="31"/>
        <v>635.56558099999995</v>
      </c>
      <c r="H144" s="128">
        <f t="shared" si="31"/>
        <v>698.27130599999998</v>
      </c>
      <c r="I144" s="128">
        <f t="shared" si="31"/>
        <v>725.89627599999994</v>
      </c>
      <c r="J144" s="128">
        <f t="shared" si="31"/>
        <v>724.21118000000001</v>
      </c>
      <c r="K144" s="128">
        <f t="shared" si="31"/>
        <v>734.01330199999995</v>
      </c>
      <c r="L144" s="128">
        <f t="shared" si="31"/>
        <v>703.43466899999999</v>
      </c>
      <c r="M144" s="128">
        <f t="shared" si="31"/>
        <v>719.66985799999998</v>
      </c>
      <c r="N144" s="128">
        <f t="shared" si="31"/>
        <v>713.05748600000004</v>
      </c>
      <c r="O144" s="136">
        <f t="shared" si="31"/>
        <v>649.66131600000006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227.675399</v>
      </c>
      <c r="D146" s="141">
        <f t="shared" ref="D146:O146" si="32">SUM(D136:D138)</f>
        <v>244.02209900000003</v>
      </c>
      <c r="E146" s="141">
        <f t="shared" si="32"/>
        <v>226.89470900000001</v>
      </c>
      <c r="F146" s="141">
        <f t="shared" si="32"/>
        <v>205.95798300000001</v>
      </c>
      <c r="G146" s="141">
        <f t="shared" si="32"/>
        <v>182.21304600000002</v>
      </c>
      <c r="H146" s="141">
        <f t="shared" si="32"/>
        <v>222.63896800000001</v>
      </c>
      <c r="I146" s="141">
        <f t="shared" si="32"/>
        <v>266.14883300000002</v>
      </c>
      <c r="J146" s="141">
        <f t="shared" si="32"/>
        <v>313.81515200000001</v>
      </c>
      <c r="K146" s="141">
        <f t="shared" si="32"/>
        <v>299.91658699999999</v>
      </c>
      <c r="L146" s="141">
        <f t="shared" si="32"/>
        <v>280.34116800000004</v>
      </c>
      <c r="M146" s="141">
        <f t="shared" si="32"/>
        <v>286.855771</v>
      </c>
      <c r="N146" s="141">
        <f t="shared" si="32"/>
        <v>282.52258499999999</v>
      </c>
      <c r="O146" s="142">
        <f t="shared" si="32"/>
        <v>254.215059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119</v>
      </c>
      <c r="B152" s="176" t="s">
        <v>120</v>
      </c>
      <c r="C152" s="183">
        <v>9.783E-2</v>
      </c>
      <c r="D152" s="183">
        <v>1.1299999999999999E-3</v>
      </c>
      <c r="E152" s="183">
        <v>1.457E-2</v>
      </c>
      <c r="F152" s="183">
        <v>8.2129999999999995E-2</v>
      </c>
      <c r="G152" s="183">
        <v>3.4720000000000001E-2</v>
      </c>
      <c r="H152" s="183">
        <v>2.4299999999999999E-3</v>
      </c>
      <c r="I152" s="183">
        <v>-7.8399999999999997E-3</v>
      </c>
      <c r="J152" s="183">
        <v>4.0129999999999999E-2</v>
      </c>
      <c r="K152" s="183">
        <v>0.13042999999999999</v>
      </c>
      <c r="L152" s="183">
        <v>-1.7600000000000001E-3</v>
      </c>
      <c r="M152" s="183">
        <v>8.6999999999999994E-3</v>
      </c>
      <c r="N152" s="183">
        <v>0.12349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119</v>
      </c>
      <c r="B158" s="176" t="s">
        <v>120</v>
      </c>
      <c r="C158" s="183">
        <v>0.12703999999999999</v>
      </c>
      <c r="D158" s="183">
        <v>5.0299999999999997E-3</v>
      </c>
      <c r="E158" s="183">
        <v>-9.3999999999999997E-4</v>
      </c>
      <c r="F158" s="183">
        <v>0.12295</v>
      </c>
      <c r="G158" s="183">
        <v>0.11280999999999999</v>
      </c>
      <c r="H158" s="183">
        <v>4.0299999999999997E-3</v>
      </c>
      <c r="I158" s="183">
        <v>-1.25E-3</v>
      </c>
      <c r="J158" s="183">
        <v>0.11003</v>
      </c>
      <c r="K158" s="183">
        <v>6.3219999999999998E-2</v>
      </c>
      <c r="L158" s="183">
        <v>-2.2000000000000001E-4</v>
      </c>
      <c r="M158" s="183">
        <v>-1.49E-3</v>
      </c>
      <c r="N158" s="183">
        <v>6.4930000000000002E-2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Q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2022-03-11T13:26:24Z</dcterms:modified>
</cp:coreProperties>
</file>