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FEB\INF_ELABORADA\"/>
    </mc:Choice>
  </mc:AlternateContent>
  <xr:revisionPtr revIDLastSave="0" documentId="13_ncr:1_{E23D7D2D-6FBF-4ED5-B432-510A4501ECE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Dat_01!$A$85:$Q$112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" i="18" l="1"/>
  <c r="K18" i="22" l="1"/>
  <c r="K20" i="22"/>
  <c r="M12" i="22" l="1"/>
  <c r="I13" i="22"/>
  <c r="I9" i="22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47" i="18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15" i="22" l="1"/>
  <c r="L20" i="22"/>
  <c r="L24" i="22" s="1"/>
  <c r="H15" i="22"/>
  <c r="F15" i="22"/>
  <c r="F24" i="22"/>
  <c r="H20" i="22"/>
  <c r="I20" i="22" s="1"/>
  <c r="J24" i="22"/>
  <c r="M20" i="22" l="1"/>
  <c r="H24" i="22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<sst xmlns="http://schemas.openxmlformats.org/spreadsheetml/2006/main" count="422" uniqueCount="128">
  <si>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</si>
  <si>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</si>
  <si>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</si>
  <si>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</si>
  <si>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</si>
  <si>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</si>
  <si>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</si>
  <si>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</si>
  <si>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</si>
  <si>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</si>
  <si>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</si>
  <si>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</si>
  <si>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</si>
  <si>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</si>
  <si>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</si>
  <si>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</si>
  <si>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</si>
  <si>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</si>
  <si>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</si>
  <si>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</si>
  <si>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</si>
  <si>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</si>
  <si>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</si>
  <si>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</si>
  <si>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</si>
  <si>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</si>
  <si>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</si>
  <si>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</si>
  <si>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</si>
  <si>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</si>
  <si>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</si>
  <si>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</si>
  <si>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</si>
  <si>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</si>
  <si>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</si>
  <si>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</si>
  <si>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</si>
  <si>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</si>
  <si>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</si>
  <si>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</si>
  <si>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</si>
  <si>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</si>
  <si>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</si>
  <si>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</si>
  <si>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</si>
  <si>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</si>
  <si>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</si>
  <si>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</si>
  <si>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</si>
  <si>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</si>
  <si>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</si>
  <si>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</si>
  <si>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</si>
  <si>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</si>
  <si>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</si>
  <si>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</si>
  <si>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</si>
  <si>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</si>
  <si>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</si>
  <si>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</si>
  <si>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</si>
  <si>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</si>
  <si>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</si>
  <si>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</si>
  <si>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</si>
  <si>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</si>
  <si>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</si>
  <si>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</si>
  <si>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</si>
  <si>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</si>
  <si>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</si>
  <si>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</si>
  <si>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</si>
  <si>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</si>
  <si>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</si>
  <si>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</si>
  <si>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</si>
  <si>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</si>
  <si>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</si>
  <si>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</si>
  <si>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</si>
  <si>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</si>
  <si>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</si>
  <si>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</si>
  <si>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</si>
  <si>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</si>
  <si>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</si>
  <si>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</si>
  <si>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</si>
  <si>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</si>
  <si>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</si>
  <si>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</si>
  <si>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</si>
  <si>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</si>
  <si>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</si>
  <si>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</si>
  <si>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</si>
  <si>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</si>
  <si>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</si>
  <si>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</si>
  <si>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</si>
  <si>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</si>
  <si>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</si>
  <si>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</si>
  <si>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</si>
  <si>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</si>
  <si>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</si>
  <si>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</si>
  <si>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</si>
  <si>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</si>
  <si>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</si>
  <si>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</si>
  <si>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</si>
  <si>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</si>
  <si>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</si>
  <si>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</si>
  <si>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</si>
  <si>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</si>
  <si>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</si>
  <si>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</si>
  <si>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28/02/2021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</si>
  <si>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ut="03/10/2021 06:19:19" si="2.00000001e2661e503dc1d6b286a9fa62305559710020741af8cbb9309e127bd308104ff3f57da5c3c622685bc1ecc4a3b0c958afd859b9f70c7a57828c7b4e22c6e2ae23dfabd7e8bde3e153961d6b081a676f287a5ccdb32956a347f2e81986cf2b0365eb65b253f712343a3fa26ffd4d4cbc675048aed7acc1cfc60eb77f40b3761a43da2823cf29fe065456f11fba7c722913e0170997bfc3a05ef92ab3d87f10.p.3082.0.1.Europe/Madrid.upriv*_1*_pidn2*_17*_session*-lat*_1.00000001351b0c34d9c71a1dccbd9616e6447467bc6025e06f89f966ac158114285924ad8e622da387bdff6fc7d001858769616d9a5553f9.000000012c16683c375cb31f5fb8f86f1929bc40bc6025e0133c819e2f287e62a49cb9b065d49ca0f70278d49ac5146cf6eabb9691243497.0.1.1.BDEbi.D066E1C611E6257C10D00080EF253B44.0-3082.1.1_-0.1.0_-3082.1.1_5.5.0.*0.00000001fc634337562d8e47b158355accc99bacc911585a37c0b98fbc4e87580b56efecd761f254.0.23.11*.2*.0400*.31152J.e.00000001749260845aa2dd7b6eb648a9bda717fcc911585a62eed8283b56b34ff1ec864f24597507.0.10*.131*.122*.122.0.0" msgID="87C4E00611EB8168FE260080EFD57238"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</si>
  <si>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ut="03/10/2021 06:30:01" si="2.00000001e2661e503dc1d6b286a9fa62305559710020741af8cbb9309e127bd308104ff3f57da5c3c622685bc1ecc4a3b0c958afd859b9f70c7a57828c7b4e22c6e2ae23dfabd7e8bde3e153961d6b081a676f287a5ccdb32956a347f2e81986cf2b0365eb65b253f712343a3fa26ffd4d4cbc675048aed7acc1cfc60eb77f40b3761a43da2823cf29fe065456f11fba7c722913e0170997bfc3a05ef92ab3d87f10.p.3082.0.1.Europe/Madrid.upriv*_1*_pidn2*_17*_session*-lat*_1.00000001351b0c34d9c71a1dccbd9616e6447467bc6025e06f89f966ac158114285924ad8e622da387bdff6fc7d001858769616d9a5553f9.000000012c16683c375cb31f5fb8f86f1929bc40bc6025e0133c819e2f287e62a49cb9b065d49ca0f70278d49ac5146cf6eabb9691243497.0.1.1.BDEbi.D066E1C611E6257C10D00080EF253B44.0-3082.1.1_-0.1.0_-3082.1.1_5.5.0.*0.00000001fc634337562d8e47b158355accc99bacc911585a37c0b98fbc4e87580b56efecd761f254.0.23.11*.2*.0400*.31152J.e.00000001749260845aa2dd7b6eb648a9bda717fcc911585a62eed8283b56b34ff1ec864f24597507.0.10*.131*.122*.122.0.0" msgID="B7B8B4EA11EB8168FE260080EFF5B239"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nrr="782" nrc="1472"&gt;&lt;pg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</si>
  <si>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Marzo 2021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</si>
  <si>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ut="03/10/2021 06:41:54" si="2.00000001e2661e503dc1d6b286a9fa62305559710020741af8cbb9309e127bd308104ff3f57da5c3c622685bc1ecc4a3b0c958afd859b9f70c7a57828c7b4e22c6e2ae23dfabd7e8bde3e153961d6b081a676f287a5ccdb32956a347f2e81986cf2b0365eb65b253f712343a3fa26ffd4d4cbc675048aed7acc1cfc60eb77f40b3761a43da2823cf29fe065456f11fba7c722913e0170997bfc3a05ef92ab3d87f10.p.3082.0.1.Europe/Madrid.upriv*_1*_pidn2*_17*_session*-lat*_1.00000001351b0c34d9c71a1dccbd9616e6447467bc6025e06f89f966ac158114285924ad8e622da387bdff6fc7d001858769616d9a5553f9.000000012c16683c375cb31f5fb8f86f1929bc40bc6025e0133c819e2f287e62a49cb9b065d49ca0f70278d49ac5146cf6eabb9691243497.0.1.1.BDEbi.D066E1C611E6257C10D00080EF253B44.0-3082.1.1_-0.1.0_-3082.1.1_5.5.0.*0.00000001fc634337562d8e47b158355accc99bacc911585a37c0b98fbc4e87580b56efecd761f254.0.23.11*.2*.0400*.31152J.e.00000001749260845aa2dd7b6eb648a9bda717fcc911585a62eed8283b56b34ff1ec864f24597507.0.10*.131*.122*.122.0.0" msgID="FF287C1E11EB816AFE260080EF353137"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cols="17" /&gt;&lt;esdo ews="" ece="" ptn="" /&gt;&lt;/excel&gt;&lt;pgs&gt;&lt;pg rows="25" cols="15" nrr="1102" nrc="866"&gt;&lt;pg /&gt;&lt;bls&gt;&lt;bl sr="1" sc="1" rfetch="25" cfetch="15" posid="1" darows="0" dacols="1"&gt;&lt;excel&gt;&lt;epo ews="Dat_01" ece="A85" enr="MSTR.Serie_Balance_B.C._Mensual_Baleares_y_Canarias" ptn="" qtn="" rows="28" cols="17" /&gt;&lt;esdo ews="" ece="" ptn="" /&gt;&lt;/excel&gt;&lt;gridRng&gt;&lt;sect id="TITLE_AREA" rngprop="1:1:3:2" /&gt;&lt;sect id="ROWHEADERS_AREA" rngprop="4:1:25:2" /&gt;&lt;sect id="COLUMNHEADERS_AREA" rngprop="1:3:3:15" /&gt;&lt;sect id="DATA_AREA" rngprop="4:3:25:15"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</si>
  <si>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ut="03/10/2021 06:42:54" si="2.000000012e2e62c9bb94aa2691f1de78d9235e0871ddcc156c2eacc359b94f897491304ad910f6d3063defe468aafc5552f275e27f4efcf1a554ee2bdbcf95b2af710d570108327217702ee10567f99b2d9ae9d60e95c6f10672c2a512f447eb4384e69d8800f7326a14b99da75a9db3dfa978fa751139191398d1ff19673b817153fd6d2abba45c0e2aad1bc22e0fa97651767881d0cb8d37ab40f8df74feb26777.p.3082.0.1.Europe/Madrid.upriv*_1*_pidn2*_17*_session*-lat*_1.00000001cf45755e72753eeae189f3265533ba28bc6025e0e36d81029a1bbdceae2cec822ce580d62eacf43392d9a3b369ae7714f4b69577.0000000185daa1a9996d6a6588a3f4b410754f3fbc6025e0a9f0e4cf2bbc680de1e1c46f50974605ed6d601ce405aa26fd415225849a6941.0.1.1.BDEbi.D066E1C611E6257C10D00080EF253B44.0-3082.1.1_-0.1.0_-3082.1.1_5.5.0.*0.000000015e9b8744f321538acc8eb539014b1877c911585a6b58b73463552495037522a9b4caf5b4.0.23.11*.2*.0400*.31152J.e.00000001dcdae83004181102f5c64530c5e1d103c911585a25a3fb07a4549d1a2dd802527ba4c2cb.0.10*.131*.122*.122.0.0" msgID="CBAFB63111EB816BFE260080EFE59137"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nrr="20" nrc="252"&gt;&lt;pg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</si>
  <si>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6f4498ac46474d73b556c39e899e6f1e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</si>
  <si>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ut="03/10/2021 06:45:10" si="2.000000012e2e62c9bb94aa2691f1de78d9235e0871ddcc156c2eacc359b94f897491304ad910f6d3063defe468aafc5552f275e27f4efcf1a554ee2bdbcf95b2af710d570108327217702ee10567f99b2d9ae9d60e95c6f10672c2a512f447eb4384e69d8800f7326a14b99da75a9db3dfa978fa751139191398d1ff19673b817153fd6d2abba45c0e2aad1bc22e0fa97651767881d0cb8d37ab40f8df74feb26777.p.3082.0.1.Europe/Madrid.upriv*_1*_pidn2*_17*_session*-lat*_1.00000001cf45755e72753eeae189f3265533ba28bc6025e0e36d81029a1bbdceae2cec822ce580d62eacf43392d9a3b369ae7714f4b69577.0000000185daa1a9996d6a6588a3f4b410754f3fbc6025e0a9f0e4cf2bbc680de1e1c46f50974605ed6d601ce405aa26fd415225849a6941.0.1.1.BDEbi.D066E1C611E6257C10D00080EF253B44.0-3082.1.1_-0.1.0_-3082.1.1_5.5.0.*0.000000015e9b8744f321538acc8eb539014b1877c911585a6b58b73463552495037522a9b4caf5b4.0.23.11*.2*.0400*.31152J.e.00000001dcdae83004181102f5c64530c5e1d103c911585a25a3fb07a4549d1a2dd802527ba4c2cb.0.10*.131*.122*.122.0.0" msgID="1ECA481C11EB816CFE260080EFD5733A"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nrr="26" nrc="324"&gt;&lt;pg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</si>
</sst>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7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4" fontId="34" fillId="5" borderId="10" xfId="16" applyNumberFormat="1" applyAlignment="1">
      <alignment horizontal="right" vertical="center"/>
    </xf>
    <xf numFmtId="3" fontId="32" fillId="6" borderId="10" xfId="13" applyNumberFormat="1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8" fontId="50" fillId="0" borderId="0" xfId="0" applyNumberFormat="1" applyFont="1"/>
    <xf numFmtId="0" fontId="50" fillId="0" borderId="0" xfId="0" applyFont="1"/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5284552845528454"/>
                  <c:y val="-0.113531341670526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8861788617886166"/>
                  <c:y val="-3.0065423807318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5840407144228925"/>
                  <c:y val="-0.157352941176470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3185289033992703"/>
                  <c:y val="0.304411764705882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821138211382114"/>
                  <c:y val="0.175932530492511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0375635362652839"/>
                  <c:y val="3.379612474911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9837398373983739"/>
                  <c:y val="-0.214452292728114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-0.16260162601626021"/>
                  <c:y val="-0.118092867068087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5.2277564432200219</c:v>
                </c:pt>
                <c:pt idx="2">
                  <c:v>2.115841306867527</c:v>
                </c:pt>
                <c:pt idx="3">
                  <c:v>51.742706558312037</c:v>
                </c:pt>
                <c:pt idx="4">
                  <c:v>0</c:v>
                </c:pt>
                <c:pt idx="5">
                  <c:v>1.0051524142913639</c:v>
                </c:pt>
                <c:pt idx="6">
                  <c:v>2.9598706457887847</c:v>
                </c:pt>
                <c:pt idx="7">
                  <c:v>2.9598706457887847</c:v>
                </c:pt>
                <c:pt idx="8">
                  <c:v>4.4019212595118269E-2</c:v>
                </c:pt>
                <c:pt idx="9">
                  <c:v>2.6204918817656258</c:v>
                </c:pt>
                <c:pt idx="10">
                  <c:v>2.122200622018305E-2</c:v>
                </c:pt>
                <c:pt idx="11">
                  <c:v>31.303068885150559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6.8627450980392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9268292682926828"/>
                  <c:y val="0.26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991869918699187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23902451827667887"/>
                  <c:y val="-0.14297020317313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0580903949506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11.826931248815448</c:v>
                </c:pt>
                <c:pt idx="1">
                  <c:v>6.8352994033369567</c:v>
                </c:pt>
                <c:pt idx="2">
                  <c:v>29.685009029987043</c:v>
                </c:pt>
                <c:pt idx="3">
                  <c:v>42.068472905975199</c:v>
                </c:pt>
                <c:pt idx="4">
                  <c:v>0</c:v>
                </c:pt>
                <c:pt idx="5">
                  <c:v>0.56501545928731522</c:v>
                </c:pt>
                <c:pt idx="6">
                  <c:v>1.8338608155294276</c:v>
                </c:pt>
                <c:pt idx="7">
                  <c:v>1.8338608155294276</c:v>
                </c:pt>
                <c:pt idx="8">
                  <c:v>0.17836012610931218</c:v>
                </c:pt>
                <c:pt idx="9">
                  <c:v>5.0687483896256404</c:v>
                </c:pt>
                <c:pt idx="10">
                  <c:v>0.10444180580421604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feb.-20</c:v>
                </c:pt>
                <c:pt idx="1">
                  <c:v>mar.-20</c:v>
                </c:pt>
                <c:pt idx="2">
                  <c:v>abr.-20</c:v>
                </c:pt>
                <c:pt idx="3">
                  <c:v>may.-20</c:v>
                </c:pt>
                <c:pt idx="4">
                  <c:v>jun.-20</c:v>
                </c:pt>
                <c:pt idx="5">
                  <c:v>jul.-20</c:v>
                </c:pt>
                <c:pt idx="6">
                  <c:v>ago.-20</c:v>
                </c:pt>
                <c:pt idx="7">
                  <c:v>sep.-20</c:v>
                </c:pt>
                <c:pt idx="8">
                  <c:v>oct.-20</c:v>
                </c:pt>
                <c:pt idx="9">
                  <c:v>nov.-20</c:v>
                </c:pt>
                <c:pt idx="10">
                  <c:v>dic.-20</c:v>
                </c:pt>
                <c:pt idx="11">
                  <c:v>ene.-21</c:v>
                </c:pt>
                <c:pt idx="12">
                  <c:v>feb.-21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-1.357415</c:v>
                </c:pt>
                <c:pt idx="1">
                  <c:v>-1.701627</c:v>
                </c:pt>
                <c:pt idx="2">
                  <c:v>-1.684266</c:v>
                </c:pt>
                <c:pt idx="3">
                  <c:v>-1.8020959999999999</c:v>
                </c:pt>
                <c:pt idx="4">
                  <c:v>-1.2808299999999999</c:v>
                </c:pt>
                <c:pt idx="5">
                  <c:v>-1.119569</c:v>
                </c:pt>
                <c:pt idx="6">
                  <c:v>-1.1268309999999999</c:v>
                </c:pt>
                <c:pt idx="7">
                  <c:v>68.615076999999999</c:v>
                </c:pt>
                <c:pt idx="8">
                  <c:v>69.531803999999994</c:v>
                </c:pt>
                <c:pt idx="9">
                  <c:v>18.689830000000001</c:v>
                </c:pt>
                <c:pt idx="10">
                  <c:v>78.075038000000006</c:v>
                </c:pt>
                <c:pt idx="11">
                  <c:v>-0.63269200000000003</c:v>
                </c:pt>
                <c:pt idx="12">
                  <c:v>-0.606159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feb.-20</c:v>
                </c:pt>
                <c:pt idx="1">
                  <c:v>mar.-20</c:v>
                </c:pt>
                <c:pt idx="2">
                  <c:v>abr.-20</c:v>
                </c:pt>
                <c:pt idx="3">
                  <c:v>may.-20</c:v>
                </c:pt>
                <c:pt idx="4">
                  <c:v>jun.-20</c:v>
                </c:pt>
                <c:pt idx="5">
                  <c:v>jul.-20</c:v>
                </c:pt>
                <c:pt idx="6">
                  <c:v>ago.-20</c:v>
                </c:pt>
                <c:pt idx="7">
                  <c:v>sep.-20</c:v>
                </c:pt>
                <c:pt idx="8">
                  <c:v>oct.-20</c:v>
                </c:pt>
                <c:pt idx="9">
                  <c:v>nov.-20</c:v>
                </c:pt>
                <c:pt idx="10">
                  <c:v>dic.-20</c:v>
                </c:pt>
                <c:pt idx="11">
                  <c:v>ene.-21</c:v>
                </c:pt>
                <c:pt idx="12">
                  <c:v>feb.-21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37.597881999999998</c:v>
                </c:pt>
                <c:pt idx="1">
                  <c:v>34.745249000000001</c:v>
                </c:pt>
                <c:pt idx="2">
                  <c:v>28.608295999999999</c:v>
                </c:pt>
                <c:pt idx="3">
                  <c:v>29.693214999999999</c:v>
                </c:pt>
                <c:pt idx="4">
                  <c:v>33.872518999999997</c:v>
                </c:pt>
                <c:pt idx="5">
                  <c:v>66.275554999999997</c:v>
                </c:pt>
                <c:pt idx="6">
                  <c:v>87.959547999999984</c:v>
                </c:pt>
                <c:pt idx="7">
                  <c:v>41.727269</c:v>
                </c:pt>
                <c:pt idx="8">
                  <c:v>26.56035</c:v>
                </c:pt>
                <c:pt idx="9">
                  <c:v>29.083095999999998</c:v>
                </c:pt>
                <c:pt idx="10">
                  <c:v>33.649616000000002</c:v>
                </c:pt>
                <c:pt idx="11">
                  <c:v>45.739437000000002</c:v>
                </c:pt>
                <c:pt idx="12">
                  <c:v>26.606086999999999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feb.-20</c:v>
                </c:pt>
                <c:pt idx="1">
                  <c:v>mar.-20</c:v>
                </c:pt>
                <c:pt idx="2">
                  <c:v>abr.-20</c:v>
                </c:pt>
                <c:pt idx="3">
                  <c:v>may.-20</c:v>
                </c:pt>
                <c:pt idx="4">
                  <c:v>jun.-20</c:v>
                </c:pt>
                <c:pt idx="5">
                  <c:v>jul.-20</c:v>
                </c:pt>
                <c:pt idx="6">
                  <c:v>ago.-20</c:v>
                </c:pt>
                <c:pt idx="7">
                  <c:v>sep.-20</c:v>
                </c:pt>
                <c:pt idx="8">
                  <c:v>oct.-20</c:v>
                </c:pt>
                <c:pt idx="9">
                  <c:v>nov.-20</c:v>
                </c:pt>
                <c:pt idx="10">
                  <c:v>dic.-20</c:v>
                </c:pt>
                <c:pt idx="11">
                  <c:v>ene.-21</c:v>
                </c:pt>
                <c:pt idx="12">
                  <c:v>feb.-21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226.17381</c:v>
                </c:pt>
                <c:pt idx="1">
                  <c:v>223.68827999999999</c:v>
                </c:pt>
                <c:pt idx="2">
                  <c:v>190.73178300000001</c:v>
                </c:pt>
                <c:pt idx="3">
                  <c:v>192.66073600000001</c:v>
                </c:pt>
                <c:pt idx="4">
                  <c:v>191.22599500000001</c:v>
                </c:pt>
                <c:pt idx="5">
                  <c:v>258.52646600000003</c:v>
                </c:pt>
                <c:pt idx="6">
                  <c:v>260.88770599999998</c:v>
                </c:pt>
                <c:pt idx="7">
                  <c:v>135.30891800000001</c:v>
                </c:pt>
                <c:pt idx="8">
                  <c:v>141.13588200000001</c:v>
                </c:pt>
                <c:pt idx="9">
                  <c:v>185.01504499999999</c:v>
                </c:pt>
                <c:pt idx="10">
                  <c:v>159.35356899999999</c:v>
                </c:pt>
                <c:pt idx="11">
                  <c:v>260.27204499999999</c:v>
                </c:pt>
                <c:pt idx="12">
                  <c:v>187.465463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feb.-20</c:v>
                </c:pt>
                <c:pt idx="1">
                  <c:v>mar.-20</c:v>
                </c:pt>
                <c:pt idx="2">
                  <c:v>abr.-20</c:v>
                </c:pt>
                <c:pt idx="3">
                  <c:v>may.-20</c:v>
                </c:pt>
                <c:pt idx="4">
                  <c:v>jun.-20</c:v>
                </c:pt>
                <c:pt idx="5">
                  <c:v>jul.-20</c:v>
                </c:pt>
                <c:pt idx="6">
                  <c:v>ago.-20</c:v>
                </c:pt>
                <c:pt idx="7">
                  <c:v>sep.-20</c:v>
                </c:pt>
                <c:pt idx="8">
                  <c:v>oct.-20</c:v>
                </c:pt>
                <c:pt idx="9">
                  <c:v>nov.-20</c:v>
                </c:pt>
                <c:pt idx="10">
                  <c:v>dic.-20</c:v>
                </c:pt>
                <c:pt idx="11">
                  <c:v>ene.-21</c:v>
                </c:pt>
                <c:pt idx="12">
                  <c:v>feb.-21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0.33927600000000002</c:v>
                </c:pt>
                <c:pt idx="1">
                  <c:v>0.53315400000000002</c:v>
                </c:pt>
                <c:pt idx="2">
                  <c:v>0.24332000000000001</c:v>
                </c:pt>
                <c:pt idx="3">
                  <c:v>0.35256199999999999</c:v>
                </c:pt>
                <c:pt idx="4">
                  <c:v>0.21834000000000001</c:v>
                </c:pt>
                <c:pt idx="5">
                  <c:v>0.22134999999999999</c:v>
                </c:pt>
                <c:pt idx="6">
                  <c:v>0.20865500000000001</c:v>
                </c:pt>
                <c:pt idx="7">
                  <c:v>0.189775</c:v>
                </c:pt>
                <c:pt idx="8">
                  <c:v>0.32789299999999999</c:v>
                </c:pt>
                <c:pt idx="9">
                  <c:v>0.34884399999999999</c:v>
                </c:pt>
                <c:pt idx="10">
                  <c:v>0.28645399999999999</c:v>
                </c:pt>
                <c:pt idx="11">
                  <c:v>0.27796300000000002</c:v>
                </c:pt>
                <c:pt idx="12">
                  <c:v>0.15948300000000001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feb.-20</c:v>
                </c:pt>
                <c:pt idx="1">
                  <c:v>mar.-20</c:v>
                </c:pt>
                <c:pt idx="2">
                  <c:v>abr.-20</c:v>
                </c:pt>
                <c:pt idx="3">
                  <c:v>may.-20</c:v>
                </c:pt>
                <c:pt idx="4">
                  <c:v>jun.-20</c:v>
                </c:pt>
                <c:pt idx="5">
                  <c:v>jul.-20</c:v>
                </c:pt>
                <c:pt idx="6">
                  <c:v>ago.-20</c:v>
                </c:pt>
                <c:pt idx="7">
                  <c:v>sep.-20</c:v>
                </c:pt>
                <c:pt idx="8">
                  <c:v>oct.-20</c:v>
                </c:pt>
                <c:pt idx="9">
                  <c:v>nov.-20</c:v>
                </c:pt>
                <c:pt idx="10">
                  <c:v>dic.-20</c:v>
                </c:pt>
                <c:pt idx="11">
                  <c:v>ene.-21</c:v>
                </c:pt>
                <c:pt idx="12">
                  <c:v>feb.-21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8.7361280000000008</c:v>
                </c:pt>
                <c:pt idx="1">
                  <c:v>9.2030049999999992</c:v>
                </c:pt>
                <c:pt idx="2">
                  <c:v>10.826313000000001</c:v>
                </c:pt>
                <c:pt idx="3">
                  <c:v>12.901484</c:v>
                </c:pt>
                <c:pt idx="4">
                  <c:v>12.233309</c:v>
                </c:pt>
                <c:pt idx="5">
                  <c:v>12.746891</c:v>
                </c:pt>
                <c:pt idx="6">
                  <c:v>12.07002</c:v>
                </c:pt>
                <c:pt idx="7">
                  <c:v>10.538423999999999</c:v>
                </c:pt>
                <c:pt idx="8">
                  <c:v>9.6292899999999992</c:v>
                </c:pt>
                <c:pt idx="9">
                  <c:v>6.7451980000000002</c:v>
                </c:pt>
                <c:pt idx="10">
                  <c:v>6.6944910000000002</c:v>
                </c:pt>
                <c:pt idx="11">
                  <c:v>8.3861550000000005</c:v>
                </c:pt>
                <c:pt idx="12">
                  <c:v>9.4941250000000004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feb.-20</c:v>
                </c:pt>
                <c:pt idx="1">
                  <c:v>mar.-20</c:v>
                </c:pt>
                <c:pt idx="2">
                  <c:v>abr.-20</c:v>
                </c:pt>
                <c:pt idx="3">
                  <c:v>may.-20</c:v>
                </c:pt>
                <c:pt idx="4">
                  <c:v>jun.-20</c:v>
                </c:pt>
                <c:pt idx="5">
                  <c:v>jul.-20</c:v>
                </c:pt>
                <c:pt idx="6">
                  <c:v>ago.-20</c:v>
                </c:pt>
                <c:pt idx="7">
                  <c:v>sep.-20</c:v>
                </c:pt>
                <c:pt idx="8">
                  <c:v>oct.-20</c:v>
                </c:pt>
                <c:pt idx="9">
                  <c:v>nov.-20</c:v>
                </c:pt>
                <c:pt idx="10">
                  <c:v>dic.-20</c:v>
                </c:pt>
                <c:pt idx="11">
                  <c:v>ene.-21</c:v>
                </c:pt>
                <c:pt idx="12">
                  <c:v>feb.-21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8.1622E-2</c:v>
                </c:pt>
                <c:pt idx="1">
                  <c:v>2.6786999999999998E-2</c:v>
                </c:pt>
                <c:pt idx="2">
                  <c:v>1.5415999999999999E-2</c:v>
                </c:pt>
                <c:pt idx="3">
                  <c:v>2.3830000000000001E-3</c:v>
                </c:pt>
                <c:pt idx="4">
                  <c:v>5.9750999999999999E-2</c:v>
                </c:pt>
                <c:pt idx="5">
                  <c:v>5.2531000000000001E-2</c:v>
                </c:pt>
                <c:pt idx="6">
                  <c:v>5.0303E-2</c:v>
                </c:pt>
                <c:pt idx="7">
                  <c:v>2.81E-3</c:v>
                </c:pt>
                <c:pt idx="8">
                  <c:v>2.7317000000000001E-2</c:v>
                </c:pt>
                <c:pt idx="9">
                  <c:v>6.9145999999999999E-2</c:v>
                </c:pt>
                <c:pt idx="10">
                  <c:v>3.986E-2</c:v>
                </c:pt>
                <c:pt idx="11">
                  <c:v>5.7757000000000003E-2</c:v>
                </c:pt>
                <c:pt idx="12">
                  <c:v>7.6887999999999998E-2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feb.-20</c:v>
                </c:pt>
                <c:pt idx="1">
                  <c:v>mar.-20</c:v>
                </c:pt>
                <c:pt idx="2">
                  <c:v>abr.-20</c:v>
                </c:pt>
                <c:pt idx="3">
                  <c:v>may.-20</c:v>
                </c:pt>
                <c:pt idx="4">
                  <c:v>jun.-20</c:v>
                </c:pt>
                <c:pt idx="5">
                  <c:v>jul.-20</c:v>
                </c:pt>
                <c:pt idx="6">
                  <c:v>ago.-20</c:v>
                </c:pt>
                <c:pt idx="7">
                  <c:v>sep.-20</c:v>
                </c:pt>
                <c:pt idx="8">
                  <c:v>oct.-20</c:v>
                </c:pt>
                <c:pt idx="9">
                  <c:v>nov.-20</c:v>
                </c:pt>
                <c:pt idx="10">
                  <c:v>dic.-20</c:v>
                </c:pt>
                <c:pt idx="11">
                  <c:v>ene.-21</c:v>
                </c:pt>
                <c:pt idx="12">
                  <c:v>feb.-21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3.7449910000000002</c:v>
                </c:pt>
                <c:pt idx="1">
                  <c:v>3.4759910000000001</c:v>
                </c:pt>
                <c:pt idx="2">
                  <c:v>2.759617</c:v>
                </c:pt>
                <c:pt idx="3">
                  <c:v>2.681413</c:v>
                </c:pt>
                <c:pt idx="4">
                  <c:v>2.5969359999999999</c:v>
                </c:pt>
                <c:pt idx="5">
                  <c:v>2.3319320000000001</c:v>
                </c:pt>
                <c:pt idx="6">
                  <c:v>1.922374</c:v>
                </c:pt>
                <c:pt idx="7">
                  <c:v>2.047806</c:v>
                </c:pt>
                <c:pt idx="8">
                  <c:v>2.3333560000000002</c:v>
                </c:pt>
                <c:pt idx="9">
                  <c:v>2.521382</c:v>
                </c:pt>
                <c:pt idx="10">
                  <c:v>3.3692880000000001</c:v>
                </c:pt>
                <c:pt idx="11">
                  <c:v>4.0659429999999999</c:v>
                </c:pt>
                <c:pt idx="12">
                  <c:v>3.641699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feb.-20</c:v>
                </c:pt>
                <c:pt idx="1">
                  <c:v>mar.-20</c:v>
                </c:pt>
                <c:pt idx="2">
                  <c:v>abr.-20</c:v>
                </c:pt>
                <c:pt idx="3">
                  <c:v>may.-20</c:v>
                </c:pt>
                <c:pt idx="4">
                  <c:v>jun.-20</c:v>
                </c:pt>
                <c:pt idx="5">
                  <c:v>jul.-20</c:v>
                </c:pt>
                <c:pt idx="6">
                  <c:v>ago.-20</c:v>
                </c:pt>
                <c:pt idx="7">
                  <c:v>sep.-20</c:v>
                </c:pt>
                <c:pt idx="8">
                  <c:v>oct.-20</c:v>
                </c:pt>
                <c:pt idx="9">
                  <c:v>nov.-20</c:v>
                </c:pt>
                <c:pt idx="10">
                  <c:v>dic.-20</c:v>
                </c:pt>
                <c:pt idx="11">
                  <c:v>ene.-21</c:v>
                </c:pt>
                <c:pt idx="12">
                  <c:v>feb.-21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6.0955329999999996</c:v>
                </c:pt>
                <c:pt idx="1">
                  <c:v>10.531687</c:v>
                </c:pt>
                <c:pt idx="2">
                  <c:v>4.8152900000000001</c:v>
                </c:pt>
                <c:pt idx="3">
                  <c:v>5.3655939999999998</c:v>
                </c:pt>
                <c:pt idx="4">
                  <c:v>14.316091999999999</c:v>
                </c:pt>
                <c:pt idx="5">
                  <c:v>10.772016499999999</c:v>
                </c:pt>
                <c:pt idx="6">
                  <c:v>10.810641499999999</c:v>
                </c:pt>
                <c:pt idx="7">
                  <c:v>14.376298</c:v>
                </c:pt>
                <c:pt idx="8">
                  <c:v>6.2382179999999998</c:v>
                </c:pt>
                <c:pt idx="9">
                  <c:v>12.812825</c:v>
                </c:pt>
                <c:pt idx="10">
                  <c:v>8.6052265000000006</c:v>
                </c:pt>
                <c:pt idx="11">
                  <c:v>7.1515275000000003</c:v>
                </c:pt>
                <c:pt idx="12">
                  <c:v>10.723705000000001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6.0955329999999996</c:v>
                </c:pt>
                <c:pt idx="1">
                  <c:v>10.531687</c:v>
                </c:pt>
                <c:pt idx="2">
                  <c:v>4.8152900000000001</c:v>
                </c:pt>
                <c:pt idx="3">
                  <c:v>5.3655939999999998</c:v>
                </c:pt>
                <c:pt idx="4">
                  <c:v>14.316091999999999</c:v>
                </c:pt>
                <c:pt idx="5">
                  <c:v>10.772016499999999</c:v>
                </c:pt>
                <c:pt idx="6">
                  <c:v>10.810641499999999</c:v>
                </c:pt>
                <c:pt idx="7">
                  <c:v>14.376298</c:v>
                </c:pt>
                <c:pt idx="8">
                  <c:v>6.2382179999999998</c:v>
                </c:pt>
                <c:pt idx="9">
                  <c:v>12.812825</c:v>
                </c:pt>
                <c:pt idx="10">
                  <c:v>8.6052265000000006</c:v>
                </c:pt>
                <c:pt idx="11">
                  <c:v>7.1515275000000003</c:v>
                </c:pt>
                <c:pt idx="12">
                  <c:v>10.723705000000001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feb.-20</c:v>
                </c:pt>
                <c:pt idx="1">
                  <c:v>mar.-20</c:v>
                </c:pt>
                <c:pt idx="2">
                  <c:v>abr.-20</c:v>
                </c:pt>
                <c:pt idx="3">
                  <c:v>may.-20</c:v>
                </c:pt>
                <c:pt idx="4">
                  <c:v>jun.-20</c:v>
                </c:pt>
                <c:pt idx="5">
                  <c:v>jul.-20</c:v>
                </c:pt>
                <c:pt idx="6">
                  <c:v>ago.-20</c:v>
                </c:pt>
                <c:pt idx="7">
                  <c:v>sep.-20</c:v>
                </c:pt>
                <c:pt idx="8">
                  <c:v>oct.-20</c:v>
                </c:pt>
                <c:pt idx="9">
                  <c:v>nov.-20</c:v>
                </c:pt>
                <c:pt idx="10">
                  <c:v>dic.-20</c:v>
                </c:pt>
                <c:pt idx="11">
                  <c:v>ene.-21</c:v>
                </c:pt>
                <c:pt idx="12">
                  <c:v>feb.-21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115.92849699999999</c:v>
                </c:pt>
                <c:pt idx="1">
                  <c:v>112.780382</c:v>
                </c:pt>
                <c:pt idx="2">
                  <c:v>80.581305999999998</c:v>
                </c:pt>
                <c:pt idx="3">
                  <c:v>79.946523999999997</c:v>
                </c:pt>
                <c:pt idx="4">
                  <c:v>93.289579000000003</c:v>
                </c:pt>
                <c:pt idx="5">
                  <c:v>168.331695</c:v>
                </c:pt>
                <c:pt idx="6">
                  <c:v>182.71595500000001</c:v>
                </c:pt>
                <c:pt idx="7">
                  <c:v>116.274961</c:v>
                </c:pt>
                <c:pt idx="8">
                  <c:v>105.943506</c:v>
                </c:pt>
                <c:pt idx="9">
                  <c:v>96.327618999999999</c:v>
                </c:pt>
                <c:pt idx="10">
                  <c:v>138.26159999999999</c:v>
                </c:pt>
                <c:pt idx="11">
                  <c:v>138.25041200000001</c:v>
                </c:pt>
                <c:pt idx="12">
                  <c:v>113.412009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16.351734298482647</c:v>
                </c:pt>
                <c:pt idx="1">
                  <c:v>18.370312242008033</c:v>
                </c:pt>
                <c:pt idx="2">
                  <c:v>15.913859174503276</c:v>
                </c:pt>
                <c:pt idx="3">
                  <c:v>28.494855583055141</c:v>
                </c:pt>
                <c:pt idx="4">
                  <c:v>0</c:v>
                </c:pt>
                <c:pt idx="5">
                  <c:v>6.660449927999465E-2</c:v>
                </c:pt>
                <c:pt idx="6">
                  <c:v>0.37555705287086094</c:v>
                </c:pt>
                <c:pt idx="7">
                  <c:v>14.795266284367722</c:v>
                </c:pt>
                <c:pt idx="8">
                  <c:v>5.5099444152645738</c:v>
                </c:pt>
                <c:pt idx="9">
                  <c:v>0.12186645016775259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211394917098778"/>
                  <c:y val="0.107843137254901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934959349593497"/>
                  <c:y val="-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959349593495938"/>
                  <c:y val="-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0.13170718904039433"/>
                  <c:y val="-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-0.13333333333333333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19.513040837750832</c:v>
                </c:pt>
                <c:pt idx="1">
                  <c:v>1.7983171851875708</c:v>
                </c:pt>
                <c:pt idx="2">
                  <c:v>18.228141262397795</c:v>
                </c:pt>
                <c:pt idx="3">
                  <c:v>46.848404469076257</c:v>
                </c:pt>
                <c:pt idx="4">
                  <c:v>0</c:v>
                </c:pt>
                <c:pt idx="5">
                  <c:v>4.4897897599546828E-2</c:v>
                </c:pt>
                <c:pt idx="6">
                  <c:v>0.21299852296284763</c:v>
                </c:pt>
                <c:pt idx="7">
                  <c:v>10.16040777273348</c:v>
                </c:pt>
                <c:pt idx="8">
                  <c:v>3.072263639426601</c:v>
                </c:pt>
                <c:pt idx="9">
                  <c:v>0.12152841286506821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feb.-20</c:v>
                </c:pt>
                <c:pt idx="1">
                  <c:v>mar.-20</c:v>
                </c:pt>
                <c:pt idx="2">
                  <c:v>abr.-20</c:v>
                </c:pt>
                <c:pt idx="3">
                  <c:v>may.-20</c:v>
                </c:pt>
                <c:pt idx="4">
                  <c:v>jun.-20</c:v>
                </c:pt>
                <c:pt idx="5">
                  <c:v>jul.-20</c:v>
                </c:pt>
                <c:pt idx="6">
                  <c:v>ago.-20</c:v>
                </c:pt>
                <c:pt idx="7">
                  <c:v>sep.-20</c:v>
                </c:pt>
                <c:pt idx="8">
                  <c:v>oct.-20</c:v>
                </c:pt>
                <c:pt idx="9">
                  <c:v>nov.-20</c:v>
                </c:pt>
                <c:pt idx="10">
                  <c:v>dic.-20</c:v>
                </c:pt>
                <c:pt idx="11">
                  <c:v>ene.-21</c:v>
                </c:pt>
                <c:pt idx="12">
                  <c:v>feb.-21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0.26768999999999998</c:v>
                </c:pt>
                <c:pt idx="1">
                  <c:v>0.29931200000000002</c:v>
                </c:pt>
                <c:pt idx="2">
                  <c:v>0.288387</c:v>
                </c:pt>
                <c:pt idx="3">
                  <c:v>0.28846300000000002</c:v>
                </c:pt>
                <c:pt idx="4">
                  <c:v>0.27233299999999999</c:v>
                </c:pt>
                <c:pt idx="5">
                  <c:v>0.29030099999999998</c:v>
                </c:pt>
                <c:pt idx="6">
                  <c:v>0.29413899999999998</c:v>
                </c:pt>
                <c:pt idx="7">
                  <c:v>0.29165099999999999</c:v>
                </c:pt>
                <c:pt idx="8">
                  <c:v>0.299369</c:v>
                </c:pt>
                <c:pt idx="9">
                  <c:v>0.28527599999999997</c:v>
                </c:pt>
                <c:pt idx="10">
                  <c:v>0.29958099999999999</c:v>
                </c:pt>
                <c:pt idx="11">
                  <c:v>0.29762100000000002</c:v>
                </c:pt>
                <c:pt idx="12">
                  <c:v>0.25852999999999998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feb.-20</c:v>
                </c:pt>
                <c:pt idx="1">
                  <c:v>mar.-20</c:v>
                </c:pt>
                <c:pt idx="2">
                  <c:v>abr.-20</c:v>
                </c:pt>
                <c:pt idx="3">
                  <c:v>may.-20</c:v>
                </c:pt>
                <c:pt idx="4">
                  <c:v>jun.-20</c:v>
                </c:pt>
                <c:pt idx="5">
                  <c:v>jul.-20</c:v>
                </c:pt>
                <c:pt idx="6">
                  <c:v>ago.-20</c:v>
                </c:pt>
                <c:pt idx="7">
                  <c:v>sep.-20</c:v>
                </c:pt>
                <c:pt idx="8">
                  <c:v>oct.-20</c:v>
                </c:pt>
                <c:pt idx="9">
                  <c:v>nov.-20</c:v>
                </c:pt>
                <c:pt idx="10">
                  <c:v>dic.-20</c:v>
                </c:pt>
                <c:pt idx="11">
                  <c:v>ene.-21</c:v>
                </c:pt>
                <c:pt idx="12">
                  <c:v>feb.-21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310.91712099999995</c:v>
                </c:pt>
                <c:pt idx="1">
                  <c:v>260.14058899999998</c:v>
                </c:pt>
                <c:pt idx="2">
                  <c:v>222.93640199999999</c:v>
                </c:pt>
                <c:pt idx="3">
                  <c:v>252.956976</c:v>
                </c:pt>
                <c:pt idx="4">
                  <c:v>214.832064</c:v>
                </c:pt>
                <c:pt idx="5">
                  <c:v>269.88695799999999</c:v>
                </c:pt>
                <c:pt idx="6">
                  <c:v>297.66067400000003</c:v>
                </c:pt>
                <c:pt idx="7">
                  <c:v>271.16308099999998</c:v>
                </c:pt>
                <c:pt idx="8">
                  <c:v>301.03426400000001</c:v>
                </c:pt>
                <c:pt idx="9">
                  <c:v>287.12516499999998</c:v>
                </c:pt>
                <c:pt idx="10">
                  <c:v>272.274542</c:v>
                </c:pt>
                <c:pt idx="11">
                  <c:v>267.49094000000002</c:v>
                </c:pt>
                <c:pt idx="12">
                  <c:v>227.675399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feb.-20</c:v>
                </c:pt>
                <c:pt idx="1">
                  <c:v>mar.-20</c:v>
                </c:pt>
                <c:pt idx="2">
                  <c:v>abr.-20</c:v>
                </c:pt>
                <c:pt idx="3">
                  <c:v>may.-20</c:v>
                </c:pt>
                <c:pt idx="4">
                  <c:v>jun.-20</c:v>
                </c:pt>
                <c:pt idx="5">
                  <c:v>jul.-20</c:v>
                </c:pt>
                <c:pt idx="6">
                  <c:v>ago.-20</c:v>
                </c:pt>
                <c:pt idx="7">
                  <c:v>sep.-20</c:v>
                </c:pt>
                <c:pt idx="8">
                  <c:v>oct.-20</c:v>
                </c:pt>
                <c:pt idx="9">
                  <c:v>nov.-20</c:v>
                </c:pt>
                <c:pt idx="10">
                  <c:v>dic.-20</c:v>
                </c:pt>
                <c:pt idx="11">
                  <c:v>ene.-21</c:v>
                </c:pt>
                <c:pt idx="12">
                  <c:v>feb.-21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279.07848200000001</c:v>
                </c:pt>
                <c:pt idx="1">
                  <c:v>300.75480199999998</c:v>
                </c:pt>
                <c:pt idx="2">
                  <c:v>246.048203</c:v>
                </c:pt>
                <c:pt idx="3">
                  <c:v>229.928777</c:v>
                </c:pt>
                <c:pt idx="4">
                  <c:v>258.95318400000002</c:v>
                </c:pt>
                <c:pt idx="5">
                  <c:v>229.38776100000001</c:v>
                </c:pt>
                <c:pt idx="6">
                  <c:v>217.204814</c:v>
                </c:pt>
                <c:pt idx="7">
                  <c:v>297.07835399999999</c:v>
                </c:pt>
                <c:pt idx="8">
                  <c:v>252.83072899999999</c:v>
                </c:pt>
                <c:pt idx="9">
                  <c:v>292.22053799999998</c:v>
                </c:pt>
                <c:pt idx="10">
                  <c:v>314.37255499999998</c:v>
                </c:pt>
                <c:pt idx="11">
                  <c:v>280.66014899999999</c:v>
                </c:pt>
                <c:pt idx="12">
                  <c:v>269.76136200000002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feb.-20</c:v>
                </c:pt>
                <c:pt idx="1">
                  <c:v>mar.-20</c:v>
                </c:pt>
                <c:pt idx="2">
                  <c:v>abr.-20</c:v>
                </c:pt>
                <c:pt idx="3">
                  <c:v>may.-20</c:v>
                </c:pt>
                <c:pt idx="4">
                  <c:v>jun.-20</c:v>
                </c:pt>
                <c:pt idx="5">
                  <c:v>jul.-20</c:v>
                </c:pt>
                <c:pt idx="6">
                  <c:v>ago.-20</c:v>
                </c:pt>
                <c:pt idx="7">
                  <c:v>sep.-20</c:v>
                </c:pt>
                <c:pt idx="8">
                  <c:v>oct.-20</c:v>
                </c:pt>
                <c:pt idx="9">
                  <c:v>nov.-20</c:v>
                </c:pt>
                <c:pt idx="10">
                  <c:v>dic.-20</c:v>
                </c:pt>
                <c:pt idx="11">
                  <c:v>ene.-21</c:v>
                </c:pt>
                <c:pt idx="12">
                  <c:v>feb.-21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1.3385149999999999</c:v>
                </c:pt>
                <c:pt idx="1">
                  <c:v>1.8236140000000001</c:v>
                </c:pt>
                <c:pt idx="2">
                  <c:v>0.99112500000000003</c:v>
                </c:pt>
                <c:pt idx="3">
                  <c:v>1.4427080000000001</c:v>
                </c:pt>
                <c:pt idx="4">
                  <c:v>0.74262799999999995</c:v>
                </c:pt>
                <c:pt idx="5">
                  <c:v>3.6524220000000001</c:v>
                </c:pt>
                <c:pt idx="6">
                  <c:v>3.5757409999999998</c:v>
                </c:pt>
                <c:pt idx="7">
                  <c:v>1.9118980000000001</c:v>
                </c:pt>
                <c:pt idx="8">
                  <c:v>1.456723</c:v>
                </c:pt>
                <c:pt idx="9">
                  <c:v>0.821801</c:v>
                </c:pt>
                <c:pt idx="10">
                  <c:v>0.95850199999999997</c:v>
                </c:pt>
                <c:pt idx="11">
                  <c:v>0.99317</c:v>
                </c:pt>
                <c:pt idx="12">
                  <c:v>1.226483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feb.-20</c:v>
                </c:pt>
                <c:pt idx="1">
                  <c:v>mar.-20</c:v>
                </c:pt>
                <c:pt idx="2">
                  <c:v>abr.-20</c:v>
                </c:pt>
                <c:pt idx="3">
                  <c:v>may.-20</c:v>
                </c:pt>
                <c:pt idx="4">
                  <c:v>jun.-20</c:v>
                </c:pt>
                <c:pt idx="5">
                  <c:v>jul.-20</c:v>
                </c:pt>
                <c:pt idx="6">
                  <c:v>ago.-20</c:v>
                </c:pt>
                <c:pt idx="7">
                  <c:v>sep.-20</c:v>
                </c:pt>
                <c:pt idx="8">
                  <c:v>oct.-20</c:v>
                </c:pt>
                <c:pt idx="9">
                  <c:v>nov.-20</c:v>
                </c:pt>
                <c:pt idx="10">
                  <c:v>dic.-20</c:v>
                </c:pt>
                <c:pt idx="11">
                  <c:v>ene.-21</c:v>
                </c:pt>
                <c:pt idx="12">
                  <c:v>feb.-21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93.155251000000007</c:v>
                </c:pt>
                <c:pt idx="1">
                  <c:v>97.166026000000002</c:v>
                </c:pt>
                <c:pt idx="2">
                  <c:v>54.728521000000001</c:v>
                </c:pt>
                <c:pt idx="3">
                  <c:v>69.749658999999994</c:v>
                </c:pt>
                <c:pt idx="4">
                  <c:v>103.362193</c:v>
                </c:pt>
                <c:pt idx="5">
                  <c:v>148.25553600000001</c:v>
                </c:pt>
                <c:pt idx="6">
                  <c:v>166.40368100000001</c:v>
                </c:pt>
                <c:pt idx="7">
                  <c:v>92.772315000000006</c:v>
                </c:pt>
                <c:pt idx="8">
                  <c:v>98.269994999999994</c:v>
                </c:pt>
                <c:pt idx="9">
                  <c:v>54.804782000000003</c:v>
                </c:pt>
                <c:pt idx="10">
                  <c:v>61.437581999999999</c:v>
                </c:pt>
                <c:pt idx="11">
                  <c:v>81.105193</c:v>
                </c:pt>
                <c:pt idx="12">
                  <c:v>58.505417000000001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feb.-20</c:v>
                </c:pt>
                <c:pt idx="1">
                  <c:v>mar.-20</c:v>
                </c:pt>
                <c:pt idx="2">
                  <c:v>abr.-20</c:v>
                </c:pt>
                <c:pt idx="3">
                  <c:v>may.-20</c:v>
                </c:pt>
                <c:pt idx="4">
                  <c:v>jun.-20</c:v>
                </c:pt>
                <c:pt idx="5">
                  <c:v>jul.-20</c:v>
                </c:pt>
                <c:pt idx="6">
                  <c:v>ago.-20</c:v>
                </c:pt>
                <c:pt idx="7">
                  <c:v>sep.-20</c:v>
                </c:pt>
                <c:pt idx="8">
                  <c:v>oct.-20</c:v>
                </c:pt>
                <c:pt idx="9">
                  <c:v>nov.-20</c:v>
                </c:pt>
                <c:pt idx="10">
                  <c:v>dic.-20</c:v>
                </c:pt>
                <c:pt idx="11">
                  <c:v>ene.-21</c:v>
                </c:pt>
                <c:pt idx="12">
                  <c:v>feb.-21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20.258367</c:v>
                </c:pt>
                <c:pt idx="1">
                  <c:v>21.187342999999998</c:v>
                </c:pt>
                <c:pt idx="2">
                  <c:v>22.647696</c:v>
                </c:pt>
                <c:pt idx="3">
                  <c:v>26.043417000000002</c:v>
                </c:pt>
                <c:pt idx="4">
                  <c:v>23.718388000000001</c:v>
                </c:pt>
                <c:pt idx="5">
                  <c:v>26.993926999999999</c:v>
                </c:pt>
                <c:pt idx="6">
                  <c:v>26.63702</c:v>
                </c:pt>
                <c:pt idx="7">
                  <c:v>20.951909000000001</c:v>
                </c:pt>
                <c:pt idx="8">
                  <c:v>19.857990999999998</c:v>
                </c:pt>
                <c:pt idx="9">
                  <c:v>15.894228</c:v>
                </c:pt>
                <c:pt idx="10">
                  <c:v>15.168276000000001</c:v>
                </c:pt>
                <c:pt idx="11">
                  <c:v>16.287994999999999</c:v>
                </c:pt>
                <c:pt idx="12">
                  <c:v>17.690635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feb.-20</c:v>
                </c:pt>
                <c:pt idx="1">
                  <c:v>mar.-20</c:v>
                </c:pt>
                <c:pt idx="2">
                  <c:v>abr.-20</c:v>
                </c:pt>
                <c:pt idx="3">
                  <c:v>may.-20</c:v>
                </c:pt>
                <c:pt idx="4">
                  <c:v>jun.-20</c:v>
                </c:pt>
                <c:pt idx="5">
                  <c:v>jul.-20</c:v>
                </c:pt>
                <c:pt idx="6">
                  <c:v>ago.-20</c:v>
                </c:pt>
                <c:pt idx="7">
                  <c:v>sep.-20</c:v>
                </c:pt>
                <c:pt idx="8">
                  <c:v>oct.-20</c:v>
                </c:pt>
                <c:pt idx="9">
                  <c:v>nov.-20</c:v>
                </c:pt>
                <c:pt idx="10">
                  <c:v>dic.-20</c:v>
                </c:pt>
                <c:pt idx="11">
                  <c:v>ene.-21</c:v>
                </c:pt>
                <c:pt idx="12">
                  <c:v>feb.-21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0.84570599999999996</c:v>
                </c:pt>
                <c:pt idx="1">
                  <c:v>0.82168300000000005</c:v>
                </c:pt>
                <c:pt idx="2">
                  <c:v>0.83979599999999999</c:v>
                </c:pt>
                <c:pt idx="3">
                  <c:v>0.70590200000000003</c:v>
                </c:pt>
                <c:pt idx="4">
                  <c:v>0.78505800000000003</c:v>
                </c:pt>
                <c:pt idx="5">
                  <c:v>0.69386000000000003</c:v>
                </c:pt>
                <c:pt idx="6">
                  <c:v>0.69097799999999998</c:v>
                </c:pt>
                <c:pt idx="7">
                  <c:v>0.64958000000000005</c:v>
                </c:pt>
                <c:pt idx="8">
                  <c:v>0.78250799999999998</c:v>
                </c:pt>
                <c:pt idx="9">
                  <c:v>0.74004199999999998</c:v>
                </c:pt>
                <c:pt idx="10">
                  <c:v>0.75252699999999995</c:v>
                </c:pt>
                <c:pt idx="11">
                  <c:v>0.35872300000000001</c:v>
                </c:pt>
                <c:pt idx="12">
                  <c:v>0.69978200000000002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Febrero 2021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zoomScaleNormal="100" workbookViewId="0">
      <selection activeCell="C33" sqref="C33"/>
    </sheetView>
  </sheetViews>
  <sheetFormatPr baseColWidth="10" defaultColWidth="11.42578125" defaultRowHeight="12"/>
  <cols>
    <col min="1" max="1" width="10.28515625" style="111" bestFit="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119</v>
      </c>
      <c r="B2" s="144" t="s">
        <v>120</v>
      </c>
    </row>
    <row r="4" spans="1:33" ht="15">
      <c r="A4" s="145" t="s">
        <v>67</v>
      </c>
      <c r="B4" s="208" t="s">
        <v>119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</row>
    <row r="5" spans="1:33" ht="15">
      <c r="A5" s="145" t="s">
        <v>68</v>
      </c>
      <c r="B5" s="210" t="s">
        <v>15</v>
      </c>
      <c r="C5" s="211"/>
      <c r="D5" s="211"/>
      <c r="E5" s="211"/>
      <c r="F5" s="211"/>
      <c r="G5" s="211"/>
      <c r="H5" s="211"/>
      <c r="I5" s="212"/>
      <c r="J5" s="210" t="s">
        <v>14</v>
      </c>
      <c r="K5" s="211"/>
      <c r="L5" s="211"/>
      <c r="M5" s="211"/>
      <c r="N5" s="211"/>
      <c r="O5" s="211"/>
      <c r="P5" s="211"/>
      <c r="Q5" s="212"/>
      <c r="R5" s="210" t="s">
        <v>57</v>
      </c>
      <c r="S5" s="211"/>
      <c r="T5" s="211"/>
      <c r="U5" s="211"/>
      <c r="V5" s="211"/>
      <c r="W5" s="211"/>
      <c r="X5" s="211"/>
      <c r="Y5" s="212"/>
      <c r="Z5" s="210" t="s">
        <v>58</v>
      </c>
      <c r="AA5" s="211"/>
      <c r="AB5" s="211"/>
      <c r="AC5" s="211"/>
      <c r="AD5" s="211"/>
      <c r="AE5" s="211"/>
      <c r="AF5" s="211"/>
      <c r="AG5" s="211"/>
    </row>
    <row r="6" spans="1:33">
      <c r="A6" s="145" t="s">
        <v>69</v>
      </c>
      <c r="B6" s="191" t="s">
        <v>59</v>
      </c>
      <c r="C6" s="191" t="s">
        <v>60</v>
      </c>
      <c r="D6" s="191" t="s">
        <v>61</v>
      </c>
      <c r="E6" s="191" t="s">
        <v>62</v>
      </c>
      <c r="F6" s="191" t="s">
        <v>63</v>
      </c>
      <c r="G6" s="191" t="s">
        <v>64</v>
      </c>
      <c r="H6" s="191" t="s">
        <v>65</v>
      </c>
      <c r="I6" s="191" t="s">
        <v>66</v>
      </c>
      <c r="J6" s="191" t="s">
        <v>59</v>
      </c>
      <c r="K6" s="191" t="s">
        <v>60</v>
      </c>
      <c r="L6" s="191" t="s">
        <v>61</v>
      </c>
      <c r="M6" s="191" t="s">
        <v>62</v>
      </c>
      <c r="N6" s="191" t="s">
        <v>63</v>
      </c>
      <c r="O6" s="191" t="s">
        <v>64</v>
      </c>
      <c r="P6" s="191" t="s">
        <v>65</v>
      </c>
      <c r="Q6" s="191" t="s">
        <v>66</v>
      </c>
      <c r="R6" s="191" t="s">
        <v>59</v>
      </c>
      <c r="S6" s="191" t="s">
        <v>60</v>
      </c>
      <c r="T6" s="191" t="s">
        <v>61</v>
      </c>
      <c r="U6" s="191" t="s">
        <v>62</v>
      </c>
      <c r="V6" s="191" t="s">
        <v>63</v>
      </c>
      <c r="W6" s="191" t="s">
        <v>64</v>
      </c>
      <c r="X6" s="191" t="s">
        <v>65</v>
      </c>
      <c r="Y6" s="191" t="s">
        <v>66</v>
      </c>
      <c r="Z6" s="191" t="s">
        <v>59</v>
      </c>
      <c r="AA6" s="191" t="s">
        <v>60</v>
      </c>
      <c r="AB6" s="191" t="s">
        <v>61</v>
      </c>
      <c r="AC6" s="191" t="s">
        <v>62</v>
      </c>
      <c r="AD6" s="191" t="s">
        <v>63</v>
      </c>
      <c r="AE6" s="191" t="s">
        <v>64</v>
      </c>
      <c r="AF6" s="191" t="s">
        <v>65</v>
      </c>
      <c r="AG6" s="191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258.52999999999997</v>
      </c>
      <c r="AA8" s="158">
        <v>267.69</v>
      </c>
      <c r="AB8" s="151">
        <v>-3.4218685800000002E-2</v>
      </c>
      <c r="AC8" s="158">
        <v>556.15099999999995</v>
      </c>
      <c r="AD8" s="158">
        <v>572.00400000000002</v>
      </c>
      <c r="AE8" s="151">
        <v>-2.77148412E-2</v>
      </c>
      <c r="AF8" s="158">
        <v>3464.9630000000002</v>
      </c>
      <c r="AG8" s="151">
        <v>-1.66294978E-2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-606.15899999999999</v>
      </c>
      <c r="S9" s="158">
        <v>-1357.415</v>
      </c>
      <c r="T9" s="151">
        <v>-0.55344607209999996</v>
      </c>
      <c r="U9" s="158">
        <v>-1238.8510000000001</v>
      </c>
      <c r="V9" s="158">
        <v>-4534.7629999999999</v>
      </c>
      <c r="W9" s="151">
        <v>-0.72681019930000001</v>
      </c>
      <c r="X9" s="158">
        <v>224957.679</v>
      </c>
      <c r="Y9" s="151">
        <v>-0.86055857700000005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15212.183999999999</v>
      </c>
      <c r="C10" s="158">
        <v>15769.248</v>
      </c>
      <c r="D10" s="151">
        <v>-3.53259712E-2</v>
      </c>
      <c r="E10" s="158">
        <v>33749.514000000003</v>
      </c>
      <c r="F10" s="158">
        <v>33603.046999999999</v>
      </c>
      <c r="G10" s="151">
        <v>4.3587416000000004E-3</v>
      </c>
      <c r="H10" s="158">
        <v>199175.32199999999</v>
      </c>
      <c r="I10" s="151">
        <v>-3.1806670799999999E-2</v>
      </c>
      <c r="J10" s="158">
        <v>13906.031000000001</v>
      </c>
      <c r="K10" s="158">
        <v>15022.058000000001</v>
      </c>
      <c r="L10" s="151">
        <v>-7.4292550299999996E-2</v>
      </c>
      <c r="M10" s="158">
        <v>30880.681</v>
      </c>
      <c r="N10" s="158">
        <v>32620.306</v>
      </c>
      <c r="O10" s="151">
        <v>-5.3329512000000003E-2</v>
      </c>
      <c r="P10" s="158">
        <v>195046.867</v>
      </c>
      <c r="Q10" s="151">
        <v>-2.5866839700000002E-2</v>
      </c>
      <c r="R10" s="158">
        <v>18940.327000000001</v>
      </c>
      <c r="S10" s="158">
        <v>20211.246999999999</v>
      </c>
      <c r="T10" s="151">
        <v>-6.2881820199999994E-2</v>
      </c>
      <c r="U10" s="158">
        <v>46137.277000000002</v>
      </c>
      <c r="V10" s="158">
        <v>45374.571000000004</v>
      </c>
      <c r="W10" s="151">
        <v>1.6809106599999998E-2</v>
      </c>
      <c r="X10" s="158">
        <v>283072.36700000003</v>
      </c>
      <c r="Y10" s="151">
        <v>-0.36647741630000003</v>
      </c>
      <c r="Z10" s="158">
        <v>112359.52499999999</v>
      </c>
      <c r="AA10" s="158">
        <v>160697.783</v>
      </c>
      <c r="AB10" s="151">
        <v>-0.30080227059999998</v>
      </c>
      <c r="AC10" s="158">
        <v>253410.568</v>
      </c>
      <c r="AD10" s="158">
        <v>336521.37300000002</v>
      </c>
      <c r="AE10" s="151">
        <v>-0.24697036110000001</v>
      </c>
      <c r="AF10" s="158">
        <v>1634298.4569999999</v>
      </c>
      <c r="AG10" s="151">
        <v>-0.16589992279999999</v>
      </c>
    </row>
    <row r="11" spans="1:33">
      <c r="A11" s="144" t="s">
        <v>9</v>
      </c>
      <c r="B11" s="158">
        <v>3.0539999999999998</v>
      </c>
      <c r="C11" s="158">
        <v>0.76300000000000001</v>
      </c>
      <c r="D11" s="151">
        <v>3.0026212320000001</v>
      </c>
      <c r="E11" s="158">
        <v>4.38</v>
      </c>
      <c r="F11" s="158">
        <v>2.077</v>
      </c>
      <c r="G11" s="151">
        <v>1.1088107847999999</v>
      </c>
      <c r="H11" s="158">
        <v>171.55</v>
      </c>
      <c r="I11" s="151">
        <v>1.0169539351000001</v>
      </c>
      <c r="J11" s="158">
        <v>2.2890000000000001</v>
      </c>
      <c r="K11" s="158">
        <v>1.165</v>
      </c>
      <c r="L11" s="151">
        <v>0.96480686699999996</v>
      </c>
      <c r="M11" s="158">
        <v>66.903000000000006</v>
      </c>
      <c r="N11" s="158">
        <v>1.962</v>
      </c>
      <c r="O11" s="151">
        <v>33.099388379200001</v>
      </c>
      <c r="P11" s="158">
        <v>160.84399999999999</v>
      </c>
      <c r="Q11" s="151">
        <v>6.3461520895000003</v>
      </c>
      <c r="R11" s="158">
        <v>7665.76</v>
      </c>
      <c r="S11" s="158">
        <v>17386.634999999998</v>
      </c>
      <c r="T11" s="151">
        <v>-0.55910042400000004</v>
      </c>
      <c r="U11" s="158">
        <v>26208.246999999999</v>
      </c>
      <c r="V11" s="158">
        <v>39211.722999999998</v>
      </c>
      <c r="W11" s="151">
        <v>-0.33162215290000002</v>
      </c>
      <c r="X11" s="158">
        <v>197544.05900000001</v>
      </c>
      <c r="Y11" s="151">
        <v>-0.54647741640000003</v>
      </c>
      <c r="Z11" s="158">
        <v>10355.027</v>
      </c>
      <c r="AA11" s="158">
        <v>21870.190999999999</v>
      </c>
      <c r="AB11" s="151">
        <v>-0.52652324800000005</v>
      </c>
      <c r="AC11" s="158">
        <v>20512.870999999999</v>
      </c>
      <c r="AD11" s="158">
        <v>38975.281000000003</v>
      </c>
      <c r="AE11" s="151">
        <v>-0.47369536600000001</v>
      </c>
      <c r="AF11" s="158">
        <v>177298.283</v>
      </c>
      <c r="AG11" s="151">
        <v>-0.2190318289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104960.84699999999</v>
      </c>
      <c r="AA12" s="158">
        <v>128349.147</v>
      </c>
      <c r="AB12" s="151">
        <v>-0.18222403919999999</v>
      </c>
      <c r="AC12" s="158">
        <v>221242.9</v>
      </c>
      <c r="AD12" s="158">
        <v>275267.66499999998</v>
      </c>
      <c r="AE12" s="151">
        <v>-0.19626266310000001</v>
      </c>
      <c r="AF12" s="158">
        <v>1333580.314</v>
      </c>
      <c r="AG12" s="151">
        <v>-0.34391902330000002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187465.46299999999</v>
      </c>
      <c r="S13" s="158">
        <v>226173.81</v>
      </c>
      <c r="T13" s="151">
        <v>-0.17114424959999999</v>
      </c>
      <c r="U13" s="158">
        <v>447737.50799999997</v>
      </c>
      <c r="V13" s="158">
        <v>473602.266</v>
      </c>
      <c r="W13" s="151">
        <v>-5.4612825699999999E-2</v>
      </c>
      <c r="X13" s="158">
        <v>2386271.8879999998</v>
      </c>
      <c r="Y13" s="151">
        <v>0.66990684850000004</v>
      </c>
      <c r="Z13" s="158">
        <v>269761.36200000002</v>
      </c>
      <c r="AA13" s="158">
        <v>279078.48200000002</v>
      </c>
      <c r="AB13" s="151">
        <v>-3.3385304099999999E-2</v>
      </c>
      <c r="AC13" s="158">
        <v>550421.51100000006</v>
      </c>
      <c r="AD13" s="158">
        <v>615490.17799999996</v>
      </c>
      <c r="AE13" s="151">
        <v>-0.10571844900000001</v>
      </c>
      <c r="AF13" s="158">
        <v>3189201.2280000001</v>
      </c>
      <c r="AG13" s="151">
        <v>2.0944293000000002E-3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0</v>
      </c>
      <c r="T14" s="151">
        <v>0</v>
      </c>
      <c r="U14" s="158">
        <v>0</v>
      </c>
      <c r="V14" s="158">
        <v>0</v>
      </c>
      <c r="W14" s="151">
        <v>0</v>
      </c>
      <c r="X14" s="158">
        <v>3903.8110000000001</v>
      </c>
      <c r="Y14" s="151">
        <v>-0.76896560759999999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1226.4829999999999</v>
      </c>
      <c r="AA15" s="158">
        <v>1338.5150000000001</v>
      </c>
      <c r="AB15" s="151">
        <v>-8.3698725799999998E-2</v>
      </c>
      <c r="AC15" s="158">
        <v>2219.6529999999998</v>
      </c>
      <c r="AD15" s="158">
        <v>2163.0650000000001</v>
      </c>
      <c r="AE15" s="151">
        <v>2.6161026099999998E-2</v>
      </c>
      <c r="AF15" s="158">
        <v>19596.814999999999</v>
      </c>
      <c r="AG15" s="151">
        <v>-0.16000145220000001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159.483</v>
      </c>
      <c r="S16" s="158">
        <v>339.27600000000001</v>
      </c>
      <c r="T16" s="151">
        <v>-0.5299313833</v>
      </c>
      <c r="U16" s="158">
        <v>437.44600000000003</v>
      </c>
      <c r="V16" s="158">
        <v>710.10199999999998</v>
      </c>
      <c r="W16" s="151">
        <v>-0.3839673737</v>
      </c>
      <c r="X16" s="158">
        <v>3367.7930000000001</v>
      </c>
      <c r="Y16" s="151">
        <v>-0.38657720000000001</v>
      </c>
      <c r="Z16" s="158">
        <v>58505.417000000001</v>
      </c>
      <c r="AA16" s="158">
        <v>93155.251000000004</v>
      </c>
      <c r="AB16" s="151">
        <v>-0.37195792649999998</v>
      </c>
      <c r="AC16" s="158">
        <v>139610.60999999999</v>
      </c>
      <c r="AD16" s="158">
        <v>153344.772</v>
      </c>
      <c r="AE16" s="151">
        <v>-8.9563940300000006E-2</v>
      </c>
      <c r="AF16" s="158">
        <v>1086560.8999999999</v>
      </c>
      <c r="AG16" s="151">
        <v>-8.4871868500000003E-2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4.8860000000000001</v>
      </c>
      <c r="K17" s="158">
        <v>5.41</v>
      </c>
      <c r="L17" s="151">
        <v>-9.6857671000000006E-2</v>
      </c>
      <c r="M17" s="158">
        <v>9.484</v>
      </c>
      <c r="N17" s="158">
        <v>10.119</v>
      </c>
      <c r="O17" s="151">
        <v>-6.2753236500000004E-2</v>
      </c>
      <c r="P17" s="158">
        <v>76.072000000000003</v>
      </c>
      <c r="Q17" s="151">
        <v>-4.8064770399999998E-2</v>
      </c>
      <c r="R17" s="158">
        <v>9494.125</v>
      </c>
      <c r="S17" s="158">
        <v>8736.1280000000006</v>
      </c>
      <c r="T17" s="151">
        <v>8.6765784600000007E-2</v>
      </c>
      <c r="U17" s="158">
        <v>17880.28</v>
      </c>
      <c r="V17" s="158">
        <v>14670.513999999999</v>
      </c>
      <c r="W17" s="151">
        <v>0.21879028910000001</v>
      </c>
      <c r="X17" s="158">
        <v>121468.705</v>
      </c>
      <c r="Y17" s="151">
        <v>2.0132577700000001E-2</v>
      </c>
      <c r="Z17" s="158">
        <v>17690.634999999998</v>
      </c>
      <c r="AA17" s="158">
        <v>20258.366999999998</v>
      </c>
      <c r="AB17" s="151">
        <v>-0.12674920940000001</v>
      </c>
      <c r="AC17" s="158">
        <v>33978.629999999997</v>
      </c>
      <c r="AD17" s="158">
        <v>38758.271999999997</v>
      </c>
      <c r="AE17" s="151">
        <v>-0.1233192749</v>
      </c>
      <c r="AF17" s="158">
        <v>253078.82500000001</v>
      </c>
      <c r="AG17" s="151">
        <v>-9.1004169400000001E-2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76.888000000000005</v>
      </c>
      <c r="S18" s="158">
        <v>81.622</v>
      </c>
      <c r="T18" s="151">
        <v>-5.7999068899999999E-2</v>
      </c>
      <c r="U18" s="158">
        <v>134.64500000000001</v>
      </c>
      <c r="V18" s="158">
        <v>283.096</v>
      </c>
      <c r="W18" s="151">
        <v>-0.52438395459999998</v>
      </c>
      <c r="X18" s="158">
        <v>480.94900000000001</v>
      </c>
      <c r="Y18" s="151">
        <v>-0.60976945559999995</v>
      </c>
      <c r="Z18" s="158">
        <v>699.78200000000004</v>
      </c>
      <c r="AA18" s="158">
        <v>845.70600000000002</v>
      </c>
      <c r="AB18" s="151">
        <v>-0.17254696080000001</v>
      </c>
      <c r="AC18" s="158">
        <v>1058.5050000000001</v>
      </c>
      <c r="AD18" s="158">
        <v>1721.9860000000001</v>
      </c>
      <c r="AE18" s="151">
        <v>-0.38529988050000002</v>
      </c>
      <c r="AF18" s="158">
        <v>8520.4390000000003</v>
      </c>
      <c r="AG18" s="151">
        <v>-0.1224577045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3641.6990000000001</v>
      </c>
      <c r="S19" s="158">
        <v>3744.991</v>
      </c>
      <c r="T19" s="151">
        <v>-2.7581374700000001E-2</v>
      </c>
      <c r="U19" s="158">
        <v>7707.6419999999998</v>
      </c>
      <c r="V19" s="158">
        <v>7783.0879999999997</v>
      </c>
      <c r="W19" s="151">
        <v>-9.6935818E-3</v>
      </c>
      <c r="X19" s="158">
        <v>33747.737000000001</v>
      </c>
      <c r="Y19" s="151">
        <v>-4.6282775599999999E-2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573.88800000000003</v>
      </c>
      <c r="K20" s="158">
        <v>394.33350000000002</v>
      </c>
      <c r="L20" s="151">
        <v>0.45533666299999997</v>
      </c>
      <c r="M20" s="158">
        <v>1212.6044999999999</v>
      </c>
      <c r="N20" s="158">
        <v>498.81349999999998</v>
      </c>
      <c r="O20" s="151">
        <v>1.4309777101000001</v>
      </c>
      <c r="P20" s="158">
        <v>6239.3464999999997</v>
      </c>
      <c r="Q20" s="151">
        <v>0.28469085230000002</v>
      </c>
      <c r="R20" s="158">
        <v>10723.705</v>
      </c>
      <c r="S20" s="158">
        <v>6095.5330000000004</v>
      </c>
      <c r="T20" s="151">
        <v>0.75927273299999998</v>
      </c>
      <c r="U20" s="158">
        <v>17875.232499999998</v>
      </c>
      <c r="V20" s="158">
        <v>15357.456</v>
      </c>
      <c r="W20" s="151">
        <v>0.1639448943</v>
      </c>
      <c r="X20" s="158">
        <v>116519.121</v>
      </c>
      <c r="Y20" s="151">
        <v>-0.19308170650000001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573.88800000000003</v>
      </c>
      <c r="K21" s="158">
        <v>394.33350000000002</v>
      </c>
      <c r="L21" s="151">
        <v>0.45533666299999997</v>
      </c>
      <c r="M21" s="158">
        <v>1212.6044999999999</v>
      </c>
      <c r="N21" s="158">
        <v>498.81349999999998</v>
      </c>
      <c r="O21" s="151">
        <v>1.4309777101000001</v>
      </c>
      <c r="P21" s="158">
        <v>6239.3464999999997</v>
      </c>
      <c r="Q21" s="151">
        <v>0.28469085230000002</v>
      </c>
      <c r="R21" s="158">
        <v>10723.705</v>
      </c>
      <c r="S21" s="158">
        <v>6095.5330000000004</v>
      </c>
      <c r="T21" s="151">
        <v>0.75927273299999998</v>
      </c>
      <c r="U21" s="158">
        <v>17875.232499999998</v>
      </c>
      <c r="V21" s="158">
        <v>15357.456</v>
      </c>
      <c r="W21" s="151">
        <v>0.1639448943</v>
      </c>
      <c r="X21" s="158">
        <v>116519.121</v>
      </c>
      <c r="Y21" s="151">
        <v>-0.19308170650000001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15215.237999999999</v>
      </c>
      <c r="C22" s="159">
        <v>15770.011</v>
      </c>
      <c r="D22" s="152">
        <v>-3.5178986199999998E-2</v>
      </c>
      <c r="E22" s="159">
        <v>33753.894</v>
      </c>
      <c r="F22" s="159">
        <v>33605.124000000003</v>
      </c>
      <c r="G22" s="152">
        <v>4.4270035000000003E-3</v>
      </c>
      <c r="H22" s="159">
        <v>199346.872</v>
      </c>
      <c r="I22" s="152">
        <v>-3.1373241599999997E-2</v>
      </c>
      <c r="J22" s="159">
        <v>15060.982</v>
      </c>
      <c r="K22" s="159">
        <v>15817.3</v>
      </c>
      <c r="L22" s="152">
        <v>-4.7815872500000002E-2</v>
      </c>
      <c r="M22" s="159">
        <v>33382.277000000002</v>
      </c>
      <c r="N22" s="159">
        <v>33630.014000000003</v>
      </c>
      <c r="O22" s="152">
        <v>-7.3665446999999998E-3</v>
      </c>
      <c r="P22" s="159">
        <v>207762.476</v>
      </c>
      <c r="Q22" s="152">
        <v>-1.0849282E-2</v>
      </c>
      <c r="R22" s="159">
        <v>248284.99600000001</v>
      </c>
      <c r="S22" s="159">
        <v>287507.36</v>
      </c>
      <c r="T22" s="152">
        <v>-0.13642212149999999</v>
      </c>
      <c r="U22" s="159">
        <v>580754.65899999999</v>
      </c>
      <c r="V22" s="159">
        <v>607815.50899999996</v>
      </c>
      <c r="W22" s="152">
        <v>-4.4521486499999999E-2</v>
      </c>
      <c r="X22" s="159">
        <v>3487853.23</v>
      </c>
      <c r="Y22" s="152">
        <v>-0.20577888189999999</v>
      </c>
      <c r="Z22" s="159">
        <v>575817.60800000001</v>
      </c>
      <c r="AA22" s="159">
        <v>705861.13199999998</v>
      </c>
      <c r="AB22" s="152">
        <v>-0.18423386429999999</v>
      </c>
      <c r="AC22" s="159">
        <v>1223011.399</v>
      </c>
      <c r="AD22" s="159">
        <v>1462814.5959999999</v>
      </c>
      <c r="AE22" s="152">
        <v>-0.16393273459999999</v>
      </c>
      <c r="AF22" s="159">
        <v>7705600.2240000004</v>
      </c>
      <c r="AG22" s="152">
        <v>-0.13457863019999999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113412.00900000001</v>
      </c>
      <c r="S23" s="158">
        <v>115928.497</v>
      </c>
      <c r="T23" s="151">
        <v>-2.1707242500000001E-2</v>
      </c>
      <c r="U23" s="158">
        <v>251662.421</v>
      </c>
      <c r="V23" s="158">
        <v>252084.39799999999</v>
      </c>
      <c r="W23" s="151">
        <v>-1.6739513E-3</v>
      </c>
      <c r="X23" s="158">
        <v>1426115.548</v>
      </c>
      <c r="Y23" s="151">
        <v>-0.15636743650000001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15215.237999999999</v>
      </c>
      <c r="C24" s="159">
        <v>15770.011</v>
      </c>
      <c r="D24" s="152">
        <v>-3.5178986199999998E-2</v>
      </c>
      <c r="E24" s="159">
        <v>33753.894</v>
      </c>
      <c r="F24" s="159">
        <v>33605.124000000003</v>
      </c>
      <c r="G24" s="152">
        <v>4.4270035000000003E-3</v>
      </c>
      <c r="H24" s="159">
        <v>199346.872</v>
      </c>
      <c r="I24" s="152">
        <v>-3.1373241599999997E-2</v>
      </c>
      <c r="J24" s="159">
        <v>15060.982</v>
      </c>
      <c r="K24" s="159">
        <v>15817.3</v>
      </c>
      <c r="L24" s="152">
        <v>-4.7815872500000002E-2</v>
      </c>
      <c r="M24" s="159">
        <v>33382.277000000002</v>
      </c>
      <c r="N24" s="159">
        <v>33630.014000000003</v>
      </c>
      <c r="O24" s="152">
        <v>-7.3665446999999998E-3</v>
      </c>
      <c r="P24" s="159">
        <v>207762.476</v>
      </c>
      <c r="Q24" s="152">
        <v>-1.0849282E-2</v>
      </c>
      <c r="R24" s="159">
        <v>361697.005</v>
      </c>
      <c r="S24" s="159">
        <v>403435.85700000002</v>
      </c>
      <c r="T24" s="152">
        <v>-0.1034584588</v>
      </c>
      <c r="U24" s="159">
        <v>832417.08</v>
      </c>
      <c r="V24" s="159">
        <v>859899.90700000001</v>
      </c>
      <c r="W24" s="152">
        <v>-3.1960495399999997E-2</v>
      </c>
      <c r="X24" s="159">
        <v>4913968.7779999999</v>
      </c>
      <c r="Y24" s="152">
        <v>-0.19204530850000001</v>
      </c>
      <c r="Z24" s="159">
        <v>575817.60800000001</v>
      </c>
      <c r="AA24" s="159">
        <v>705861.13199999998</v>
      </c>
      <c r="AB24" s="152">
        <v>-0.18423386429999999</v>
      </c>
      <c r="AC24" s="159">
        <v>1223011.399</v>
      </c>
      <c r="AD24" s="159">
        <v>1462814.5959999999</v>
      </c>
      <c r="AE24" s="152">
        <v>-0.16393273459999999</v>
      </c>
      <c r="AF24" s="159">
        <v>7705600.2240000004</v>
      </c>
      <c r="AG24" s="152">
        <v>-0.13457863019999999</v>
      </c>
    </row>
    <row r="26" spans="1:33">
      <c r="A26" s="111" t="s">
        <v>103</v>
      </c>
      <c r="B26" s="180">
        <f>SUM(B24,J24,R24,Z24)</f>
        <v>967790.83299999998</v>
      </c>
      <c r="C26" s="180">
        <f>SUM(C24,K24,S24,AA24)</f>
        <v>1140884.3</v>
      </c>
      <c r="D26" s="181">
        <f>((B26/C26)-1)*100</f>
        <v>-15.171868611041461</v>
      </c>
      <c r="R26" s="181"/>
    </row>
    <row r="29" spans="1:33" ht="15">
      <c r="A29" s="145" t="s">
        <v>67</v>
      </c>
      <c r="B29" s="208" t="str">
        <f>A2</f>
        <v>Febrero 2021</v>
      </c>
      <c r="C29" s="209"/>
    </row>
    <row r="30" spans="1:33" ht="15">
      <c r="A30" s="145" t="s">
        <v>69</v>
      </c>
      <c r="B30" s="223" t="s">
        <v>72</v>
      </c>
      <c r="C30" s="224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2.02</v>
      </c>
    </row>
    <row r="34" spans="1:4">
      <c r="A34" s="144" t="s">
        <v>11</v>
      </c>
      <c r="B34" s="147">
        <v>241.19999999999996</v>
      </c>
      <c r="C34" s="147"/>
    </row>
    <row r="35" spans="1:4">
      <c r="A35" s="144" t="s">
        <v>78</v>
      </c>
      <c r="B35" s="185">
        <v>139.4</v>
      </c>
      <c r="C35" s="147">
        <v>495.92</v>
      </c>
    </row>
    <row r="36" spans="1:4">
      <c r="A36" s="144" t="s">
        <v>9</v>
      </c>
      <c r="B36" s="147">
        <v>605.4</v>
      </c>
      <c r="C36" s="147">
        <v>557.1400000000001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857.95</v>
      </c>
      <c r="C38" s="147">
        <v>864.2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11.39</v>
      </c>
    </row>
    <row r="41" spans="1:4">
      <c r="A41" s="144" t="s">
        <v>5</v>
      </c>
      <c r="B41" s="147">
        <v>3.6374999999999909</v>
      </c>
      <c r="C41" s="147">
        <v>448.71500000000003</v>
      </c>
      <c r="D41" s="188"/>
    </row>
    <row r="42" spans="1:4">
      <c r="A42" s="144" t="s">
        <v>4</v>
      </c>
      <c r="B42" s="147">
        <v>103.37272499999985</v>
      </c>
      <c r="C42" s="147">
        <v>167.10714499999966</v>
      </c>
      <c r="D42" s="188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/>
    </row>
    <row r="45" spans="1:4">
      <c r="A45" s="144" t="s">
        <v>54</v>
      </c>
      <c r="B45" s="147">
        <v>37.400000000000006</v>
      </c>
      <c r="C45" s="147"/>
    </row>
    <row r="46" spans="1:4">
      <c r="A46" s="144" t="s">
        <v>55</v>
      </c>
      <c r="B46" s="147">
        <v>37.400000000000006</v>
      </c>
      <c r="C46" s="147"/>
    </row>
    <row r="47" spans="1:4">
      <c r="A47" s="149" t="s">
        <v>2</v>
      </c>
      <c r="B47" s="186">
        <f>SUM(B33:B46)</f>
        <v>2039.4132250000002</v>
      </c>
      <c r="C47" s="179">
        <f>SUM(C33:C46)</f>
        <v>3032.8281449999995</v>
      </c>
    </row>
    <row r="48" spans="1:4" ht="15">
      <c r="A48"/>
      <c r="C48"/>
      <c r="D48" s="187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241.19999999999996</v>
      </c>
      <c r="C52" s="116">
        <f t="shared" ref="C52:C57" si="0">B52/$B$63*100</f>
        <v>11.826931248815448</v>
      </c>
      <c r="D52" s="183"/>
      <c r="F52" s="114" t="s">
        <v>10</v>
      </c>
      <c r="G52" s="115">
        <f>C35</f>
        <v>495.92</v>
      </c>
      <c r="H52" s="116">
        <f>G52/$G$62*100</f>
        <v>16.351734298482647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6.8352994033369567</v>
      </c>
      <c r="D53" s="183"/>
      <c r="F53" s="114" t="s">
        <v>9</v>
      </c>
      <c r="G53" s="115">
        <f>C36</f>
        <v>557.1400000000001</v>
      </c>
      <c r="H53" s="116">
        <f t="shared" ref="H53:H61" si="2">G53/$G$62*100</f>
        <v>18.370312242008033</v>
      </c>
    </row>
    <row r="54" spans="1:8">
      <c r="A54" s="114" t="s">
        <v>9</v>
      </c>
      <c r="B54" s="115">
        <f t="shared" si="1"/>
        <v>605.4</v>
      </c>
      <c r="C54" s="116">
        <f t="shared" si="0"/>
        <v>29.685009029987043</v>
      </c>
      <c r="D54" s="183"/>
      <c r="F54" s="114" t="s">
        <v>8</v>
      </c>
      <c r="G54" s="115">
        <f>C37</f>
        <v>482.64</v>
      </c>
      <c r="H54" s="116">
        <f t="shared" si="2"/>
        <v>15.913859174503276</v>
      </c>
    </row>
    <row r="55" spans="1:8">
      <c r="A55" s="114" t="s">
        <v>25</v>
      </c>
      <c r="B55" s="115">
        <f>B38</f>
        <v>857.95</v>
      </c>
      <c r="C55" s="116">
        <f t="shared" si="0"/>
        <v>42.068472905975199</v>
      </c>
      <c r="D55" s="183"/>
      <c r="F55" s="114" t="s">
        <v>25</v>
      </c>
      <c r="G55" s="115">
        <f>C38</f>
        <v>864.2</v>
      </c>
      <c r="H55" s="116">
        <f t="shared" si="2"/>
        <v>28.494855583055141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3"/>
      <c r="F56" s="114" t="s">
        <v>23</v>
      </c>
      <c r="G56" s="115">
        <f>C44</f>
        <v>0</v>
      </c>
      <c r="H56" s="116">
        <f t="shared" si="2"/>
        <v>0</v>
      </c>
    </row>
    <row r="57" spans="1:8">
      <c r="A57" s="114" t="s">
        <v>23</v>
      </c>
      <c r="B57" s="115">
        <f>B44</f>
        <v>11.523</v>
      </c>
      <c r="C57" s="116">
        <f t="shared" si="0"/>
        <v>0.56501545928731522</v>
      </c>
      <c r="D57" s="183"/>
      <c r="F57" s="114" t="s">
        <v>12</v>
      </c>
      <c r="G57" s="116">
        <f>C33</f>
        <v>2.02</v>
      </c>
      <c r="H57" s="116">
        <f t="shared" si="2"/>
        <v>6.660449927999465E-2</v>
      </c>
    </row>
    <row r="58" spans="1:8">
      <c r="A58" s="114" t="s">
        <v>55</v>
      </c>
      <c r="B58" s="115">
        <f>B46</f>
        <v>37.400000000000006</v>
      </c>
      <c r="C58" s="116">
        <f t="shared" ref="C58:C62" si="3">B58/$B$63*100</f>
        <v>1.8338608155294276</v>
      </c>
      <c r="D58" s="183"/>
      <c r="F58" s="114" t="s">
        <v>6</v>
      </c>
      <c r="G58" s="115">
        <f>C40</f>
        <v>11.39</v>
      </c>
      <c r="H58" s="116">
        <f t="shared" si="2"/>
        <v>0.37555705287086094</v>
      </c>
    </row>
    <row r="59" spans="1:8">
      <c r="A59" s="114" t="s">
        <v>54</v>
      </c>
      <c r="B59" s="115">
        <f>B45</f>
        <v>37.400000000000006</v>
      </c>
      <c r="C59" s="116">
        <f t="shared" si="3"/>
        <v>1.8338608155294276</v>
      </c>
      <c r="D59" s="183"/>
      <c r="F59" s="114" t="s">
        <v>5</v>
      </c>
      <c r="G59" s="115">
        <f>C41</f>
        <v>448.71500000000003</v>
      </c>
      <c r="H59" s="116">
        <f t="shared" si="2"/>
        <v>14.795266284367722</v>
      </c>
    </row>
    <row r="60" spans="1:8">
      <c r="A60" s="114" t="s">
        <v>5</v>
      </c>
      <c r="B60" s="115">
        <f>B41</f>
        <v>3.6374999999999909</v>
      </c>
      <c r="C60" s="116">
        <f t="shared" si="3"/>
        <v>0.17836012610931218</v>
      </c>
      <c r="D60" s="183"/>
      <c r="F60" s="114" t="s">
        <v>4</v>
      </c>
      <c r="G60" s="115">
        <f>C42</f>
        <v>167.10714499999966</v>
      </c>
      <c r="H60" s="116">
        <f t="shared" si="2"/>
        <v>5.5099444152645738</v>
      </c>
    </row>
    <row r="61" spans="1:8">
      <c r="A61" s="114" t="s">
        <v>4</v>
      </c>
      <c r="B61" s="115">
        <f>B42</f>
        <v>103.37272499999985</v>
      </c>
      <c r="C61" s="116">
        <f t="shared" si="3"/>
        <v>5.0687483896256404</v>
      </c>
      <c r="D61" s="183"/>
      <c r="F61" s="114" t="s">
        <v>22</v>
      </c>
      <c r="G61" s="115">
        <f>C43</f>
        <v>3.6960000000000002</v>
      </c>
      <c r="H61" s="116">
        <f t="shared" si="2"/>
        <v>0.12186645016775259</v>
      </c>
    </row>
    <row r="62" spans="1:8">
      <c r="A62" s="114" t="s">
        <v>22</v>
      </c>
      <c r="B62" s="115">
        <f>B43</f>
        <v>2.13</v>
      </c>
      <c r="C62" s="116">
        <f t="shared" si="3"/>
        <v>0.10444180580421604</v>
      </c>
      <c r="D62" s="183"/>
      <c r="F62" s="117" t="s">
        <v>20</v>
      </c>
      <c r="G62" s="118">
        <f>SUM(G52:G61)</f>
        <v>3032.8281449999999</v>
      </c>
      <c r="H62" s="119">
        <f>SUM(H52:H61)</f>
        <v>100</v>
      </c>
    </row>
    <row r="63" spans="1:8">
      <c r="A63" s="117" t="s">
        <v>20</v>
      </c>
      <c r="B63" s="118">
        <f>SUM(B52:B62)</f>
        <v>2039.4132250000002</v>
      </c>
      <c r="C63" s="119">
        <f>SUM(C52:C62)</f>
        <v>99.999999999999986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106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92">
        <f>(C68/SUM($C$68:$C$78))*100</f>
        <v>0</v>
      </c>
      <c r="F68" s="114" t="s">
        <v>10</v>
      </c>
      <c r="G68" s="116">
        <f>Z10/Z$24*100</f>
        <v>19.513040837750832</v>
      </c>
    </row>
    <row r="69" spans="1:7">
      <c r="A69" s="114" t="s">
        <v>10</v>
      </c>
      <c r="B69" s="116">
        <f t="shared" ref="B69:B78" si="4">C69/$C$80*100</f>
        <v>5.2277564432200219</v>
      </c>
      <c r="C69" s="115">
        <f>R10</f>
        <v>18940.327000000001</v>
      </c>
      <c r="D69" s="192">
        <f t="shared" ref="D69:D78" si="5">(C69/SUM($C$68:$C$78))*100</f>
        <v>7.609883525189959</v>
      </c>
      <c r="F69" s="114" t="s">
        <v>9</v>
      </c>
      <c r="G69" s="116">
        <f>Z11/Z$24*100</f>
        <v>1.7983171851875708</v>
      </c>
    </row>
    <row r="70" spans="1:7">
      <c r="A70" s="114" t="s">
        <v>9</v>
      </c>
      <c r="B70" s="116">
        <f t="shared" si="4"/>
        <v>2.115841306867527</v>
      </c>
      <c r="C70" s="115">
        <f>R11</f>
        <v>7665.76</v>
      </c>
      <c r="D70" s="192">
        <f t="shared" si="5"/>
        <v>3.0799648143382199</v>
      </c>
      <c r="F70" s="114" t="s">
        <v>8</v>
      </c>
      <c r="G70" s="116">
        <f>Z12/Z$24*100</f>
        <v>18.228141262397795</v>
      </c>
    </row>
    <row r="71" spans="1:7">
      <c r="A71" s="114" t="s">
        <v>25</v>
      </c>
      <c r="B71" s="116">
        <f t="shared" si="4"/>
        <v>51.742706558312037</v>
      </c>
      <c r="C71" s="115">
        <f>R13</f>
        <v>187465.46299999999</v>
      </c>
      <c r="D71" s="192">
        <f>(C71/SUM($C$68:$C$78))*100</f>
        <v>75.320259171122416</v>
      </c>
      <c r="F71" s="114" t="s">
        <v>25</v>
      </c>
      <c r="G71" s="116">
        <f>Z13/Z$24*100</f>
        <v>46.848404469076257</v>
      </c>
    </row>
    <row r="72" spans="1:7">
      <c r="A72" s="114" t="s">
        <v>24</v>
      </c>
      <c r="B72" s="116">
        <f t="shared" si="4"/>
        <v>0</v>
      </c>
      <c r="C72" s="115">
        <f>R14</f>
        <v>0</v>
      </c>
      <c r="D72" s="193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1.0051524142913639</v>
      </c>
      <c r="C73" s="115">
        <f>R19</f>
        <v>3641.6990000000001</v>
      </c>
      <c r="D73" s="192">
        <f t="shared" si="5"/>
        <v>1.463169311902627</v>
      </c>
      <c r="F73" s="114" t="s">
        <v>12</v>
      </c>
      <c r="G73" s="116">
        <f>Z8/Z$24*100</f>
        <v>4.4897897599546828E-2</v>
      </c>
    </row>
    <row r="74" spans="1:7">
      <c r="A74" s="114" t="s">
        <v>55</v>
      </c>
      <c r="B74" s="116">
        <f t="shared" si="4"/>
        <v>2.9598706457887847</v>
      </c>
      <c r="C74" s="115">
        <f>R21</f>
        <v>10723.705</v>
      </c>
      <c r="D74" s="192">
        <f t="shared" si="5"/>
        <v>4.3085922438666016</v>
      </c>
      <c r="F74" s="114" t="s">
        <v>6</v>
      </c>
      <c r="G74" s="116">
        <f>Z15/Z$24*100</f>
        <v>0.21299852296284763</v>
      </c>
    </row>
    <row r="75" spans="1:7">
      <c r="A75" s="114" t="s">
        <v>54</v>
      </c>
      <c r="B75" s="116">
        <f t="shared" si="4"/>
        <v>2.9598706457887847</v>
      </c>
      <c r="C75" s="115">
        <f>R20</f>
        <v>10723.705</v>
      </c>
      <c r="D75" s="192">
        <f t="shared" si="5"/>
        <v>4.3085922438666016</v>
      </c>
      <c r="F75" s="114" t="s">
        <v>5</v>
      </c>
      <c r="G75" s="116">
        <f>Z16/Z$24*100</f>
        <v>10.16040777273348</v>
      </c>
    </row>
    <row r="76" spans="1:7">
      <c r="A76" s="114" t="s">
        <v>5</v>
      </c>
      <c r="B76" s="116">
        <f t="shared" si="4"/>
        <v>4.4019212595118269E-2</v>
      </c>
      <c r="C76" s="115">
        <f>R16</f>
        <v>159.483</v>
      </c>
      <c r="D76" s="192">
        <f t="shared" si="5"/>
        <v>6.4077407652353105E-2</v>
      </c>
      <c r="F76" s="114" t="s">
        <v>4</v>
      </c>
      <c r="G76" s="116">
        <f>Z17/Z$24*100</f>
        <v>3.072263639426601</v>
      </c>
    </row>
    <row r="77" spans="1:7">
      <c r="A77" s="114" t="s">
        <v>4</v>
      </c>
      <c r="B77" s="116">
        <f t="shared" si="4"/>
        <v>2.6204918817656258</v>
      </c>
      <c r="C77" s="115">
        <f>R17</f>
        <v>9494.125</v>
      </c>
      <c r="D77" s="192">
        <f t="shared" si="5"/>
        <v>3.8145690633321223</v>
      </c>
      <c r="F77" s="114" t="s">
        <v>22</v>
      </c>
      <c r="G77" s="116">
        <f>Z18/Z$24*100</f>
        <v>0.12152841286506821</v>
      </c>
    </row>
    <row r="78" spans="1:7">
      <c r="A78" s="114" t="s">
        <v>22</v>
      </c>
      <c r="B78" s="116">
        <f t="shared" si="4"/>
        <v>2.122200622018305E-2</v>
      </c>
      <c r="C78" s="115">
        <f>R18</f>
        <v>76.888000000000005</v>
      </c>
      <c r="D78" s="192">
        <f t="shared" si="5"/>
        <v>3.0892218729106708E-2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>C79/$C$80*100</f>
        <v>31.303068885150559</v>
      </c>
      <c r="C79" s="115">
        <f>R23</f>
        <v>113412.00900000001</v>
      </c>
      <c r="D79" s="183"/>
    </row>
    <row r="80" spans="1:7">
      <c r="A80" s="117" t="s">
        <v>20</v>
      </c>
      <c r="B80" s="119">
        <f>SUM(B68:B79)</f>
        <v>100</v>
      </c>
      <c r="C80" s="118">
        <f>SUM(C68:C79)</f>
        <v>362303.16399999999</v>
      </c>
      <c r="D80" s="183"/>
    </row>
    <row r="85" spans="1:26" ht="15">
      <c r="A85" s="145"/>
      <c r="B85" s="145" t="s">
        <v>69</v>
      </c>
      <c r="C85" s="225" t="s">
        <v>13</v>
      </c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/>
      <c r="S85"/>
      <c r="T85"/>
      <c r="U85"/>
      <c r="V85"/>
      <c r="W85"/>
      <c r="X85"/>
      <c r="Y85"/>
      <c r="Z85"/>
    </row>
    <row r="86" spans="1:26" ht="15">
      <c r="A86" s="145"/>
      <c r="B86" s="143" t="s">
        <v>67</v>
      </c>
      <c r="C86" s="189" t="s">
        <v>104</v>
      </c>
      <c r="D86" s="189" t="s">
        <v>105</v>
      </c>
      <c r="E86" s="189" t="s">
        <v>107</v>
      </c>
      <c r="F86" s="189" t="s">
        <v>109</v>
      </c>
      <c r="G86" s="189" t="s">
        <v>110</v>
      </c>
      <c r="H86" s="189" t="s">
        <v>111</v>
      </c>
      <c r="I86" s="189" t="s">
        <v>112</v>
      </c>
      <c r="J86" s="189" t="s">
        <v>113</v>
      </c>
      <c r="K86" s="189" t="s">
        <v>114</v>
      </c>
      <c r="L86" s="189" t="s">
        <v>115</v>
      </c>
      <c r="M86" s="189" t="s">
        <v>116</v>
      </c>
      <c r="N86" s="189" t="s">
        <v>117</v>
      </c>
      <c r="O86" s="189" t="s">
        <v>118</v>
      </c>
      <c r="P86" s="189" t="s">
        <v>119</v>
      </c>
      <c r="Q86" s="189" t="s">
        <v>123</v>
      </c>
      <c r="R86"/>
      <c r="S86"/>
      <c r="T86"/>
      <c r="U86"/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/>
      <c r="S87"/>
      <c r="T87"/>
      <c r="U87"/>
      <c r="V87"/>
      <c r="W87"/>
      <c r="X87"/>
      <c r="Y87"/>
      <c r="Z87"/>
    </row>
    <row r="88" spans="1:26" ht="15">
      <c r="A88" s="222" t="s">
        <v>57</v>
      </c>
      <c r="B88" s="144" t="s">
        <v>11</v>
      </c>
      <c r="C88" s="147">
        <v>-3.1773479999999998</v>
      </c>
      <c r="D88" s="147">
        <v>-1.357415</v>
      </c>
      <c r="E88" s="147">
        <v>-1.701627</v>
      </c>
      <c r="F88" s="147">
        <v>-1.684266</v>
      </c>
      <c r="G88" s="147">
        <v>-1.8020959999999999</v>
      </c>
      <c r="H88" s="147">
        <v>-1.2808299999999999</v>
      </c>
      <c r="I88" s="147">
        <v>-1.119569</v>
      </c>
      <c r="J88" s="147">
        <v>-1.1268309999999999</v>
      </c>
      <c r="K88" s="147">
        <v>68.615076999999999</v>
      </c>
      <c r="L88" s="147">
        <v>69.531803999999994</v>
      </c>
      <c r="M88" s="147">
        <v>18.689830000000001</v>
      </c>
      <c r="N88" s="147">
        <v>78.075038000000006</v>
      </c>
      <c r="O88" s="147">
        <v>-0.63269200000000003</v>
      </c>
      <c r="P88" s="147">
        <v>-0.606159</v>
      </c>
      <c r="Q88" s="147">
        <v>0</v>
      </c>
      <c r="R88"/>
      <c r="S88"/>
      <c r="T88"/>
      <c r="U88"/>
      <c r="V88"/>
      <c r="W88"/>
      <c r="X88"/>
      <c r="Y88"/>
      <c r="Z88"/>
    </row>
    <row r="89" spans="1:26" ht="15">
      <c r="A89" s="220"/>
      <c r="B89" s="144" t="s">
        <v>78</v>
      </c>
      <c r="C89" s="147">
        <v>25.163323999999999</v>
      </c>
      <c r="D89" s="147">
        <v>20.211247</v>
      </c>
      <c r="E89" s="147">
        <v>15.845757000000001</v>
      </c>
      <c r="F89" s="147">
        <v>18.686546</v>
      </c>
      <c r="G89" s="147">
        <v>20.180289999999999</v>
      </c>
      <c r="H89" s="147">
        <v>17.902134</v>
      </c>
      <c r="I89" s="147">
        <v>32.575167</v>
      </c>
      <c r="J89" s="147">
        <v>48.229475999999998</v>
      </c>
      <c r="K89" s="147">
        <v>25.914612999999999</v>
      </c>
      <c r="L89" s="147">
        <v>16.883790999999999</v>
      </c>
      <c r="M89" s="147">
        <v>18.608250999999999</v>
      </c>
      <c r="N89" s="147">
        <v>22.109065000000001</v>
      </c>
      <c r="O89" s="147">
        <v>27.196950000000001</v>
      </c>
      <c r="P89" s="147">
        <v>18.940327</v>
      </c>
      <c r="Q89" s="147">
        <v>3.6988210000000001</v>
      </c>
      <c r="R89"/>
      <c r="S89"/>
      <c r="T89"/>
      <c r="U89"/>
      <c r="V89"/>
      <c r="W89"/>
      <c r="X89"/>
      <c r="Y89"/>
      <c r="Z89"/>
    </row>
    <row r="90" spans="1:26" ht="15">
      <c r="A90" s="220"/>
      <c r="B90" s="144" t="s">
        <v>9</v>
      </c>
      <c r="C90" s="147">
        <v>21.825088000000001</v>
      </c>
      <c r="D90" s="147">
        <v>17.386634999999998</v>
      </c>
      <c r="E90" s="147">
        <v>18.899491999999999</v>
      </c>
      <c r="F90" s="147">
        <v>9.9217499999999994</v>
      </c>
      <c r="G90" s="147">
        <v>9.5129249999999992</v>
      </c>
      <c r="H90" s="147">
        <v>15.970385</v>
      </c>
      <c r="I90" s="147">
        <v>33.700387999999997</v>
      </c>
      <c r="J90" s="147">
        <v>37.145944999999998</v>
      </c>
      <c r="K90" s="147">
        <v>15.232726</v>
      </c>
      <c r="L90" s="147">
        <v>8.9368049999999997</v>
      </c>
      <c r="M90" s="147">
        <v>10.474845</v>
      </c>
      <c r="N90" s="147">
        <v>11.540551000000001</v>
      </c>
      <c r="O90" s="147">
        <v>18.542487000000001</v>
      </c>
      <c r="P90" s="147">
        <v>7.6657599999999997</v>
      </c>
      <c r="Q90" s="147">
        <v>3.18899</v>
      </c>
      <c r="R90"/>
      <c r="S90"/>
      <c r="T90"/>
      <c r="U90"/>
      <c r="V90"/>
      <c r="W90"/>
      <c r="X90"/>
      <c r="Y90"/>
      <c r="Z90"/>
    </row>
    <row r="91" spans="1:26" ht="15">
      <c r="A91" s="220"/>
      <c r="B91" s="144" t="s">
        <v>25</v>
      </c>
      <c r="C91" s="147">
        <v>247.42845600000001</v>
      </c>
      <c r="D91" s="147">
        <v>226.17381</v>
      </c>
      <c r="E91" s="147">
        <v>223.68827999999999</v>
      </c>
      <c r="F91" s="147">
        <v>190.73178300000001</v>
      </c>
      <c r="G91" s="147">
        <v>192.66073600000001</v>
      </c>
      <c r="H91" s="147">
        <v>191.22599500000001</v>
      </c>
      <c r="I91" s="147">
        <v>258.52646600000003</v>
      </c>
      <c r="J91" s="147">
        <v>260.88770599999998</v>
      </c>
      <c r="K91" s="147">
        <v>135.30891800000001</v>
      </c>
      <c r="L91" s="147">
        <v>141.13588200000001</v>
      </c>
      <c r="M91" s="147">
        <v>185.01504499999999</v>
      </c>
      <c r="N91" s="147">
        <v>159.35356899999999</v>
      </c>
      <c r="O91" s="147">
        <v>260.27204499999999</v>
      </c>
      <c r="P91" s="147">
        <v>187.465463</v>
      </c>
      <c r="Q91" s="147">
        <v>66.420747000000006</v>
      </c>
      <c r="R91"/>
      <c r="S91"/>
      <c r="T91"/>
      <c r="U91"/>
      <c r="V91"/>
      <c r="W91"/>
      <c r="X91"/>
      <c r="Y91"/>
      <c r="Z91"/>
    </row>
    <row r="92" spans="1:26" ht="15">
      <c r="A92" s="220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</v>
      </c>
      <c r="H92" s="147">
        <v>0</v>
      </c>
      <c r="I92" s="147">
        <v>0</v>
      </c>
      <c r="J92" s="147">
        <v>2.5841270000000001</v>
      </c>
      <c r="K92" s="147">
        <v>0.57992999999999995</v>
      </c>
      <c r="L92" s="147">
        <v>0.73975400000000002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/>
      <c r="S92"/>
      <c r="T92"/>
      <c r="U92"/>
      <c r="V92"/>
      <c r="W92"/>
      <c r="X92"/>
      <c r="Y92"/>
      <c r="Z92"/>
    </row>
    <row r="93" spans="1:26" ht="15">
      <c r="A93" s="220"/>
      <c r="B93" s="144" t="s">
        <v>5</v>
      </c>
      <c r="C93" s="147">
        <v>0.37082599999999999</v>
      </c>
      <c r="D93" s="147">
        <v>0.33927600000000002</v>
      </c>
      <c r="E93" s="147">
        <v>0.53315400000000002</v>
      </c>
      <c r="F93" s="147">
        <v>0.24332000000000001</v>
      </c>
      <c r="G93" s="147">
        <v>0.35256199999999999</v>
      </c>
      <c r="H93" s="147">
        <v>0.21834000000000001</v>
      </c>
      <c r="I93" s="147">
        <v>0.22134999999999999</v>
      </c>
      <c r="J93" s="147">
        <v>0.20865500000000001</v>
      </c>
      <c r="K93" s="147">
        <v>0.189775</v>
      </c>
      <c r="L93" s="147">
        <v>0.32789299999999999</v>
      </c>
      <c r="M93" s="147">
        <v>0.34884399999999999</v>
      </c>
      <c r="N93" s="147">
        <v>0.28645399999999999</v>
      </c>
      <c r="O93" s="147">
        <v>0.27796300000000002</v>
      </c>
      <c r="P93" s="147">
        <v>0.15948300000000001</v>
      </c>
      <c r="Q93" s="147">
        <v>0.12526000000000001</v>
      </c>
      <c r="R93"/>
      <c r="S93"/>
      <c r="T93"/>
      <c r="U93"/>
      <c r="V93"/>
      <c r="W93"/>
      <c r="X93"/>
      <c r="Y93"/>
      <c r="Z93"/>
    </row>
    <row r="94" spans="1:26" ht="15">
      <c r="A94" s="220"/>
      <c r="B94" s="144" t="s">
        <v>4</v>
      </c>
      <c r="C94" s="147">
        <v>5.9343859999999999</v>
      </c>
      <c r="D94" s="147">
        <v>8.7361280000000008</v>
      </c>
      <c r="E94" s="147">
        <v>9.2030049999999992</v>
      </c>
      <c r="F94" s="147">
        <v>10.826313000000001</v>
      </c>
      <c r="G94" s="147">
        <v>12.901484</v>
      </c>
      <c r="H94" s="147">
        <v>12.233309</v>
      </c>
      <c r="I94" s="147">
        <v>12.746891</v>
      </c>
      <c r="J94" s="147">
        <v>12.07002</v>
      </c>
      <c r="K94" s="147">
        <v>10.538423999999999</v>
      </c>
      <c r="L94" s="147">
        <v>9.6292899999999992</v>
      </c>
      <c r="M94" s="147">
        <v>6.7451980000000002</v>
      </c>
      <c r="N94" s="147">
        <v>6.6944910000000002</v>
      </c>
      <c r="O94" s="147">
        <v>8.3861550000000005</v>
      </c>
      <c r="P94" s="147">
        <v>9.4941250000000004</v>
      </c>
      <c r="Q94" s="147">
        <v>1.9434</v>
      </c>
      <c r="R94"/>
      <c r="S94"/>
      <c r="T94"/>
      <c r="U94"/>
      <c r="V94"/>
      <c r="W94"/>
      <c r="X94"/>
      <c r="Y94"/>
      <c r="Z94"/>
    </row>
    <row r="95" spans="1:26" ht="15">
      <c r="A95" s="220"/>
      <c r="B95" s="144" t="s">
        <v>22</v>
      </c>
      <c r="C95" s="147">
        <v>0.20147399999999999</v>
      </c>
      <c r="D95" s="147">
        <v>8.1622E-2</v>
      </c>
      <c r="E95" s="147">
        <v>2.6786999999999998E-2</v>
      </c>
      <c r="F95" s="147">
        <v>1.5415999999999999E-2</v>
      </c>
      <c r="G95" s="147">
        <v>2.3830000000000001E-3</v>
      </c>
      <c r="H95" s="147">
        <v>5.9750999999999999E-2</v>
      </c>
      <c r="I95" s="147">
        <v>5.2531000000000001E-2</v>
      </c>
      <c r="J95" s="147">
        <v>5.0303E-2</v>
      </c>
      <c r="K95" s="147">
        <v>2.81E-3</v>
      </c>
      <c r="L95" s="147">
        <v>2.7317000000000001E-2</v>
      </c>
      <c r="M95" s="147">
        <v>6.9145999999999999E-2</v>
      </c>
      <c r="N95" s="147">
        <v>3.986E-2</v>
      </c>
      <c r="O95" s="147">
        <v>5.7757000000000003E-2</v>
      </c>
      <c r="P95" s="147">
        <v>7.6887999999999998E-2</v>
      </c>
      <c r="Q95" s="147">
        <v>8.9999999999999993E-3</v>
      </c>
      <c r="R95"/>
      <c r="S95"/>
      <c r="T95"/>
      <c r="U95"/>
      <c r="V95"/>
      <c r="W95"/>
      <c r="X95"/>
      <c r="Y95"/>
      <c r="Z95"/>
    </row>
    <row r="96" spans="1:26" ht="15">
      <c r="A96" s="220"/>
      <c r="B96" s="144" t="s">
        <v>23</v>
      </c>
      <c r="C96" s="147">
        <v>4.0380969999999996</v>
      </c>
      <c r="D96" s="147">
        <v>3.7449910000000002</v>
      </c>
      <c r="E96" s="147">
        <v>3.4759910000000001</v>
      </c>
      <c r="F96" s="147">
        <v>2.759617</v>
      </c>
      <c r="G96" s="147">
        <v>2.681413</v>
      </c>
      <c r="H96" s="147">
        <v>2.5969359999999999</v>
      </c>
      <c r="I96" s="147">
        <v>2.3319320000000001</v>
      </c>
      <c r="J96" s="147">
        <v>1.922374</v>
      </c>
      <c r="K96" s="147">
        <v>2.047806</v>
      </c>
      <c r="L96" s="147">
        <v>2.3333560000000002</v>
      </c>
      <c r="M96" s="147">
        <v>2.521382</v>
      </c>
      <c r="N96" s="147">
        <v>3.3692880000000001</v>
      </c>
      <c r="O96" s="147">
        <v>4.0659429999999999</v>
      </c>
      <c r="P96" s="147">
        <v>3.641699</v>
      </c>
      <c r="Q96" s="147">
        <v>1.1448400000000001</v>
      </c>
      <c r="R96"/>
      <c r="S96"/>
      <c r="T96"/>
      <c r="U96"/>
      <c r="V96"/>
      <c r="W96"/>
      <c r="X96"/>
      <c r="Y96"/>
      <c r="Z96"/>
    </row>
    <row r="97" spans="1:26" ht="15">
      <c r="A97" s="220"/>
      <c r="B97" s="144" t="s">
        <v>54</v>
      </c>
      <c r="C97" s="147">
        <v>9.2619229999999995</v>
      </c>
      <c r="D97" s="147">
        <v>6.0955329999999996</v>
      </c>
      <c r="E97" s="147">
        <v>10.531687</v>
      </c>
      <c r="F97" s="147">
        <v>4.8152900000000001</v>
      </c>
      <c r="G97" s="147">
        <v>5.3655939999999998</v>
      </c>
      <c r="H97" s="147">
        <v>14.316091999999999</v>
      </c>
      <c r="I97" s="147">
        <v>10.772016499999999</v>
      </c>
      <c r="J97" s="147">
        <v>10.810641499999999</v>
      </c>
      <c r="K97" s="147">
        <v>14.376298</v>
      </c>
      <c r="L97" s="147">
        <v>6.2382179999999998</v>
      </c>
      <c r="M97" s="147">
        <v>12.812825</v>
      </c>
      <c r="N97" s="147">
        <v>8.6052265000000006</v>
      </c>
      <c r="O97" s="147">
        <v>7.1515275000000003</v>
      </c>
      <c r="P97" s="147">
        <v>10.723705000000001</v>
      </c>
      <c r="Q97" s="147">
        <v>2.8532500000000001</v>
      </c>
      <c r="R97"/>
      <c r="S97"/>
      <c r="T97"/>
      <c r="U97"/>
      <c r="V97"/>
      <c r="W97"/>
      <c r="X97"/>
      <c r="Y97"/>
      <c r="Z97"/>
    </row>
    <row r="98" spans="1:26" ht="15">
      <c r="A98" s="220"/>
      <c r="B98" s="144" t="s">
        <v>55</v>
      </c>
      <c r="C98" s="147">
        <v>9.2619229999999995</v>
      </c>
      <c r="D98" s="147">
        <v>6.0955329999999996</v>
      </c>
      <c r="E98" s="147">
        <v>10.531687</v>
      </c>
      <c r="F98" s="147">
        <v>4.8152900000000001</v>
      </c>
      <c r="G98" s="147">
        <v>5.3655939999999998</v>
      </c>
      <c r="H98" s="147">
        <v>14.316091999999999</v>
      </c>
      <c r="I98" s="147">
        <v>10.772016499999999</v>
      </c>
      <c r="J98" s="147">
        <v>10.810641499999999</v>
      </c>
      <c r="K98" s="147">
        <v>14.376298</v>
      </c>
      <c r="L98" s="147">
        <v>6.2382179999999998</v>
      </c>
      <c r="M98" s="147">
        <v>12.812825</v>
      </c>
      <c r="N98" s="147">
        <v>8.6052265000000006</v>
      </c>
      <c r="O98" s="147">
        <v>7.1515275000000003</v>
      </c>
      <c r="P98" s="147">
        <v>10.723705000000001</v>
      </c>
      <c r="Q98" s="147">
        <v>2.8532500000000001</v>
      </c>
      <c r="R98"/>
      <c r="S98"/>
      <c r="T98"/>
      <c r="U98"/>
      <c r="V98"/>
      <c r="W98"/>
      <c r="X98"/>
      <c r="Y98"/>
      <c r="Z98"/>
    </row>
    <row r="99" spans="1:26" ht="15">
      <c r="A99" s="220"/>
      <c r="B99" s="149" t="s">
        <v>2</v>
      </c>
      <c r="C99" s="150">
        <v>320.30814900000001</v>
      </c>
      <c r="D99" s="150">
        <v>287.50736000000001</v>
      </c>
      <c r="E99" s="150">
        <v>291.03421300000002</v>
      </c>
      <c r="F99" s="150">
        <v>241.13105899999999</v>
      </c>
      <c r="G99" s="150">
        <v>247.22088500000001</v>
      </c>
      <c r="H99" s="150">
        <v>267.55820399999999</v>
      </c>
      <c r="I99" s="150">
        <v>360.57918899999999</v>
      </c>
      <c r="J99" s="150">
        <v>383.59305799999998</v>
      </c>
      <c r="K99" s="150">
        <v>287.18267500000002</v>
      </c>
      <c r="L99" s="150">
        <v>262.02232800000002</v>
      </c>
      <c r="M99" s="150">
        <v>268.09819099999999</v>
      </c>
      <c r="N99" s="150">
        <v>298.67876899999999</v>
      </c>
      <c r="O99" s="150">
        <v>332.46966300000003</v>
      </c>
      <c r="P99" s="150">
        <v>248.28499600000001</v>
      </c>
      <c r="Q99" s="150">
        <v>82.237558000000007</v>
      </c>
      <c r="R99"/>
      <c r="S99"/>
      <c r="T99"/>
      <c r="U99"/>
      <c r="V99"/>
      <c r="W99"/>
      <c r="X99"/>
      <c r="Y99"/>
      <c r="Z99"/>
    </row>
    <row r="100" spans="1:26" ht="15">
      <c r="A100" s="220"/>
      <c r="B100" s="144" t="s">
        <v>21</v>
      </c>
      <c r="C100" s="147">
        <v>136.155901</v>
      </c>
      <c r="D100" s="147">
        <v>115.92849699999999</v>
      </c>
      <c r="E100" s="147">
        <v>112.780382</v>
      </c>
      <c r="F100" s="147">
        <v>80.581305999999998</v>
      </c>
      <c r="G100" s="147">
        <v>79.946523999999997</v>
      </c>
      <c r="H100" s="147">
        <v>93.289579000000003</v>
      </c>
      <c r="I100" s="147">
        <v>168.331695</v>
      </c>
      <c r="J100" s="147">
        <v>182.71595500000001</v>
      </c>
      <c r="K100" s="147">
        <v>116.274961</v>
      </c>
      <c r="L100" s="147">
        <v>105.943506</v>
      </c>
      <c r="M100" s="147">
        <v>96.327618999999999</v>
      </c>
      <c r="N100" s="147">
        <v>138.26159999999999</v>
      </c>
      <c r="O100" s="147">
        <v>138.25041200000001</v>
      </c>
      <c r="P100" s="147">
        <v>113.412009</v>
      </c>
      <c r="Q100" s="147">
        <v>36.304000000000002</v>
      </c>
      <c r="R100"/>
      <c r="S100"/>
      <c r="T100"/>
      <c r="U100"/>
      <c r="V100"/>
      <c r="W100"/>
      <c r="X100"/>
      <c r="Y100"/>
      <c r="Z100"/>
    </row>
    <row r="101" spans="1:26" ht="15">
      <c r="A101" s="221"/>
      <c r="B101" s="149" t="s">
        <v>79</v>
      </c>
      <c r="C101" s="150">
        <v>456.46404999999999</v>
      </c>
      <c r="D101" s="150">
        <v>403.435857</v>
      </c>
      <c r="E101" s="150">
        <v>403.814595</v>
      </c>
      <c r="F101" s="150">
        <v>321.71236499999998</v>
      </c>
      <c r="G101" s="150">
        <v>327.16740900000002</v>
      </c>
      <c r="H101" s="150">
        <v>360.84778299999999</v>
      </c>
      <c r="I101" s="150">
        <v>528.91088400000001</v>
      </c>
      <c r="J101" s="150">
        <v>566.30901300000005</v>
      </c>
      <c r="K101" s="150">
        <v>403.45763599999998</v>
      </c>
      <c r="L101" s="150">
        <v>367.96583399999997</v>
      </c>
      <c r="M101" s="150">
        <v>364.42581000000001</v>
      </c>
      <c r="N101" s="150">
        <v>436.94036899999998</v>
      </c>
      <c r="O101" s="150">
        <v>470.72007500000001</v>
      </c>
      <c r="P101" s="150">
        <v>361.69700499999999</v>
      </c>
      <c r="Q101" s="150">
        <v>118.54155799999999</v>
      </c>
      <c r="R101"/>
      <c r="S101"/>
      <c r="T101"/>
      <c r="U101"/>
      <c r="V101"/>
      <c r="W101"/>
      <c r="X101"/>
      <c r="Y101"/>
      <c r="Z101"/>
    </row>
    <row r="102" spans="1:26" ht="15">
      <c r="A102" s="219" t="s">
        <v>58</v>
      </c>
      <c r="B102" s="144" t="s">
        <v>12</v>
      </c>
      <c r="C102" s="147">
        <v>0.30431399999999997</v>
      </c>
      <c r="D102" s="147">
        <v>0.26768999999999998</v>
      </c>
      <c r="E102" s="147">
        <v>0.29931200000000002</v>
      </c>
      <c r="F102" s="147">
        <v>0.288387</v>
      </c>
      <c r="G102" s="147">
        <v>0.28846300000000002</v>
      </c>
      <c r="H102" s="147">
        <v>0.27233299999999999</v>
      </c>
      <c r="I102" s="147">
        <v>0.29030099999999998</v>
      </c>
      <c r="J102" s="147">
        <v>0.29413899999999998</v>
      </c>
      <c r="K102" s="147">
        <v>0.29165099999999999</v>
      </c>
      <c r="L102" s="147">
        <v>0.299369</v>
      </c>
      <c r="M102" s="147">
        <v>0.28527599999999997</v>
      </c>
      <c r="N102" s="147">
        <v>0.29958099999999999</v>
      </c>
      <c r="O102" s="147">
        <v>0.29762100000000002</v>
      </c>
      <c r="P102" s="147">
        <v>0.25852999999999998</v>
      </c>
      <c r="Q102" s="147">
        <v>0</v>
      </c>
      <c r="R102"/>
      <c r="S102"/>
      <c r="T102"/>
      <c r="U102"/>
      <c r="V102"/>
      <c r="W102"/>
      <c r="X102"/>
      <c r="Y102"/>
      <c r="Z102"/>
    </row>
    <row r="103" spans="1:26" ht="15">
      <c r="A103" s="220"/>
      <c r="B103" s="144" t="s">
        <v>78</v>
      </c>
      <c r="C103" s="147">
        <v>175.82359</v>
      </c>
      <c r="D103" s="147">
        <v>160.69778299999999</v>
      </c>
      <c r="E103" s="147">
        <v>133.86502100000001</v>
      </c>
      <c r="F103" s="147">
        <v>118.219841</v>
      </c>
      <c r="G103" s="147">
        <v>127.46646200000001</v>
      </c>
      <c r="H103" s="147">
        <v>122.84934</v>
      </c>
      <c r="I103" s="147">
        <v>140.50550799999999</v>
      </c>
      <c r="J103" s="147">
        <v>152.65874500000001</v>
      </c>
      <c r="K103" s="147">
        <v>151.15563499999999</v>
      </c>
      <c r="L103" s="147">
        <v>140.27562900000001</v>
      </c>
      <c r="M103" s="147">
        <v>147.43617</v>
      </c>
      <c r="N103" s="147">
        <v>146.45553799999999</v>
      </c>
      <c r="O103" s="147">
        <v>141.05104299999999</v>
      </c>
      <c r="P103" s="147">
        <v>112.359525</v>
      </c>
      <c r="Q103" s="147">
        <v>33.423014000000002</v>
      </c>
      <c r="R103"/>
      <c r="S103"/>
      <c r="T103"/>
      <c r="U103"/>
      <c r="V103"/>
      <c r="W103"/>
      <c r="X103"/>
      <c r="Y103"/>
      <c r="Z103"/>
    </row>
    <row r="104" spans="1:26" ht="15">
      <c r="A104" s="220"/>
      <c r="B104" s="144" t="s">
        <v>9</v>
      </c>
      <c r="C104" s="147">
        <v>17.105090000000001</v>
      </c>
      <c r="D104" s="147">
        <v>21.870190999999998</v>
      </c>
      <c r="E104" s="147">
        <v>12.226845000000001</v>
      </c>
      <c r="F104" s="147">
        <v>5.7932370000000004</v>
      </c>
      <c r="G104" s="147">
        <v>9.4236719999999998</v>
      </c>
      <c r="H104" s="147">
        <v>8.6874149999999997</v>
      </c>
      <c r="I104" s="147">
        <v>15.04932</v>
      </c>
      <c r="J104" s="147">
        <v>17.289342999999999</v>
      </c>
      <c r="K104" s="147">
        <v>21.610752000000002</v>
      </c>
      <c r="L104" s="147">
        <v>32.544134999999997</v>
      </c>
      <c r="M104" s="147">
        <v>18.073917999999999</v>
      </c>
      <c r="N104" s="147">
        <v>16.086774999999999</v>
      </c>
      <c r="O104" s="147">
        <v>10.157844000000001</v>
      </c>
      <c r="P104" s="147">
        <v>10.355027</v>
      </c>
      <c r="Q104" s="147">
        <v>4.8434340000000002</v>
      </c>
      <c r="R104"/>
      <c r="S104"/>
      <c r="T104"/>
      <c r="U104"/>
      <c r="V104"/>
      <c r="W104"/>
      <c r="X104"/>
      <c r="Y104"/>
      <c r="Z104"/>
    </row>
    <row r="105" spans="1:26" ht="15">
      <c r="A105" s="220"/>
      <c r="B105" s="144" t="s">
        <v>8</v>
      </c>
      <c r="C105" s="147">
        <v>146.91851800000001</v>
      </c>
      <c r="D105" s="147">
        <v>128.34914699999999</v>
      </c>
      <c r="E105" s="147">
        <v>114.048723</v>
      </c>
      <c r="F105" s="147">
        <v>98.923323999999994</v>
      </c>
      <c r="G105" s="147">
        <v>116.06684199999999</v>
      </c>
      <c r="H105" s="147">
        <v>83.295309000000003</v>
      </c>
      <c r="I105" s="147">
        <v>114.33213000000001</v>
      </c>
      <c r="J105" s="147">
        <v>127.712586</v>
      </c>
      <c r="K105" s="147">
        <v>98.396693999999997</v>
      </c>
      <c r="L105" s="147">
        <v>128.21449999999999</v>
      </c>
      <c r="M105" s="147">
        <v>121.615077</v>
      </c>
      <c r="N105" s="147">
        <v>109.732229</v>
      </c>
      <c r="O105" s="147">
        <v>116.282053</v>
      </c>
      <c r="P105" s="147">
        <v>104.960847</v>
      </c>
      <c r="Q105" s="147">
        <v>28.809854999999999</v>
      </c>
      <c r="R105"/>
      <c r="S105"/>
      <c r="T105"/>
      <c r="U105"/>
      <c r="V105"/>
      <c r="W105"/>
      <c r="X105"/>
      <c r="Y105"/>
      <c r="Z105"/>
    </row>
    <row r="106" spans="1:26" ht="15">
      <c r="A106" s="220"/>
      <c r="B106" s="144" t="s">
        <v>25</v>
      </c>
      <c r="C106" s="147">
        <v>336.41169600000001</v>
      </c>
      <c r="D106" s="147">
        <v>279.07848200000001</v>
      </c>
      <c r="E106" s="147">
        <v>300.75480199999998</v>
      </c>
      <c r="F106" s="147">
        <v>246.048203</v>
      </c>
      <c r="G106" s="147">
        <v>229.928777</v>
      </c>
      <c r="H106" s="147">
        <v>258.95318400000002</v>
      </c>
      <c r="I106" s="147">
        <v>229.38776100000001</v>
      </c>
      <c r="J106" s="147">
        <v>217.204814</v>
      </c>
      <c r="K106" s="147">
        <v>297.07835399999999</v>
      </c>
      <c r="L106" s="147">
        <v>252.83072899999999</v>
      </c>
      <c r="M106" s="147">
        <v>292.22053799999998</v>
      </c>
      <c r="N106" s="147">
        <v>314.37255499999998</v>
      </c>
      <c r="O106" s="147">
        <v>280.66014899999999</v>
      </c>
      <c r="P106" s="147">
        <v>269.76136200000002</v>
      </c>
      <c r="Q106" s="147">
        <v>92.012246000000005</v>
      </c>
      <c r="R106"/>
      <c r="S106"/>
      <c r="T106"/>
      <c r="U106"/>
      <c r="V106"/>
      <c r="W106"/>
      <c r="X106"/>
      <c r="Y106"/>
      <c r="Z106"/>
    </row>
    <row r="107" spans="1:26" ht="15">
      <c r="A107" s="220"/>
      <c r="B107" s="144" t="s">
        <v>6</v>
      </c>
      <c r="C107" s="147">
        <v>0.82455000000000001</v>
      </c>
      <c r="D107" s="147">
        <v>1.3385149999999999</v>
      </c>
      <c r="E107" s="147">
        <v>1.8236140000000001</v>
      </c>
      <c r="F107" s="147">
        <v>0.99112500000000003</v>
      </c>
      <c r="G107" s="147">
        <v>1.4427080000000001</v>
      </c>
      <c r="H107" s="147">
        <v>0.74262799999999995</v>
      </c>
      <c r="I107" s="147">
        <v>3.6524220000000001</v>
      </c>
      <c r="J107" s="147">
        <v>3.5757409999999998</v>
      </c>
      <c r="K107" s="147">
        <v>1.9118980000000001</v>
      </c>
      <c r="L107" s="147">
        <v>1.456723</v>
      </c>
      <c r="M107" s="147">
        <v>0.821801</v>
      </c>
      <c r="N107" s="147">
        <v>0.95850199999999997</v>
      </c>
      <c r="O107" s="147">
        <v>0.99317</v>
      </c>
      <c r="P107" s="147">
        <v>1.226483</v>
      </c>
      <c r="Q107" s="147">
        <v>0.627216</v>
      </c>
      <c r="R107"/>
      <c r="S107"/>
      <c r="T107"/>
      <c r="U107"/>
      <c r="V107"/>
      <c r="W107"/>
      <c r="X107"/>
      <c r="Y107"/>
      <c r="Z107"/>
    </row>
    <row r="108" spans="1:26" ht="15">
      <c r="A108" s="220"/>
      <c r="B108" s="144" t="s">
        <v>5</v>
      </c>
      <c r="C108" s="147">
        <v>60.189520999999999</v>
      </c>
      <c r="D108" s="147">
        <v>93.155251000000007</v>
      </c>
      <c r="E108" s="147">
        <v>97.166026000000002</v>
      </c>
      <c r="F108" s="147">
        <v>54.728521000000001</v>
      </c>
      <c r="G108" s="147">
        <v>69.749658999999994</v>
      </c>
      <c r="H108" s="147">
        <v>103.362193</v>
      </c>
      <c r="I108" s="147">
        <v>148.25553600000001</v>
      </c>
      <c r="J108" s="147">
        <v>166.40368100000001</v>
      </c>
      <c r="K108" s="147">
        <v>92.772315000000006</v>
      </c>
      <c r="L108" s="147">
        <v>98.269994999999994</v>
      </c>
      <c r="M108" s="147">
        <v>54.804782000000003</v>
      </c>
      <c r="N108" s="147">
        <v>61.437581999999999</v>
      </c>
      <c r="O108" s="147">
        <v>81.105193</v>
      </c>
      <c r="P108" s="147">
        <v>58.505417000000001</v>
      </c>
      <c r="Q108" s="147">
        <v>24.130832999999999</v>
      </c>
      <c r="R108"/>
      <c r="S108"/>
      <c r="T108"/>
      <c r="U108"/>
      <c r="V108"/>
      <c r="W108"/>
      <c r="X108"/>
      <c r="Y108"/>
      <c r="Z108"/>
    </row>
    <row r="109" spans="1:26" ht="15">
      <c r="A109" s="220"/>
      <c r="B109" s="144" t="s">
        <v>4</v>
      </c>
      <c r="C109" s="147">
        <v>18.499904999999998</v>
      </c>
      <c r="D109" s="147">
        <v>20.258367</v>
      </c>
      <c r="E109" s="147">
        <v>21.187342999999998</v>
      </c>
      <c r="F109" s="147">
        <v>22.647696</v>
      </c>
      <c r="G109" s="147">
        <v>26.043417000000002</v>
      </c>
      <c r="H109" s="147">
        <v>23.718388000000001</v>
      </c>
      <c r="I109" s="147">
        <v>26.993926999999999</v>
      </c>
      <c r="J109" s="147">
        <v>26.63702</v>
      </c>
      <c r="K109" s="147">
        <v>20.951909000000001</v>
      </c>
      <c r="L109" s="147">
        <v>19.857990999999998</v>
      </c>
      <c r="M109" s="147">
        <v>15.894228</v>
      </c>
      <c r="N109" s="147">
        <v>15.168276000000001</v>
      </c>
      <c r="O109" s="147">
        <v>16.287994999999999</v>
      </c>
      <c r="P109" s="147">
        <v>17.690635</v>
      </c>
      <c r="Q109" s="147">
        <v>6.4024530000000004</v>
      </c>
      <c r="R109"/>
      <c r="S109"/>
      <c r="T109"/>
      <c r="U109"/>
      <c r="V109"/>
      <c r="W109"/>
      <c r="X109"/>
      <c r="Y109"/>
      <c r="Z109"/>
    </row>
    <row r="110" spans="1:26" ht="15">
      <c r="A110" s="220"/>
      <c r="B110" s="144" t="s">
        <v>22</v>
      </c>
      <c r="C110" s="147">
        <v>0.87627999999999995</v>
      </c>
      <c r="D110" s="147">
        <v>0.84570599999999996</v>
      </c>
      <c r="E110" s="147">
        <v>0.82168300000000005</v>
      </c>
      <c r="F110" s="147">
        <v>0.83979599999999999</v>
      </c>
      <c r="G110" s="147">
        <v>0.70590200000000003</v>
      </c>
      <c r="H110" s="147">
        <v>0.78505800000000003</v>
      </c>
      <c r="I110" s="147">
        <v>0.69386000000000003</v>
      </c>
      <c r="J110" s="147">
        <v>0.69097799999999998</v>
      </c>
      <c r="K110" s="147">
        <v>0.64958000000000005</v>
      </c>
      <c r="L110" s="147">
        <v>0.78250799999999998</v>
      </c>
      <c r="M110" s="147">
        <v>0.74004199999999998</v>
      </c>
      <c r="N110" s="147">
        <v>0.75252699999999995</v>
      </c>
      <c r="O110" s="147">
        <v>0.35872300000000001</v>
      </c>
      <c r="P110" s="147">
        <v>0.69978200000000002</v>
      </c>
      <c r="Q110" s="147">
        <v>0</v>
      </c>
      <c r="R110"/>
      <c r="S110"/>
      <c r="T110"/>
      <c r="U110"/>
      <c r="V110"/>
      <c r="W110"/>
      <c r="X110"/>
      <c r="Y110"/>
      <c r="Z110"/>
    </row>
    <row r="111" spans="1:26" ht="15">
      <c r="A111" s="220"/>
      <c r="B111" s="149" t="s">
        <v>2</v>
      </c>
      <c r="C111" s="150">
        <v>756.95346400000005</v>
      </c>
      <c r="D111" s="150">
        <v>705.861132</v>
      </c>
      <c r="E111" s="150">
        <v>682.19336899999996</v>
      </c>
      <c r="F111" s="150">
        <v>548.48013000000003</v>
      </c>
      <c r="G111" s="150">
        <v>581.11590200000001</v>
      </c>
      <c r="H111" s="150">
        <v>602.66584799999998</v>
      </c>
      <c r="I111" s="150">
        <v>679.16076499999997</v>
      </c>
      <c r="J111" s="150">
        <v>712.46704699999998</v>
      </c>
      <c r="K111" s="150">
        <v>684.81878800000004</v>
      </c>
      <c r="L111" s="150">
        <v>674.53157899999997</v>
      </c>
      <c r="M111" s="150">
        <v>651.89183200000002</v>
      </c>
      <c r="N111" s="150">
        <v>665.26356499999997</v>
      </c>
      <c r="O111" s="150">
        <v>647.19379100000003</v>
      </c>
      <c r="P111" s="150">
        <v>575.81760799999995</v>
      </c>
      <c r="Q111" s="150">
        <v>190.24905100000001</v>
      </c>
      <c r="R111"/>
      <c r="S111"/>
      <c r="T111"/>
      <c r="U111"/>
      <c r="V111"/>
      <c r="W111"/>
      <c r="X111"/>
      <c r="Y111"/>
      <c r="Z111"/>
    </row>
    <row r="112" spans="1:26" ht="15">
      <c r="A112" s="221"/>
      <c r="B112" s="149" t="s">
        <v>79</v>
      </c>
      <c r="C112" s="150">
        <v>756.95346400000005</v>
      </c>
      <c r="D112" s="150">
        <v>705.861132</v>
      </c>
      <c r="E112" s="150">
        <v>682.19336899999996</v>
      </c>
      <c r="F112" s="150">
        <v>548.48013000000003</v>
      </c>
      <c r="G112" s="150">
        <v>581.11590200000001</v>
      </c>
      <c r="H112" s="150">
        <v>602.66584799999998</v>
      </c>
      <c r="I112" s="150">
        <v>679.16076499999997</v>
      </c>
      <c r="J112" s="150">
        <v>712.46704699999998</v>
      </c>
      <c r="K112" s="150">
        <v>684.81878800000004</v>
      </c>
      <c r="L112" s="150">
        <v>674.53157899999997</v>
      </c>
      <c r="M112" s="150">
        <v>651.89183200000002</v>
      </c>
      <c r="N112" s="150">
        <v>665.26356499999997</v>
      </c>
      <c r="O112" s="150">
        <v>647.19379100000003</v>
      </c>
      <c r="P112" s="150">
        <v>575.81760799999995</v>
      </c>
      <c r="Q112" s="150">
        <v>190.24905100000001</v>
      </c>
      <c r="R112"/>
      <c r="S112"/>
      <c r="T112"/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7" t="s">
        <v>73</v>
      </c>
      <c r="C117" s="120" t="str">
        <f>TEXT(EDATE(D117,-1),"mmmm aaaa")</f>
        <v>febrero 2020</v>
      </c>
      <c r="D117" s="120" t="str">
        <f t="shared" ref="D117:M117" si="6">TEXT(EDATE(E117,-1),"mmmm aaaa")</f>
        <v>marzo 2020</v>
      </c>
      <c r="E117" s="120" t="str">
        <f t="shared" si="6"/>
        <v>abril 2020</v>
      </c>
      <c r="F117" s="120" t="str">
        <f t="shared" si="6"/>
        <v>mayo 2020</v>
      </c>
      <c r="G117" s="120" t="str">
        <f t="shared" si="6"/>
        <v>junio 2020</v>
      </c>
      <c r="H117" s="120" t="str">
        <f t="shared" si="6"/>
        <v>julio 2020</v>
      </c>
      <c r="I117" s="120" t="str">
        <f t="shared" si="6"/>
        <v>agosto 2020</v>
      </c>
      <c r="J117" s="120" t="str">
        <f t="shared" si="6"/>
        <v>septiembre 2020</v>
      </c>
      <c r="K117" s="120" t="str">
        <f t="shared" si="6"/>
        <v>octubre 2020</v>
      </c>
      <c r="L117" s="120" t="str">
        <f t="shared" si="6"/>
        <v>noviembre 2020</v>
      </c>
      <c r="M117" s="120" t="str">
        <f t="shared" si="6"/>
        <v>diciembre 2020</v>
      </c>
      <c r="N117" s="120" t="str">
        <f>TEXT(EDATE(O117,-1),"mmmm aaaa")</f>
        <v>enero 2021</v>
      </c>
      <c r="O117" s="121" t="str">
        <f>A2</f>
        <v>Febrero 2021</v>
      </c>
    </row>
    <row r="118" spans="1:19">
      <c r="B118" s="218"/>
      <c r="C118" s="131" t="str">
        <f>TEXT(EDATE($A$2,-12),"mmm")&amp;".-"&amp;TEXT(EDATE($A$2,-12),"aa")</f>
        <v>feb.-20</v>
      </c>
      <c r="D118" s="131" t="str">
        <f>TEXT(EDATE($A$2,-11),"mmm")&amp;".-"&amp;TEXT(EDATE($A$2,-11),"aa")</f>
        <v>mar.-20</v>
      </c>
      <c r="E118" s="131" t="str">
        <f>TEXT(EDATE($A$2,-10),"mmm")&amp;".-"&amp;TEXT(EDATE($A$2,-10),"aa")</f>
        <v>abr.-20</v>
      </c>
      <c r="F118" s="131" t="str">
        <f>TEXT(EDATE($A$2,-9),"mmm")&amp;".-"&amp;TEXT(EDATE($A$2,-9),"aa")</f>
        <v>may.-20</v>
      </c>
      <c r="G118" s="131" t="str">
        <f>TEXT(EDATE($A$2,-8),"mmm")&amp;".-"&amp;TEXT(EDATE($A$2,-8),"aa")</f>
        <v>jun.-20</v>
      </c>
      <c r="H118" s="131" t="str">
        <f>TEXT(EDATE($A$2,-7),"mmm")&amp;".-"&amp;TEXT(EDATE($A$2,-7),"aa")</f>
        <v>jul.-20</v>
      </c>
      <c r="I118" s="131" t="str">
        <f>TEXT(EDATE($A$2,-6),"mmm")&amp;".-"&amp;TEXT(EDATE($A$2,-6),"aa")</f>
        <v>ago.-20</v>
      </c>
      <c r="J118" s="131" t="str">
        <f>TEXT(EDATE($A$2,-5),"mmm")&amp;".-"&amp;TEXT(EDATE($A$2,-5),"aa")</f>
        <v>sep.-20</v>
      </c>
      <c r="K118" s="131" t="str">
        <f>TEXT(EDATE($A$2,-4),"mmm")&amp;".-"&amp;TEXT(EDATE($A$2,-4),"aa")</f>
        <v>oct.-20</v>
      </c>
      <c r="L118" s="131" t="str">
        <f>TEXT(EDATE($A$2,-3),"mmm")&amp;".-"&amp;TEXT(EDATE($A$2,-3),"aa")</f>
        <v>nov.-20</v>
      </c>
      <c r="M118" s="131" t="str">
        <f>TEXT(EDATE($A$2,-2),"mmm")&amp;".-"&amp;TEXT(EDATE($A$2,-2),"aa")</f>
        <v>dic.-20</v>
      </c>
      <c r="N118" s="131" t="str">
        <f>TEXT(EDATE($A$2,-1),"mmm")&amp;".-"&amp;TEXT(EDATE($A$2,-1),"aa")</f>
        <v>ene.-21</v>
      </c>
      <c r="O118" s="160" t="str">
        <f>TEXT($A$2,"mmm")&amp;".-"&amp;TEXT($A$2,"aa")</f>
        <v>feb.-21</v>
      </c>
    </row>
    <row r="119" spans="1:19">
      <c r="A119" s="214" t="s">
        <v>76</v>
      </c>
      <c r="B119" s="132" t="s">
        <v>11</v>
      </c>
      <c r="C119" s="133">
        <f>HLOOKUP(C$117,$86:$101,3,FALSE)</f>
        <v>-1.357415</v>
      </c>
      <c r="D119" s="133">
        <f t="shared" ref="D119:N119" si="7">HLOOKUP(D$117,$86:$101,3,FALSE)</f>
        <v>-1.701627</v>
      </c>
      <c r="E119" s="133">
        <f t="shared" si="7"/>
        <v>-1.684266</v>
      </c>
      <c r="F119" s="133">
        <f t="shared" si="7"/>
        <v>-1.8020959999999999</v>
      </c>
      <c r="G119" s="133">
        <f t="shared" si="7"/>
        <v>-1.2808299999999999</v>
      </c>
      <c r="H119" s="133">
        <f t="shared" si="7"/>
        <v>-1.119569</v>
      </c>
      <c r="I119" s="133">
        <f t="shared" si="7"/>
        <v>-1.1268309999999999</v>
      </c>
      <c r="J119" s="133">
        <f t="shared" si="7"/>
        <v>68.615076999999999</v>
      </c>
      <c r="K119" s="133">
        <f t="shared" si="7"/>
        <v>69.531803999999994</v>
      </c>
      <c r="L119" s="133">
        <f t="shared" si="7"/>
        <v>18.689830000000001</v>
      </c>
      <c r="M119" s="133">
        <f t="shared" si="7"/>
        <v>78.075038000000006</v>
      </c>
      <c r="N119" s="133">
        <f t="shared" si="7"/>
        <v>-0.63269200000000003</v>
      </c>
      <c r="O119" s="134">
        <f>HLOOKUP(O$117,$86:$101,3,FALSE)</f>
        <v>-0.606159</v>
      </c>
    </row>
    <row r="120" spans="1:19">
      <c r="A120" s="215"/>
      <c r="B120" s="122" t="s">
        <v>10</v>
      </c>
      <c r="C120" s="116">
        <f>HLOOKUP(C$117,$86:$101,4,FALSE)</f>
        <v>20.211247</v>
      </c>
      <c r="D120" s="116">
        <f t="shared" ref="D120:O120" si="8">HLOOKUP(D$117,$86:$101,4,FALSE)</f>
        <v>15.845757000000001</v>
      </c>
      <c r="E120" s="116">
        <f t="shared" si="8"/>
        <v>18.686546</v>
      </c>
      <c r="F120" s="116">
        <f t="shared" si="8"/>
        <v>20.180289999999999</v>
      </c>
      <c r="G120" s="116">
        <f t="shared" si="8"/>
        <v>17.902134</v>
      </c>
      <c r="H120" s="116">
        <f t="shared" si="8"/>
        <v>32.575167</v>
      </c>
      <c r="I120" s="116">
        <f t="shared" si="8"/>
        <v>48.229475999999998</v>
      </c>
      <c r="J120" s="116">
        <f t="shared" si="8"/>
        <v>25.914612999999999</v>
      </c>
      <c r="K120" s="116">
        <f t="shared" si="8"/>
        <v>16.883790999999999</v>
      </c>
      <c r="L120" s="116">
        <f t="shared" si="8"/>
        <v>18.608250999999999</v>
      </c>
      <c r="M120" s="116">
        <f t="shared" si="8"/>
        <v>22.109065000000001</v>
      </c>
      <c r="N120" s="116">
        <f t="shared" si="8"/>
        <v>27.196950000000001</v>
      </c>
      <c r="O120" s="134">
        <f t="shared" si="8"/>
        <v>18.940327</v>
      </c>
    </row>
    <row r="121" spans="1:19">
      <c r="A121" s="215"/>
      <c r="B121" s="122" t="s">
        <v>9</v>
      </c>
      <c r="C121" s="116">
        <f>HLOOKUP(C$117,$86:$101,5,FALSE)</f>
        <v>17.386634999999998</v>
      </c>
      <c r="D121" s="116">
        <f t="shared" ref="D121:O121" si="9">HLOOKUP(D$117,$86:$101,5,FALSE)</f>
        <v>18.899491999999999</v>
      </c>
      <c r="E121" s="116">
        <f t="shared" si="9"/>
        <v>9.9217499999999994</v>
      </c>
      <c r="F121" s="116">
        <f t="shared" si="9"/>
        <v>9.5129249999999992</v>
      </c>
      <c r="G121" s="116">
        <f t="shared" si="9"/>
        <v>15.970385</v>
      </c>
      <c r="H121" s="116">
        <f t="shared" si="9"/>
        <v>33.700387999999997</v>
      </c>
      <c r="I121" s="116">
        <f t="shared" si="9"/>
        <v>37.145944999999998</v>
      </c>
      <c r="J121" s="116">
        <f t="shared" si="9"/>
        <v>15.232726</v>
      </c>
      <c r="K121" s="116">
        <f t="shared" si="9"/>
        <v>8.9368049999999997</v>
      </c>
      <c r="L121" s="116">
        <f t="shared" si="9"/>
        <v>10.474845</v>
      </c>
      <c r="M121" s="116">
        <f t="shared" si="9"/>
        <v>11.540551000000001</v>
      </c>
      <c r="N121" s="116">
        <f t="shared" si="9"/>
        <v>18.542487000000001</v>
      </c>
      <c r="O121" s="134">
        <f t="shared" si="9"/>
        <v>7.6657599999999997</v>
      </c>
    </row>
    <row r="122" spans="1:19" ht="14.25">
      <c r="A122" s="215"/>
      <c r="B122" s="122" t="s">
        <v>74</v>
      </c>
      <c r="C122" s="116">
        <f>HLOOKUP(C$117,$86:$101,6,FALSE)</f>
        <v>226.17381</v>
      </c>
      <c r="D122" s="116">
        <f t="shared" ref="D122:O122" si="10">HLOOKUP(D$117,$86:$101,6,FALSE)</f>
        <v>223.68827999999999</v>
      </c>
      <c r="E122" s="116">
        <f t="shared" si="10"/>
        <v>190.73178300000001</v>
      </c>
      <c r="F122" s="116">
        <f t="shared" si="10"/>
        <v>192.66073600000001</v>
      </c>
      <c r="G122" s="116">
        <f t="shared" si="10"/>
        <v>191.22599500000001</v>
      </c>
      <c r="H122" s="116">
        <f t="shared" si="10"/>
        <v>258.52646600000003</v>
      </c>
      <c r="I122" s="116">
        <f t="shared" si="10"/>
        <v>260.88770599999998</v>
      </c>
      <c r="J122" s="116">
        <f t="shared" si="10"/>
        <v>135.30891800000001</v>
      </c>
      <c r="K122" s="116">
        <f t="shared" si="10"/>
        <v>141.13588200000001</v>
      </c>
      <c r="L122" s="116">
        <f t="shared" si="10"/>
        <v>185.01504499999999</v>
      </c>
      <c r="M122" s="116">
        <f t="shared" si="10"/>
        <v>159.35356899999999</v>
      </c>
      <c r="N122" s="116">
        <f t="shared" si="10"/>
        <v>260.27204499999999</v>
      </c>
      <c r="O122" s="134">
        <f t="shared" si="10"/>
        <v>187.465463</v>
      </c>
    </row>
    <row r="123" spans="1:19">
      <c r="A123" s="215"/>
      <c r="B123" s="122" t="s">
        <v>24</v>
      </c>
      <c r="C123" s="116">
        <f>HLOOKUP(C$117,$86:$101,7,FALSE)</f>
        <v>0</v>
      </c>
      <c r="D123" s="116">
        <f t="shared" ref="D123:O123" si="11">HLOOKUP(D$117,$86:$101,7,FALSE)</f>
        <v>0</v>
      </c>
      <c r="E123" s="116">
        <f t="shared" si="11"/>
        <v>0</v>
      </c>
      <c r="F123" s="116">
        <f t="shared" si="11"/>
        <v>0</v>
      </c>
      <c r="G123" s="116">
        <f t="shared" si="11"/>
        <v>0</v>
      </c>
      <c r="H123" s="116">
        <f t="shared" si="11"/>
        <v>0</v>
      </c>
      <c r="I123" s="116">
        <f t="shared" si="11"/>
        <v>2.5841270000000001</v>
      </c>
      <c r="J123" s="116">
        <f t="shared" si="11"/>
        <v>0.57992999999999995</v>
      </c>
      <c r="K123" s="116">
        <f t="shared" si="11"/>
        <v>0.73975400000000002</v>
      </c>
      <c r="L123" s="116">
        <f t="shared" si="11"/>
        <v>0</v>
      </c>
      <c r="M123" s="116">
        <f t="shared" si="11"/>
        <v>0</v>
      </c>
      <c r="N123" s="116">
        <f t="shared" si="11"/>
        <v>0</v>
      </c>
      <c r="O123" s="134">
        <f t="shared" si="11"/>
        <v>0</v>
      </c>
    </row>
    <row r="124" spans="1:19">
      <c r="A124" s="215"/>
      <c r="B124" s="122" t="s">
        <v>5</v>
      </c>
      <c r="C124" s="116">
        <f>HLOOKUP(C$117,$86:$102,8,FALSE)</f>
        <v>0.33927600000000002</v>
      </c>
      <c r="D124" s="116">
        <f t="shared" ref="D124:O124" si="12">HLOOKUP(D$117,$86:$102,8,FALSE)</f>
        <v>0.53315400000000002</v>
      </c>
      <c r="E124" s="116">
        <f t="shared" si="12"/>
        <v>0.24332000000000001</v>
      </c>
      <c r="F124" s="116">
        <f t="shared" si="12"/>
        <v>0.35256199999999999</v>
      </c>
      <c r="G124" s="116">
        <f t="shared" si="12"/>
        <v>0.21834000000000001</v>
      </c>
      <c r="H124" s="116">
        <f t="shared" si="12"/>
        <v>0.22134999999999999</v>
      </c>
      <c r="I124" s="116">
        <f t="shared" si="12"/>
        <v>0.20865500000000001</v>
      </c>
      <c r="J124" s="116">
        <f t="shared" si="12"/>
        <v>0.189775</v>
      </c>
      <c r="K124" s="116">
        <f t="shared" si="12"/>
        <v>0.32789299999999999</v>
      </c>
      <c r="L124" s="116">
        <f t="shared" si="12"/>
        <v>0.34884399999999999</v>
      </c>
      <c r="M124" s="116">
        <f t="shared" si="12"/>
        <v>0.28645399999999999</v>
      </c>
      <c r="N124" s="116">
        <f t="shared" si="12"/>
        <v>0.27796300000000002</v>
      </c>
      <c r="O124" s="134">
        <f t="shared" si="12"/>
        <v>0.15948300000000001</v>
      </c>
    </row>
    <row r="125" spans="1:19">
      <c r="A125" s="215"/>
      <c r="B125" s="122" t="s">
        <v>4</v>
      </c>
      <c r="C125" s="116">
        <f>HLOOKUP(C$117,$86:$102,9,FALSE)</f>
        <v>8.7361280000000008</v>
      </c>
      <c r="D125" s="116">
        <f t="shared" ref="D125:O125" si="13">HLOOKUP(D$117,$86:$102,9,FALSE)</f>
        <v>9.2030049999999992</v>
      </c>
      <c r="E125" s="116">
        <f t="shared" si="13"/>
        <v>10.826313000000001</v>
      </c>
      <c r="F125" s="116">
        <f t="shared" si="13"/>
        <v>12.901484</v>
      </c>
      <c r="G125" s="116">
        <f t="shared" si="13"/>
        <v>12.233309</v>
      </c>
      <c r="H125" s="116">
        <f t="shared" si="13"/>
        <v>12.746891</v>
      </c>
      <c r="I125" s="116">
        <f t="shared" si="13"/>
        <v>12.07002</v>
      </c>
      <c r="J125" s="116">
        <f t="shared" si="13"/>
        <v>10.538423999999999</v>
      </c>
      <c r="K125" s="116">
        <f t="shared" si="13"/>
        <v>9.6292899999999992</v>
      </c>
      <c r="L125" s="116">
        <f t="shared" si="13"/>
        <v>6.7451980000000002</v>
      </c>
      <c r="M125" s="116">
        <f t="shared" si="13"/>
        <v>6.6944910000000002</v>
      </c>
      <c r="N125" s="116">
        <f t="shared" si="13"/>
        <v>8.3861550000000005</v>
      </c>
      <c r="O125" s="134">
        <f t="shared" si="13"/>
        <v>9.4941250000000004</v>
      </c>
    </row>
    <row r="126" spans="1:19">
      <c r="A126" s="215"/>
      <c r="B126" s="123" t="s">
        <v>22</v>
      </c>
      <c r="C126" s="116">
        <f>HLOOKUP(C$117,$86:$102,10,FALSE)</f>
        <v>8.1622E-2</v>
      </c>
      <c r="D126" s="116">
        <f t="shared" ref="D126:O126" si="14">HLOOKUP(D$117,$86:$102,10,FALSE)</f>
        <v>2.6786999999999998E-2</v>
      </c>
      <c r="E126" s="116">
        <f t="shared" si="14"/>
        <v>1.5415999999999999E-2</v>
      </c>
      <c r="F126" s="116">
        <f t="shared" si="14"/>
        <v>2.3830000000000001E-3</v>
      </c>
      <c r="G126" s="116">
        <f t="shared" si="14"/>
        <v>5.9750999999999999E-2</v>
      </c>
      <c r="H126" s="116">
        <f t="shared" si="14"/>
        <v>5.2531000000000001E-2</v>
      </c>
      <c r="I126" s="116">
        <f t="shared" si="14"/>
        <v>5.0303E-2</v>
      </c>
      <c r="J126" s="116">
        <f t="shared" si="14"/>
        <v>2.81E-3</v>
      </c>
      <c r="K126" s="116">
        <f t="shared" si="14"/>
        <v>2.7317000000000001E-2</v>
      </c>
      <c r="L126" s="116">
        <f t="shared" si="14"/>
        <v>6.9145999999999999E-2</v>
      </c>
      <c r="M126" s="116">
        <f t="shared" si="14"/>
        <v>3.986E-2</v>
      </c>
      <c r="N126" s="116">
        <f t="shared" si="14"/>
        <v>5.7757000000000003E-2</v>
      </c>
      <c r="O126" s="134">
        <f t="shared" si="14"/>
        <v>7.6887999999999998E-2</v>
      </c>
    </row>
    <row r="127" spans="1:19">
      <c r="A127" s="215"/>
      <c r="B127" s="123" t="s">
        <v>23</v>
      </c>
      <c r="C127" s="116">
        <f>HLOOKUP(C$117,$86:$102,11,FALSE)</f>
        <v>3.7449910000000002</v>
      </c>
      <c r="D127" s="116">
        <f t="shared" ref="D127:O127" si="15">HLOOKUP(D$117,$86:$102,11,FALSE)</f>
        <v>3.4759910000000001</v>
      </c>
      <c r="E127" s="116">
        <f t="shared" si="15"/>
        <v>2.759617</v>
      </c>
      <c r="F127" s="116">
        <f t="shared" si="15"/>
        <v>2.681413</v>
      </c>
      <c r="G127" s="116">
        <f t="shared" si="15"/>
        <v>2.5969359999999999</v>
      </c>
      <c r="H127" s="116">
        <f t="shared" si="15"/>
        <v>2.3319320000000001</v>
      </c>
      <c r="I127" s="116">
        <f t="shared" si="15"/>
        <v>1.922374</v>
      </c>
      <c r="J127" s="116">
        <f t="shared" si="15"/>
        <v>2.047806</v>
      </c>
      <c r="K127" s="116">
        <f t="shared" si="15"/>
        <v>2.3333560000000002</v>
      </c>
      <c r="L127" s="116">
        <f t="shared" si="15"/>
        <v>2.521382</v>
      </c>
      <c r="M127" s="116">
        <f t="shared" si="15"/>
        <v>3.3692880000000001</v>
      </c>
      <c r="N127" s="116">
        <f t="shared" si="15"/>
        <v>4.0659429999999999</v>
      </c>
      <c r="O127" s="134">
        <f t="shared" si="15"/>
        <v>3.641699</v>
      </c>
    </row>
    <row r="128" spans="1:19">
      <c r="A128" s="215"/>
      <c r="B128" s="122" t="s">
        <v>55</v>
      </c>
      <c r="C128" s="116">
        <f t="shared" ref="C128:O128" si="16">HLOOKUP(C$117,$86:$102,13,FALSE)</f>
        <v>6.0955329999999996</v>
      </c>
      <c r="D128" s="116">
        <f t="shared" si="16"/>
        <v>10.531687</v>
      </c>
      <c r="E128" s="116">
        <f t="shared" si="16"/>
        <v>4.8152900000000001</v>
      </c>
      <c r="F128" s="116">
        <f t="shared" si="16"/>
        <v>5.3655939999999998</v>
      </c>
      <c r="G128" s="116">
        <f t="shared" si="16"/>
        <v>14.316091999999999</v>
      </c>
      <c r="H128" s="116">
        <f t="shared" si="16"/>
        <v>10.772016499999999</v>
      </c>
      <c r="I128" s="116">
        <f t="shared" si="16"/>
        <v>10.810641499999999</v>
      </c>
      <c r="J128" s="116">
        <f t="shared" si="16"/>
        <v>14.376298</v>
      </c>
      <c r="K128" s="116">
        <f t="shared" si="16"/>
        <v>6.2382179999999998</v>
      </c>
      <c r="L128" s="116">
        <f t="shared" si="16"/>
        <v>12.812825</v>
      </c>
      <c r="M128" s="116">
        <f t="shared" si="16"/>
        <v>8.6052265000000006</v>
      </c>
      <c r="N128" s="116">
        <f t="shared" si="16"/>
        <v>7.1515275000000003</v>
      </c>
      <c r="O128" s="134">
        <f t="shared" si="16"/>
        <v>10.723705000000001</v>
      </c>
    </row>
    <row r="129" spans="1:15">
      <c r="A129" s="215"/>
      <c r="B129" s="122" t="s">
        <v>54</v>
      </c>
      <c r="C129" s="116">
        <f>HLOOKUP(C$117,$86:$102,12,FALSE)</f>
        <v>6.0955329999999996</v>
      </c>
      <c r="D129" s="116">
        <f t="shared" ref="D129:O129" si="17">HLOOKUP(D$117,$86:$102,12,FALSE)</f>
        <v>10.531687</v>
      </c>
      <c r="E129" s="116">
        <f t="shared" si="17"/>
        <v>4.8152900000000001</v>
      </c>
      <c r="F129" s="116">
        <f t="shared" si="17"/>
        <v>5.3655939999999998</v>
      </c>
      <c r="G129" s="116">
        <f t="shared" si="17"/>
        <v>14.316091999999999</v>
      </c>
      <c r="H129" s="116">
        <f t="shared" si="17"/>
        <v>10.772016499999999</v>
      </c>
      <c r="I129" s="116">
        <f t="shared" si="17"/>
        <v>10.810641499999999</v>
      </c>
      <c r="J129" s="116">
        <f t="shared" si="17"/>
        <v>14.376298</v>
      </c>
      <c r="K129" s="116">
        <f t="shared" si="17"/>
        <v>6.2382179999999998</v>
      </c>
      <c r="L129" s="116">
        <f t="shared" si="17"/>
        <v>12.812825</v>
      </c>
      <c r="M129" s="116">
        <f t="shared" si="17"/>
        <v>8.6052265000000006</v>
      </c>
      <c r="N129" s="116">
        <f t="shared" si="17"/>
        <v>7.1515275000000003</v>
      </c>
      <c r="O129" s="134">
        <f t="shared" si="17"/>
        <v>10.723705000000001</v>
      </c>
    </row>
    <row r="130" spans="1:15">
      <c r="A130" s="215"/>
      <c r="B130" s="124" t="s">
        <v>2</v>
      </c>
      <c r="C130" s="125">
        <f>HLOOKUP(C$117,$86:$102,14,FALSE)</f>
        <v>287.50736000000001</v>
      </c>
      <c r="D130" s="125">
        <f t="shared" ref="D130:O130" si="18">HLOOKUP(D$117,$86:$102,14,FALSE)</f>
        <v>291.03421300000002</v>
      </c>
      <c r="E130" s="125">
        <f t="shared" si="18"/>
        <v>241.13105899999999</v>
      </c>
      <c r="F130" s="125">
        <f t="shared" si="18"/>
        <v>247.22088500000001</v>
      </c>
      <c r="G130" s="125">
        <f t="shared" si="18"/>
        <v>267.55820399999999</v>
      </c>
      <c r="H130" s="125">
        <f t="shared" si="18"/>
        <v>360.57918899999999</v>
      </c>
      <c r="I130" s="125">
        <f t="shared" si="18"/>
        <v>383.59305799999998</v>
      </c>
      <c r="J130" s="125">
        <f t="shared" si="18"/>
        <v>287.18267500000002</v>
      </c>
      <c r="K130" s="125">
        <f t="shared" si="18"/>
        <v>262.02232800000002</v>
      </c>
      <c r="L130" s="125">
        <f t="shared" si="18"/>
        <v>268.09819099999999</v>
      </c>
      <c r="M130" s="125">
        <f t="shared" si="18"/>
        <v>298.67876899999999</v>
      </c>
      <c r="N130" s="125">
        <f t="shared" si="18"/>
        <v>332.46966300000003</v>
      </c>
      <c r="O130" s="135">
        <f t="shared" si="18"/>
        <v>248.28499600000001</v>
      </c>
    </row>
    <row r="131" spans="1:15">
      <c r="A131" s="215"/>
      <c r="B131" s="122" t="s">
        <v>21</v>
      </c>
      <c r="C131" s="126">
        <f>HLOOKUP(C$117,$86:$102,15,FALSE)</f>
        <v>115.92849699999999</v>
      </c>
      <c r="D131" s="126">
        <f t="shared" ref="D131:O131" si="19">HLOOKUP(D$117,$86:$102,15,FALSE)</f>
        <v>112.780382</v>
      </c>
      <c r="E131" s="126">
        <f t="shared" si="19"/>
        <v>80.581305999999998</v>
      </c>
      <c r="F131" s="126">
        <f t="shared" si="19"/>
        <v>79.946523999999997</v>
      </c>
      <c r="G131" s="126">
        <f t="shared" si="19"/>
        <v>93.289579000000003</v>
      </c>
      <c r="H131" s="126">
        <f t="shared" si="19"/>
        <v>168.331695</v>
      </c>
      <c r="I131" s="126">
        <f t="shared" si="19"/>
        <v>182.71595500000001</v>
      </c>
      <c r="J131" s="126">
        <f t="shared" si="19"/>
        <v>116.274961</v>
      </c>
      <c r="K131" s="126">
        <f t="shared" si="19"/>
        <v>105.943506</v>
      </c>
      <c r="L131" s="126">
        <f t="shared" si="19"/>
        <v>96.327618999999999</v>
      </c>
      <c r="M131" s="126">
        <f t="shared" si="19"/>
        <v>138.26159999999999</v>
      </c>
      <c r="N131" s="126">
        <f t="shared" si="19"/>
        <v>138.25041200000001</v>
      </c>
      <c r="O131" s="126">
        <f t="shared" si="19"/>
        <v>113.412009</v>
      </c>
    </row>
    <row r="132" spans="1:15">
      <c r="A132" s="215"/>
      <c r="B132" s="127" t="s">
        <v>1</v>
      </c>
      <c r="C132" s="128">
        <f>HLOOKUP(C$117,$86:$102,16,FALSE)</f>
        <v>403.435857</v>
      </c>
      <c r="D132" s="128">
        <f t="shared" ref="D132:O132" si="20">HLOOKUP(D$117,$86:$102,16,FALSE)</f>
        <v>403.814595</v>
      </c>
      <c r="E132" s="128">
        <f t="shared" si="20"/>
        <v>321.71236499999998</v>
      </c>
      <c r="F132" s="128">
        <f t="shared" si="20"/>
        <v>327.16740900000002</v>
      </c>
      <c r="G132" s="128">
        <f t="shared" si="20"/>
        <v>360.84778299999999</v>
      </c>
      <c r="H132" s="128">
        <f t="shared" si="20"/>
        <v>528.91088400000001</v>
      </c>
      <c r="I132" s="128">
        <f t="shared" si="20"/>
        <v>566.30901300000005</v>
      </c>
      <c r="J132" s="128">
        <f t="shared" si="20"/>
        <v>403.45763599999998</v>
      </c>
      <c r="K132" s="128">
        <f t="shared" si="20"/>
        <v>367.96583399999997</v>
      </c>
      <c r="L132" s="128">
        <f t="shared" si="20"/>
        <v>364.42581000000001</v>
      </c>
      <c r="M132" s="128">
        <f t="shared" si="20"/>
        <v>436.94036899999998</v>
      </c>
      <c r="N132" s="128">
        <f t="shared" si="20"/>
        <v>470.72007500000001</v>
      </c>
      <c r="O132" s="128">
        <f t="shared" si="20"/>
        <v>361.69700499999999</v>
      </c>
    </row>
    <row r="133" spans="1:15" ht="14.25">
      <c r="A133" s="216"/>
      <c r="B133" s="137" t="s">
        <v>75</v>
      </c>
      <c r="C133" s="138">
        <f>C120+C121+C123</f>
        <v>37.597881999999998</v>
      </c>
      <c r="D133" s="138">
        <f>D120+D121+D123</f>
        <v>34.745249000000001</v>
      </c>
      <c r="E133" s="138">
        <f t="shared" ref="E133:O133" si="21">E120+E121+E123</f>
        <v>28.608295999999999</v>
      </c>
      <c r="F133" s="138">
        <f t="shared" si="21"/>
        <v>29.693214999999999</v>
      </c>
      <c r="G133" s="138">
        <f t="shared" si="21"/>
        <v>33.872518999999997</v>
      </c>
      <c r="H133" s="138">
        <f t="shared" si="21"/>
        <v>66.275554999999997</v>
      </c>
      <c r="I133" s="138">
        <f t="shared" si="21"/>
        <v>87.959547999999984</v>
      </c>
      <c r="J133" s="138">
        <f t="shared" si="21"/>
        <v>41.727269</v>
      </c>
      <c r="K133" s="138">
        <f t="shared" si="21"/>
        <v>26.56035</v>
      </c>
      <c r="L133" s="138">
        <f t="shared" si="21"/>
        <v>29.083095999999998</v>
      </c>
      <c r="M133" s="138">
        <f t="shared" si="21"/>
        <v>33.649616000000002</v>
      </c>
      <c r="N133" s="138">
        <f t="shared" si="21"/>
        <v>45.739437000000002</v>
      </c>
      <c r="O133" s="138">
        <f t="shared" si="21"/>
        <v>26.606086999999999</v>
      </c>
    </row>
    <row r="134" spans="1:15">
      <c r="A134" s="214" t="s">
        <v>77</v>
      </c>
      <c r="B134" s="139" t="s">
        <v>73</v>
      </c>
      <c r="C134" s="120" t="str">
        <f>TEXT(EDATE($A$2,-12),"mmm")&amp;".-"&amp;TEXT(EDATE($A$2,-12),"aa")</f>
        <v>feb.-20</v>
      </c>
      <c r="D134" s="120" t="str">
        <f>TEXT(EDATE($A$2,-11),"mmm")&amp;".-"&amp;TEXT(EDATE($A$2,-11),"aa")</f>
        <v>mar.-20</v>
      </c>
      <c r="E134" s="120" t="str">
        <f>TEXT(EDATE($A$2,-10),"mmm")&amp;".-"&amp;TEXT(EDATE($A$2,-10),"aa")</f>
        <v>abr.-20</v>
      </c>
      <c r="F134" s="120" t="str">
        <f>TEXT(EDATE($A$2,-9),"mmm")&amp;".-"&amp;TEXT(EDATE($A$2,-9),"aa")</f>
        <v>may.-20</v>
      </c>
      <c r="G134" s="120" t="str">
        <f>TEXT(EDATE($A$2,-8),"mmm")&amp;".-"&amp;TEXT(EDATE($A$2,-8),"aa")</f>
        <v>jun.-20</v>
      </c>
      <c r="H134" s="120" t="str">
        <f>TEXT(EDATE($A$2,-7),"mmm")&amp;".-"&amp;TEXT(EDATE($A$2,-7),"aa")</f>
        <v>jul.-20</v>
      </c>
      <c r="I134" s="120" t="str">
        <f>TEXT(EDATE($A$2,-6),"mmm")&amp;".-"&amp;TEXT(EDATE($A$2,-6),"aa")</f>
        <v>ago.-20</v>
      </c>
      <c r="J134" s="120" t="str">
        <f>TEXT(EDATE($A$2,-5),"mmm")&amp;".-"&amp;TEXT(EDATE($A$2,-5),"aa")</f>
        <v>sep.-20</v>
      </c>
      <c r="K134" s="120" t="str">
        <f>TEXT(EDATE($A$2,-4),"mmm")&amp;".-"&amp;TEXT(EDATE($A$2,-4),"aa")</f>
        <v>oct.-20</v>
      </c>
      <c r="L134" s="120" t="str">
        <f>TEXT(EDATE($A$2,-3),"mmm")&amp;".-"&amp;TEXT(EDATE($A$2,-3),"aa")</f>
        <v>nov.-20</v>
      </c>
      <c r="M134" s="120" t="str">
        <f>TEXT(EDATE($A$2,-2),"mmm")&amp;".-"&amp;TEXT(EDATE($A$2,-2),"aa")</f>
        <v>dic.-20</v>
      </c>
      <c r="N134" s="120" t="str">
        <f>TEXT(EDATE($A$2,-1),"mmm")&amp;".-"&amp;TEXT(EDATE($A$2,-1),"aa")</f>
        <v>ene.-21</v>
      </c>
      <c r="O134" s="121" t="str">
        <f>TEXT($A$2,"mmm")&amp;".-"&amp;TEXT($A$2,"aa")</f>
        <v>feb.-21</v>
      </c>
    </row>
    <row r="135" spans="1:15" ht="15" customHeight="1">
      <c r="A135" s="215"/>
      <c r="B135" s="122" t="s">
        <v>12</v>
      </c>
      <c r="C135" s="116">
        <f>HLOOKUP(C$117,$86:$115,17,FALSE)</f>
        <v>0.26768999999999998</v>
      </c>
      <c r="D135" s="116">
        <f t="shared" ref="D135:O135" si="22">HLOOKUP(D$117,$86:$115,17,FALSE)</f>
        <v>0.29931200000000002</v>
      </c>
      <c r="E135" s="116">
        <f t="shared" si="22"/>
        <v>0.288387</v>
      </c>
      <c r="F135" s="116">
        <f t="shared" si="22"/>
        <v>0.28846300000000002</v>
      </c>
      <c r="G135" s="116">
        <f t="shared" si="22"/>
        <v>0.27233299999999999</v>
      </c>
      <c r="H135" s="116">
        <f t="shared" si="22"/>
        <v>0.29030099999999998</v>
      </c>
      <c r="I135" s="116">
        <f t="shared" si="22"/>
        <v>0.29413899999999998</v>
      </c>
      <c r="J135" s="116">
        <f t="shared" si="22"/>
        <v>0.29165099999999999</v>
      </c>
      <c r="K135" s="116">
        <f t="shared" si="22"/>
        <v>0.299369</v>
      </c>
      <c r="L135" s="116">
        <f t="shared" si="22"/>
        <v>0.28527599999999997</v>
      </c>
      <c r="M135" s="116">
        <f t="shared" si="22"/>
        <v>0.29958099999999999</v>
      </c>
      <c r="N135" s="116">
        <f t="shared" si="22"/>
        <v>0.29762100000000002</v>
      </c>
      <c r="O135" s="161">
        <f t="shared" si="22"/>
        <v>0.25852999999999998</v>
      </c>
    </row>
    <row r="136" spans="1:15">
      <c r="A136" s="215"/>
      <c r="B136" s="122" t="s">
        <v>10</v>
      </c>
      <c r="C136" s="116">
        <f>HLOOKUP(C$117,$86:$115,18,FALSE)</f>
        <v>160.69778299999999</v>
      </c>
      <c r="D136" s="116">
        <f t="shared" ref="D136:O136" si="23">HLOOKUP(D$117,$86:$115,18,FALSE)</f>
        <v>133.86502100000001</v>
      </c>
      <c r="E136" s="116">
        <f t="shared" si="23"/>
        <v>118.219841</v>
      </c>
      <c r="F136" s="116">
        <f t="shared" si="23"/>
        <v>127.46646200000001</v>
      </c>
      <c r="G136" s="116">
        <f t="shared" si="23"/>
        <v>122.84934</v>
      </c>
      <c r="H136" s="116">
        <f t="shared" si="23"/>
        <v>140.50550799999999</v>
      </c>
      <c r="I136" s="116">
        <f t="shared" si="23"/>
        <v>152.65874500000001</v>
      </c>
      <c r="J136" s="116">
        <f t="shared" si="23"/>
        <v>151.15563499999999</v>
      </c>
      <c r="K136" s="116">
        <f t="shared" si="23"/>
        <v>140.27562900000001</v>
      </c>
      <c r="L136" s="116">
        <f t="shared" si="23"/>
        <v>147.43617</v>
      </c>
      <c r="M136" s="116">
        <f t="shared" si="23"/>
        <v>146.45553799999999</v>
      </c>
      <c r="N136" s="116">
        <f t="shared" si="23"/>
        <v>141.05104299999999</v>
      </c>
      <c r="O136" s="134">
        <f t="shared" si="23"/>
        <v>112.359525</v>
      </c>
    </row>
    <row r="137" spans="1:15">
      <c r="A137" s="215"/>
      <c r="B137" s="122" t="s">
        <v>9</v>
      </c>
      <c r="C137" s="116">
        <f>HLOOKUP(C$117,$86:$115,19,FALSE)</f>
        <v>21.870190999999998</v>
      </c>
      <c r="D137" s="116">
        <f t="shared" ref="D137:O137" si="24">HLOOKUP(D$117,$86:$115,19,FALSE)</f>
        <v>12.226845000000001</v>
      </c>
      <c r="E137" s="116">
        <f t="shared" si="24"/>
        <v>5.7932370000000004</v>
      </c>
      <c r="F137" s="116">
        <f t="shared" si="24"/>
        <v>9.4236719999999998</v>
      </c>
      <c r="G137" s="116">
        <f t="shared" si="24"/>
        <v>8.6874149999999997</v>
      </c>
      <c r="H137" s="116">
        <f t="shared" si="24"/>
        <v>15.04932</v>
      </c>
      <c r="I137" s="116">
        <f t="shared" si="24"/>
        <v>17.289342999999999</v>
      </c>
      <c r="J137" s="116">
        <f t="shared" si="24"/>
        <v>21.610752000000002</v>
      </c>
      <c r="K137" s="116">
        <f t="shared" si="24"/>
        <v>32.544134999999997</v>
      </c>
      <c r="L137" s="116">
        <f t="shared" si="24"/>
        <v>18.073917999999999</v>
      </c>
      <c r="M137" s="116">
        <f t="shared" si="24"/>
        <v>16.086774999999999</v>
      </c>
      <c r="N137" s="116">
        <f t="shared" si="24"/>
        <v>10.157844000000001</v>
      </c>
      <c r="O137" s="134">
        <f t="shared" si="24"/>
        <v>10.355027</v>
      </c>
    </row>
    <row r="138" spans="1:15">
      <c r="A138" s="215"/>
      <c r="B138" s="122" t="s">
        <v>8</v>
      </c>
      <c r="C138" s="116">
        <f>HLOOKUP(C$117,$86:$115,20,FALSE)</f>
        <v>128.34914699999999</v>
      </c>
      <c r="D138" s="116">
        <f t="shared" ref="D138:O138" si="25">HLOOKUP(D$117,$86:$115,20,FALSE)</f>
        <v>114.048723</v>
      </c>
      <c r="E138" s="116">
        <f t="shared" si="25"/>
        <v>98.923323999999994</v>
      </c>
      <c r="F138" s="116">
        <f t="shared" si="25"/>
        <v>116.06684199999999</v>
      </c>
      <c r="G138" s="116">
        <f t="shared" si="25"/>
        <v>83.295309000000003</v>
      </c>
      <c r="H138" s="116">
        <f t="shared" si="25"/>
        <v>114.33213000000001</v>
      </c>
      <c r="I138" s="116">
        <f t="shared" si="25"/>
        <v>127.712586</v>
      </c>
      <c r="J138" s="116">
        <f t="shared" si="25"/>
        <v>98.396693999999997</v>
      </c>
      <c r="K138" s="116">
        <f t="shared" si="25"/>
        <v>128.21449999999999</v>
      </c>
      <c r="L138" s="116">
        <f t="shared" si="25"/>
        <v>121.615077</v>
      </c>
      <c r="M138" s="116">
        <f t="shared" si="25"/>
        <v>109.732229</v>
      </c>
      <c r="N138" s="116">
        <f t="shared" si="25"/>
        <v>116.282053</v>
      </c>
      <c r="O138" s="134">
        <f t="shared" si="25"/>
        <v>104.960847</v>
      </c>
    </row>
    <row r="139" spans="1:15" ht="14.25">
      <c r="A139" s="215"/>
      <c r="B139" s="122" t="s">
        <v>74</v>
      </c>
      <c r="C139" s="116">
        <f>HLOOKUP(C$117,$86:$115,21,FALSE)</f>
        <v>279.07848200000001</v>
      </c>
      <c r="D139" s="116">
        <f t="shared" ref="D139:O139" si="26">HLOOKUP(D$117,$86:$115,21,FALSE)</f>
        <v>300.75480199999998</v>
      </c>
      <c r="E139" s="116">
        <f t="shared" si="26"/>
        <v>246.048203</v>
      </c>
      <c r="F139" s="116">
        <f t="shared" si="26"/>
        <v>229.928777</v>
      </c>
      <c r="G139" s="116">
        <f t="shared" si="26"/>
        <v>258.95318400000002</v>
      </c>
      <c r="H139" s="116">
        <f t="shared" si="26"/>
        <v>229.38776100000001</v>
      </c>
      <c r="I139" s="116">
        <f t="shared" si="26"/>
        <v>217.204814</v>
      </c>
      <c r="J139" s="116">
        <f t="shared" si="26"/>
        <v>297.07835399999999</v>
      </c>
      <c r="K139" s="116">
        <f t="shared" si="26"/>
        <v>252.83072899999999</v>
      </c>
      <c r="L139" s="116">
        <f t="shared" si="26"/>
        <v>292.22053799999998</v>
      </c>
      <c r="M139" s="116">
        <f t="shared" si="26"/>
        <v>314.37255499999998</v>
      </c>
      <c r="N139" s="116">
        <f t="shared" si="26"/>
        <v>280.66014899999999</v>
      </c>
      <c r="O139" s="134">
        <f t="shared" si="26"/>
        <v>269.76136200000002</v>
      </c>
    </row>
    <row r="140" spans="1:15">
      <c r="A140" s="215"/>
      <c r="B140" s="122" t="s">
        <v>6</v>
      </c>
      <c r="C140" s="116">
        <f>HLOOKUP(C$117,$86:$115,22,FALSE)</f>
        <v>1.3385149999999999</v>
      </c>
      <c r="D140" s="116">
        <f t="shared" ref="D140:O140" si="27">HLOOKUP(D$117,$86:$115,22,FALSE)</f>
        <v>1.8236140000000001</v>
      </c>
      <c r="E140" s="116">
        <f t="shared" si="27"/>
        <v>0.99112500000000003</v>
      </c>
      <c r="F140" s="116">
        <f t="shared" si="27"/>
        <v>1.4427080000000001</v>
      </c>
      <c r="G140" s="116">
        <f t="shared" si="27"/>
        <v>0.74262799999999995</v>
      </c>
      <c r="H140" s="116">
        <f t="shared" si="27"/>
        <v>3.6524220000000001</v>
      </c>
      <c r="I140" s="116">
        <f t="shared" si="27"/>
        <v>3.5757409999999998</v>
      </c>
      <c r="J140" s="116">
        <f t="shared" si="27"/>
        <v>1.9118980000000001</v>
      </c>
      <c r="K140" s="116">
        <f t="shared" si="27"/>
        <v>1.456723</v>
      </c>
      <c r="L140" s="116">
        <f t="shared" si="27"/>
        <v>0.821801</v>
      </c>
      <c r="M140" s="116">
        <f t="shared" si="27"/>
        <v>0.95850199999999997</v>
      </c>
      <c r="N140" s="116">
        <f t="shared" si="27"/>
        <v>0.99317</v>
      </c>
      <c r="O140" s="134">
        <f t="shared" si="27"/>
        <v>1.226483</v>
      </c>
    </row>
    <row r="141" spans="1:15">
      <c r="A141" s="215"/>
      <c r="B141" s="122" t="s">
        <v>5</v>
      </c>
      <c r="C141" s="116">
        <f>HLOOKUP(C$117,$86:$115,23,FALSE)</f>
        <v>93.155251000000007</v>
      </c>
      <c r="D141" s="116">
        <f t="shared" ref="D141:O141" si="28">HLOOKUP(D$117,$86:$115,23,FALSE)</f>
        <v>97.166026000000002</v>
      </c>
      <c r="E141" s="116">
        <f t="shared" si="28"/>
        <v>54.728521000000001</v>
      </c>
      <c r="F141" s="116">
        <f t="shared" si="28"/>
        <v>69.749658999999994</v>
      </c>
      <c r="G141" s="116">
        <f t="shared" si="28"/>
        <v>103.362193</v>
      </c>
      <c r="H141" s="116">
        <f t="shared" si="28"/>
        <v>148.25553600000001</v>
      </c>
      <c r="I141" s="116">
        <f t="shared" si="28"/>
        <v>166.40368100000001</v>
      </c>
      <c r="J141" s="116">
        <f t="shared" si="28"/>
        <v>92.772315000000006</v>
      </c>
      <c r="K141" s="116">
        <f t="shared" si="28"/>
        <v>98.269994999999994</v>
      </c>
      <c r="L141" s="116">
        <f t="shared" si="28"/>
        <v>54.804782000000003</v>
      </c>
      <c r="M141" s="116">
        <f t="shared" si="28"/>
        <v>61.437581999999999</v>
      </c>
      <c r="N141" s="116">
        <f t="shared" si="28"/>
        <v>81.105193</v>
      </c>
      <c r="O141" s="134">
        <f t="shared" si="28"/>
        <v>58.505417000000001</v>
      </c>
    </row>
    <row r="142" spans="1:15">
      <c r="A142" s="215"/>
      <c r="B142" s="122" t="s">
        <v>4</v>
      </c>
      <c r="C142" s="116">
        <f>HLOOKUP(C$117,$86:$115,24,FALSE)</f>
        <v>20.258367</v>
      </c>
      <c r="D142" s="116">
        <f t="shared" ref="D142:O142" si="29">HLOOKUP(D$117,$86:$115,24,FALSE)</f>
        <v>21.187342999999998</v>
      </c>
      <c r="E142" s="116">
        <f t="shared" si="29"/>
        <v>22.647696</v>
      </c>
      <c r="F142" s="116">
        <f t="shared" si="29"/>
        <v>26.043417000000002</v>
      </c>
      <c r="G142" s="116">
        <f t="shared" si="29"/>
        <v>23.718388000000001</v>
      </c>
      <c r="H142" s="116">
        <f t="shared" si="29"/>
        <v>26.993926999999999</v>
      </c>
      <c r="I142" s="116">
        <f t="shared" si="29"/>
        <v>26.63702</v>
      </c>
      <c r="J142" s="116">
        <f t="shared" si="29"/>
        <v>20.951909000000001</v>
      </c>
      <c r="K142" s="116">
        <f t="shared" si="29"/>
        <v>19.857990999999998</v>
      </c>
      <c r="L142" s="116">
        <f t="shared" si="29"/>
        <v>15.894228</v>
      </c>
      <c r="M142" s="116">
        <f t="shared" si="29"/>
        <v>15.168276000000001</v>
      </c>
      <c r="N142" s="116">
        <f t="shared" si="29"/>
        <v>16.287994999999999</v>
      </c>
      <c r="O142" s="134">
        <f t="shared" si="29"/>
        <v>17.690635</v>
      </c>
    </row>
    <row r="143" spans="1:15">
      <c r="A143" s="215"/>
      <c r="B143" s="122" t="s">
        <v>22</v>
      </c>
      <c r="C143" s="116">
        <f>HLOOKUP(C$117,$86:$115,25,FALSE)</f>
        <v>0.84570599999999996</v>
      </c>
      <c r="D143" s="116">
        <f t="shared" ref="D143:O143" si="30">HLOOKUP(D$117,$86:$115,25,FALSE)</f>
        <v>0.82168300000000005</v>
      </c>
      <c r="E143" s="116">
        <f t="shared" si="30"/>
        <v>0.83979599999999999</v>
      </c>
      <c r="F143" s="116">
        <f t="shared" si="30"/>
        <v>0.70590200000000003</v>
      </c>
      <c r="G143" s="116">
        <f t="shared" si="30"/>
        <v>0.78505800000000003</v>
      </c>
      <c r="H143" s="116">
        <f t="shared" si="30"/>
        <v>0.69386000000000003</v>
      </c>
      <c r="I143" s="116">
        <f t="shared" si="30"/>
        <v>0.69097799999999998</v>
      </c>
      <c r="J143" s="116">
        <f t="shared" si="30"/>
        <v>0.64958000000000005</v>
      </c>
      <c r="K143" s="116">
        <f t="shared" si="30"/>
        <v>0.78250799999999998</v>
      </c>
      <c r="L143" s="116">
        <f t="shared" si="30"/>
        <v>0.74004199999999998</v>
      </c>
      <c r="M143" s="116">
        <f t="shared" si="30"/>
        <v>0.75252699999999995</v>
      </c>
      <c r="N143" s="116">
        <f t="shared" si="30"/>
        <v>0.35872300000000001</v>
      </c>
      <c r="O143" s="134">
        <f t="shared" si="30"/>
        <v>0.69978200000000002</v>
      </c>
    </row>
    <row r="144" spans="1:15">
      <c r="A144" s="215"/>
      <c r="B144" s="127" t="s">
        <v>1</v>
      </c>
      <c r="C144" s="128">
        <f>HLOOKUP(C$117,$86:$115,26,FALSE)</f>
        <v>705.861132</v>
      </c>
      <c r="D144" s="128">
        <f t="shared" ref="D144:O144" si="31">HLOOKUP(D$117,$86:$115,26,FALSE)</f>
        <v>682.19336899999996</v>
      </c>
      <c r="E144" s="128">
        <f t="shared" si="31"/>
        <v>548.48013000000003</v>
      </c>
      <c r="F144" s="128">
        <f t="shared" si="31"/>
        <v>581.11590200000001</v>
      </c>
      <c r="G144" s="128">
        <f t="shared" si="31"/>
        <v>602.66584799999998</v>
      </c>
      <c r="H144" s="128">
        <f t="shared" si="31"/>
        <v>679.16076499999997</v>
      </c>
      <c r="I144" s="128">
        <f t="shared" si="31"/>
        <v>712.46704699999998</v>
      </c>
      <c r="J144" s="128">
        <f t="shared" si="31"/>
        <v>684.81878800000004</v>
      </c>
      <c r="K144" s="128">
        <f t="shared" si="31"/>
        <v>674.53157899999997</v>
      </c>
      <c r="L144" s="128">
        <f t="shared" si="31"/>
        <v>651.89183200000002</v>
      </c>
      <c r="M144" s="128">
        <f t="shared" si="31"/>
        <v>665.26356499999997</v>
      </c>
      <c r="N144" s="128">
        <f t="shared" si="31"/>
        <v>647.19379100000003</v>
      </c>
      <c r="O144" s="136">
        <f t="shared" si="31"/>
        <v>575.81760799999995</v>
      </c>
    </row>
    <row r="145" spans="1:26">
      <c r="A145" s="215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6"/>
      <c r="B146" s="137" t="s">
        <v>75</v>
      </c>
      <c r="C146" s="141">
        <f>SUM(C136:C138)</f>
        <v>310.91712099999995</v>
      </c>
      <c r="D146" s="141">
        <f t="shared" ref="D146:O146" si="32">SUM(D136:D138)</f>
        <v>260.14058899999998</v>
      </c>
      <c r="E146" s="141">
        <f t="shared" si="32"/>
        <v>222.93640199999999</v>
      </c>
      <c r="F146" s="141">
        <f t="shared" si="32"/>
        <v>252.956976</v>
      </c>
      <c r="G146" s="141">
        <f t="shared" si="32"/>
        <v>214.832064</v>
      </c>
      <c r="H146" s="141">
        <f t="shared" si="32"/>
        <v>269.88695799999999</v>
      </c>
      <c r="I146" s="141">
        <f t="shared" si="32"/>
        <v>297.66067400000003</v>
      </c>
      <c r="J146" s="141">
        <f t="shared" si="32"/>
        <v>271.16308099999998</v>
      </c>
      <c r="K146" s="141">
        <f t="shared" si="32"/>
        <v>301.03426400000001</v>
      </c>
      <c r="L146" s="141">
        <f t="shared" si="32"/>
        <v>287.12516499999998</v>
      </c>
      <c r="M146" s="141">
        <f t="shared" si="32"/>
        <v>272.274542</v>
      </c>
      <c r="N146" s="141">
        <f t="shared" si="32"/>
        <v>267.49094000000002</v>
      </c>
      <c r="O146" s="142">
        <f t="shared" si="32"/>
        <v>227.675399</v>
      </c>
    </row>
    <row r="149" spans="1:26" ht="15">
      <c r="A149" s="174"/>
      <c r="B149" s="174" t="s">
        <v>68</v>
      </c>
      <c r="C149" s="213" t="s">
        <v>57</v>
      </c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90" t="s">
        <v>90</v>
      </c>
      <c r="D150" s="190" t="s">
        <v>91</v>
      </c>
      <c r="E150" s="190" t="s">
        <v>92</v>
      </c>
      <c r="F150" s="190" t="s">
        <v>93</v>
      </c>
      <c r="G150" s="190" t="s">
        <v>94</v>
      </c>
      <c r="H150" s="190" t="s">
        <v>95</v>
      </c>
      <c r="I150" s="190" t="s">
        <v>96</v>
      </c>
      <c r="J150" s="190" t="s">
        <v>97</v>
      </c>
      <c r="K150" s="190" t="s">
        <v>98</v>
      </c>
      <c r="L150" s="190" t="s">
        <v>99</v>
      </c>
      <c r="M150" s="190" t="s">
        <v>100</v>
      </c>
      <c r="N150" s="190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119</v>
      </c>
      <c r="B152" s="176" t="s">
        <v>120</v>
      </c>
      <c r="C152" s="184">
        <v>-0.10346</v>
      </c>
      <c r="D152" s="184">
        <v>-1.0499999999999999E-3</v>
      </c>
      <c r="E152" s="184">
        <v>5.3099999999999996E-3</v>
      </c>
      <c r="F152" s="184">
        <v>-0.10772</v>
      </c>
      <c r="G152" s="184">
        <v>-3.1960000000000002E-2</v>
      </c>
      <c r="H152" s="184">
        <v>-4.5199999999999997E-3</v>
      </c>
      <c r="I152" s="184">
        <v>2.6929999999999999E-2</v>
      </c>
      <c r="J152" s="184">
        <v>-5.4370000000000002E-2</v>
      </c>
      <c r="K152" s="184">
        <v>-0.19205</v>
      </c>
      <c r="L152" s="184">
        <v>-1.08E-3</v>
      </c>
      <c r="M152" s="184">
        <v>-3.9399999999999999E-3</v>
      </c>
      <c r="N152" s="184">
        <v>-0.18703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5" spans="1:26" ht="15">
      <c r="A155" s="174"/>
      <c r="B155" s="174" t="s">
        <v>68</v>
      </c>
      <c r="C155" s="213" t="s">
        <v>58</v>
      </c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90" t="s">
        <v>90</v>
      </c>
      <c r="D156" s="190" t="s">
        <v>91</v>
      </c>
      <c r="E156" s="190" t="s">
        <v>92</v>
      </c>
      <c r="F156" s="190" t="s">
        <v>93</v>
      </c>
      <c r="G156" s="190" t="s">
        <v>94</v>
      </c>
      <c r="H156" s="190" t="s">
        <v>95</v>
      </c>
      <c r="I156" s="190" t="s">
        <v>96</v>
      </c>
      <c r="J156" s="190" t="s">
        <v>97</v>
      </c>
      <c r="K156" s="190" t="s">
        <v>98</v>
      </c>
      <c r="L156" s="190" t="s">
        <v>99</v>
      </c>
      <c r="M156" s="190" t="s">
        <v>100</v>
      </c>
      <c r="N156" s="190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119</v>
      </c>
      <c r="B158" s="176" t="s">
        <v>120</v>
      </c>
      <c r="C158" s="184">
        <v>-0.18423</v>
      </c>
      <c r="D158" s="184">
        <v>-2.7E-4</v>
      </c>
      <c r="E158" s="184">
        <v>1.5399999999999999E-3</v>
      </c>
      <c r="F158" s="184">
        <v>-0.1855</v>
      </c>
      <c r="G158" s="184">
        <v>-0.16392999999999999</v>
      </c>
      <c r="H158" s="184">
        <v>-6.8000000000000005E-4</v>
      </c>
      <c r="I158" s="184">
        <v>7.1000000000000002E-4</v>
      </c>
      <c r="J158" s="184">
        <v>-0.16395999999999999</v>
      </c>
      <c r="K158" s="184">
        <v>-0.13458000000000001</v>
      </c>
      <c r="L158" s="184">
        <v>4.4999999999999999E-4</v>
      </c>
      <c r="M158" s="184">
        <v>1.48E-3</v>
      </c>
      <c r="N158" s="184">
        <v>-0.13650999999999999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5"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Q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Febrero 2021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5" t="s">
        <v>47</v>
      </c>
      <c r="E7" s="77"/>
      <c r="F7" s="196" t="str">
        <f>K3</f>
        <v>Febrero 2021</v>
      </c>
      <c r="G7" s="197"/>
      <c r="H7" s="197" t="s">
        <v>37</v>
      </c>
      <c r="I7" s="197"/>
      <c r="J7" s="197" t="s">
        <v>38</v>
      </c>
      <c r="K7" s="197"/>
    </row>
    <row r="8" spans="3:12">
      <c r="C8" s="195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80" t="str">
        <f>G8</f>
        <v>% 21/20</v>
      </c>
      <c r="J8" s="79" t="s">
        <v>13</v>
      </c>
      <c r="K8" s="80" t="str">
        <f>G8</f>
        <v>% 21/20</v>
      </c>
    </row>
    <row r="9" spans="3:12">
      <c r="C9" s="81"/>
      <c r="E9" s="82" t="s">
        <v>39</v>
      </c>
      <c r="F9" s="83">
        <f>Dat_01!R24/1000</f>
        <v>361.69700499999999</v>
      </c>
      <c r="G9" s="164">
        <f>Dat_01!T24*100</f>
        <v>-10.345845880000001</v>
      </c>
      <c r="H9" s="83">
        <f>Dat_01!U24/1000</f>
        <v>832.41707999999994</v>
      </c>
      <c r="I9" s="164">
        <f>Dat_01!W24*100</f>
        <v>-3.1960495399999997</v>
      </c>
      <c r="J9" s="83">
        <f>Dat_01!X24/1000</f>
        <v>4913.9687780000004</v>
      </c>
      <c r="K9" s="164">
        <f>Dat_01!Y24*100</f>
        <v>-19.204530850000001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-0.105</v>
      </c>
      <c r="H12" s="103"/>
      <c r="I12" s="103">
        <f>Dat_01!H152*100</f>
        <v>-0.45199999999999996</v>
      </c>
      <c r="J12" s="103"/>
      <c r="K12" s="103">
        <f>Dat_01!L152*100</f>
        <v>-0.108</v>
      </c>
    </row>
    <row r="13" spans="3:12">
      <c r="E13" s="85" t="s">
        <v>42</v>
      </c>
      <c r="F13" s="84"/>
      <c r="G13" s="103">
        <f>Dat_01!E152*100</f>
        <v>0.53099999999999992</v>
      </c>
      <c r="H13" s="103"/>
      <c r="I13" s="103">
        <f>Dat_01!I152*100</f>
        <v>2.6930000000000001</v>
      </c>
      <c r="J13" s="103"/>
      <c r="K13" s="103">
        <f>Dat_01!M152*100</f>
        <v>-0.39400000000000002</v>
      </c>
    </row>
    <row r="14" spans="3:12">
      <c r="E14" s="86" t="s">
        <v>43</v>
      </c>
      <c r="F14" s="87"/>
      <c r="G14" s="104">
        <f>Dat_01!F152*100</f>
        <v>-10.772</v>
      </c>
      <c r="H14" s="104"/>
      <c r="I14" s="104">
        <f>Dat_01!J152*100</f>
        <v>-5.4370000000000003</v>
      </c>
      <c r="J14" s="104"/>
      <c r="K14" s="104">
        <f>Dat_01!N152*100</f>
        <v>-18.702999999999999</v>
      </c>
    </row>
    <row r="15" spans="3:12">
      <c r="E15" s="198" t="s">
        <v>44</v>
      </c>
      <c r="F15" s="198"/>
      <c r="G15" s="198"/>
      <c r="H15" s="198"/>
      <c r="I15" s="198"/>
      <c r="J15" s="198"/>
      <c r="K15" s="198"/>
    </row>
    <row r="16" spans="3:12" ht="21.75" customHeight="1">
      <c r="E16" s="194" t="s">
        <v>45</v>
      </c>
      <c r="F16" s="194"/>
      <c r="G16" s="194"/>
      <c r="H16" s="194"/>
      <c r="I16" s="194"/>
      <c r="J16" s="194"/>
      <c r="K16" s="194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Febrero 2021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5" t="s">
        <v>48</v>
      </c>
      <c r="E7" s="77"/>
      <c r="F7" s="196" t="str">
        <f>K3</f>
        <v>Febrero 2021</v>
      </c>
      <c r="G7" s="197"/>
      <c r="H7" s="197" t="s">
        <v>37</v>
      </c>
      <c r="I7" s="197"/>
      <c r="J7" s="197" t="s">
        <v>38</v>
      </c>
      <c r="K7" s="197"/>
    </row>
    <row r="8" spans="3:12">
      <c r="C8" s="195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107" t="str">
        <f>G8</f>
        <v>% 21/20</v>
      </c>
      <c r="J8" s="79" t="s">
        <v>13</v>
      </c>
      <c r="K8" s="107" t="str">
        <f>G8</f>
        <v>% 21/20</v>
      </c>
    </row>
    <row r="9" spans="3:12">
      <c r="C9" s="81"/>
      <c r="E9" s="82" t="s">
        <v>39</v>
      </c>
      <c r="F9" s="83">
        <f>Dat_01!Z24/1000</f>
        <v>575.81760800000006</v>
      </c>
      <c r="G9" s="164">
        <f>Dat_01!AB24*100</f>
        <v>-18.423386430000001</v>
      </c>
      <c r="H9" s="83">
        <f>Dat_01!AC24/1000</f>
        <v>1223.011399</v>
      </c>
      <c r="I9" s="164">
        <f>Dat_01!AE24*100</f>
        <v>-16.39327346</v>
      </c>
      <c r="J9" s="83">
        <f>Dat_01!AF24/1000</f>
        <v>7705.6002240000007</v>
      </c>
      <c r="K9" s="164">
        <f>Dat_01!AG24*100</f>
        <v>-13.45786302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-2.7E-2</v>
      </c>
      <c r="H12" s="103"/>
      <c r="I12" s="103">
        <f>Dat_01!H158*100</f>
        <v>-6.8000000000000005E-2</v>
      </c>
      <c r="J12" s="103"/>
      <c r="K12" s="103">
        <f>Dat_01!L158*100</f>
        <v>4.4999999999999998E-2</v>
      </c>
    </row>
    <row r="13" spans="3:12">
      <c r="E13" s="85" t="s">
        <v>42</v>
      </c>
      <c r="F13" s="84"/>
      <c r="G13" s="103">
        <f>Dat_01!E158*100</f>
        <v>0.154</v>
      </c>
      <c r="H13" s="103"/>
      <c r="I13" s="103">
        <f>Dat_01!I158*100</f>
        <v>7.1000000000000008E-2</v>
      </c>
      <c r="J13" s="103"/>
      <c r="K13" s="103">
        <f>Dat_01!M158*100</f>
        <v>0.14799999999999999</v>
      </c>
    </row>
    <row r="14" spans="3:12">
      <c r="E14" s="86" t="s">
        <v>43</v>
      </c>
      <c r="F14" s="87"/>
      <c r="G14" s="104">
        <f>Dat_01!F158*100</f>
        <v>-18.55</v>
      </c>
      <c r="H14" s="104"/>
      <c r="I14" s="104">
        <f>Dat_01!J158*100</f>
        <v>-16.396000000000001</v>
      </c>
      <c r="J14" s="104"/>
      <c r="K14" s="104">
        <f>Dat_01!N158*100</f>
        <v>-13.651</v>
      </c>
    </row>
    <row r="15" spans="3:12">
      <c r="E15" s="198" t="s">
        <v>44</v>
      </c>
      <c r="F15" s="198"/>
      <c r="G15" s="198"/>
      <c r="H15" s="198"/>
      <c r="I15" s="198"/>
      <c r="J15" s="198"/>
      <c r="K15" s="198"/>
    </row>
    <row r="16" spans="3:12" ht="21.75" customHeight="1">
      <c r="E16" s="194" t="s">
        <v>45</v>
      </c>
      <c r="F16" s="194"/>
      <c r="G16" s="194"/>
      <c r="H16" s="194"/>
      <c r="I16" s="194"/>
      <c r="J16" s="194"/>
      <c r="K16" s="194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126</v>
      </c>
    </row>
    <row r="2" spans="1:2">
      <c r="A2" t="s">
        <v>121</v>
      </c>
    </row>
    <row r="3" spans="1:2">
      <c r="A3" t="s">
        <v>122</v>
      </c>
    </row>
    <row r="4" spans="1:2">
      <c r="A4" t="s">
        <v>124</v>
      </c>
    </row>
    <row r="5" spans="1:2">
      <c r="A5" t="s">
        <v>125</v>
      </c>
    </row>
    <row r="6" spans="1:2">
      <c r="A6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L12" sqref="L12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Febrero 2021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9" t="s">
        <v>18</v>
      </c>
      <c r="E7" s="31"/>
      <c r="F7" s="200" t="s">
        <v>17</v>
      </c>
      <c r="G7" s="201"/>
      <c r="H7" s="200" t="s">
        <v>16</v>
      </c>
      <c r="I7" s="201"/>
      <c r="J7" s="200" t="s">
        <v>15</v>
      </c>
      <c r="K7" s="201"/>
      <c r="L7" s="200" t="s">
        <v>14</v>
      </c>
      <c r="M7" s="201"/>
    </row>
    <row r="8" spans="3:23" s="28" customFormat="1" ht="12.75" customHeight="1">
      <c r="C8" s="199"/>
      <c r="E8" s="30"/>
      <c r="F8" s="29" t="s">
        <v>13</v>
      </c>
      <c r="G8" s="105" t="str">
        <f>CONCATENATE("% ",RIGHT(M3,2),"/",RIGHT(M3,2)-1)</f>
        <v>% 21/20</v>
      </c>
      <c r="H8" s="29" t="s">
        <v>13</v>
      </c>
      <c r="I8" s="105" t="str">
        <f>G8</f>
        <v>% 21/20</v>
      </c>
      <c r="J8" s="29" t="s">
        <v>13</v>
      </c>
      <c r="K8" s="105" t="str">
        <f>I8</f>
        <v>% 21/20</v>
      </c>
      <c r="L8" s="29" t="s">
        <v>13</v>
      </c>
      <c r="M8" s="105" t="str">
        <f>K8</f>
        <v>% 21/20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0.25852999999999998</v>
      </c>
      <c r="I9" s="17">
        <f>IF(Dat_01!AB8*100=-100,"-",Dat_01!AB8)</f>
        <v>-3.4218685800000002E-2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1.226483</v>
      </c>
      <c r="I10" s="17">
        <f>Dat_01!AB15*100</f>
        <v>-8.3698725799999991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0.15948300000000001</v>
      </c>
      <c r="G11" s="17">
        <f>Dat_01!T16*100</f>
        <v>-52.993138330000001</v>
      </c>
      <c r="H11" s="153">
        <f>Dat_01!Z16/1000</f>
        <v>58.505417000000001</v>
      </c>
      <c r="I11" s="17">
        <f>Dat_01!AB16*100</f>
        <v>-37.195792650000001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9.4941250000000004</v>
      </c>
      <c r="G12" s="17">
        <f>Dat_01!T17*100</f>
        <v>8.67657846</v>
      </c>
      <c r="H12" s="153">
        <f>Dat_01!Z17/1000</f>
        <v>17.690634999999997</v>
      </c>
      <c r="I12" s="17">
        <f>Dat_01!AB17*100</f>
        <v>-12.67492094</v>
      </c>
      <c r="J12" s="153" t="s">
        <v>3</v>
      </c>
      <c r="K12" s="17" t="s">
        <v>3</v>
      </c>
      <c r="L12" s="153">
        <f>Dat_01!J17/1000</f>
        <v>4.8859999999999997E-3</v>
      </c>
      <c r="M12" s="17">
        <f>IF(Dat_01!L17*100=-100,"-",Dat_01!L17*100)</f>
        <v>-9.6857671000000014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7.6888000000000012E-2</v>
      </c>
      <c r="G13" s="17">
        <f>Dat_01!T18*100</f>
        <v>-5.7999068899999999</v>
      </c>
      <c r="H13" s="153">
        <f>Dat_01!Z18/1000</f>
        <v>0.69978200000000002</v>
      </c>
      <c r="I13" s="17">
        <f>IF(Dat_01!AB18*100=-100,"-",Dat_01!AB18)</f>
        <v>-0.17254696080000001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10.723705000000001</v>
      </c>
      <c r="G14" s="17">
        <f>Dat_01!T21*100</f>
        <v>75.927273299999996</v>
      </c>
      <c r="H14" s="153" t="s">
        <v>3</v>
      </c>
      <c r="I14" s="17" t="s">
        <v>3</v>
      </c>
      <c r="J14" s="153" t="s">
        <v>3</v>
      </c>
      <c r="K14" s="17" t="s">
        <v>3</v>
      </c>
      <c r="L14" s="153">
        <f>Dat_01!J21/1000</f>
        <v>0.57388800000000006</v>
      </c>
      <c r="M14" s="17">
        <f>Dat_01!L21*100</f>
        <v>45.5336663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20.454201000000001</v>
      </c>
      <c r="G15" s="173">
        <f>((SUM(Dat_01!R8,Dat_01!R15:R18,Dat_01!R20)/SUM(Dat_01!S8,Dat_01!S15:S18,Dat_01!S20))-1)*100</f>
        <v>34.103405205644499</v>
      </c>
      <c r="H15" s="172">
        <f>SUM(H9:H14)</f>
        <v>78.380847000000003</v>
      </c>
      <c r="I15" s="173">
        <f>((SUM(Dat_01!Z8,Dat_01!Z15:Z18,Dat_01!Z20)/SUM(Dat_01!AA8,Dat_01!AA15:AA18,Dat_01!AA20))-1)*100</f>
        <v>-32.351884398680816</v>
      </c>
      <c r="J15" s="172" t="s">
        <v>3</v>
      </c>
      <c r="K15" s="173" t="s">
        <v>3</v>
      </c>
      <c r="L15" s="172">
        <f>SUM(L9:L14)</f>
        <v>0.57877400000000001</v>
      </c>
      <c r="M15" s="173">
        <f>((SUM(Dat_01!J8,Dat_01!J15:J18,Dat_01!J21)/SUM(Dat_01!K8,Dat_01!K15:K18,Dat_01!K20))-1)*100</f>
        <v>44.786344243245971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-0.606159</v>
      </c>
      <c r="G16" s="17" t="s">
        <v>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18.940327</v>
      </c>
      <c r="G17" s="24">
        <f>((SUM(Dat_01!R10,Dat_01!R14)/SUM(Dat_01!S10,Dat_01!S14))-1)*100</f>
        <v>-6.2881820206343475</v>
      </c>
      <c r="H17" s="154">
        <f>Dat_01!Z10/1000</f>
        <v>112.35952499999999</v>
      </c>
      <c r="I17" s="24">
        <f>Dat_01!AB10*100</f>
        <v>-30.080227059999999</v>
      </c>
      <c r="J17" s="154">
        <f>Dat_01!B10/1000</f>
        <v>15.212183999999999</v>
      </c>
      <c r="K17" s="24">
        <f>Dat_01!D10*100</f>
        <v>-3.5325971200000001</v>
      </c>
      <c r="L17" s="154">
        <f>Dat_01!J10/1000</f>
        <v>13.906031</v>
      </c>
      <c r="M17" s="24">
        <f>Dat_01!L10*100</f>
        <v>-7.4292550299999993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7.6657600000000006</v>
      </c>
      <c r="G18" s="24">
        <f>Dat_01!T11*100</f>
        <v>-55.910042400000002</v>
      </c>
      <c r="H18" s="154">
        <f>Dat_01!Z11/1000</f>
        <v>10.355027</v>
      </c>
      <c r="I18" s="24">
        <f>Dat_01!AB11*100</f>
        <v>-52.652324800000002</v>
      </c>
      <c r="J18" s="154">
        <f>Dat_01!B11/1000</f>
        <v>3.0539999999999999E-3</v>
      </c>
      <c r="K18" s="24">
        <f>IF(Dat_01!D11=-100%,"-",Dat_01!D11*100)</f>
        <v>300.26212320000002</v>
      </c>
      <c r="L18" s="154">
        <f>Dat_01!J11/1000</f>
        <v>2.2890000000000002E-3</v>
      </c>
      <c r="M18" s="24">
        <f>Dat_01!L11*100</f>
        <v>96.480686699999993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104.960847</v>
      </c>
      <c r="I19" s="24">
        <f>Dat_01!AB12*100</f>
        <v>-18.222403919999998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26.606087000000002</v>
      </c>
      <c r="G20" s="17">
        <f>((SUM(Dat_01!R10:R12,Dat_01!R14)/SUM(Dat_01!S10:S12,Dat_01!S14))-1)*100</f>
        <v>-29.235144149875246</v>
      </c>
      <c r="H20" s="153">
        <f>SUM(H17:H19)</f>
        <v>227.675399</v>
      </c>
      <c r="I20" s="17">
        <f>(H20/(H17/(I17/100+1)+H18/(I18/100+1)+H19/(I19/100+1))-1)*100</f>
        <v>-26.772961789216865</v>
      </c>
      <c r="J20" s="153">
        <f>SUM(J17:J19)</f>
        <v>15.215237999999999</v>
      </c>
      <c r="K20" s="17">
        <f>((SUM(Dat_01!B10:B12)/SUM(Dat_01!C10:C12))-1)*100</f>
        <v>-3.517898624167104</v>
      </c>
      <c r="L20" s="153">
        <f>SUM(L17:L19)</f>
        <v>13.90832</v>
      </c>
      <c r="M20" s="17">
        <f>(L20/(L17/(M17/100+1)+L18/(M18/100+1))-1)*100</f>
        <v>-7.4211971663767144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187.465463</v>
      </c>
      <c r="G21" s="17">
        <f>Dat_01!T13*100</f>
        <v>-17.114424960000001</v>
      </c>
      <c r="H21" s="153">
        <f>Dat_01!Z13/1000</f>
        <v>269.76136200000002</v>
      </c>
      <c r="I21" s="17">
        <f>Dat_01!AB13*100</f>
        <v>-3.3385304099999997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3.641699</v>
      </c>
      <c r="G22" s="17">
        <f>Dat_01!T19*100</f>
        <v>-2.7581374700000003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10.723705000000001</v>
      </c>
      <c r="G23" s="17">
        <f>Dat_01!T20*100</f>
        <v>75.927273299999996</v>
      </c>
      <c r="H23" s="153" t="s">
        <v>3</v>
      </c>
      <c r="I23" s="17" t="s">
        <v>3</v>
      </c>
      <c r="J23" s="153" t="s">
        <v>3</v>
      </c>
      <c r="K23" s="17" t="s">
        <v>3</v>
      </c>
      <c r="L23" s="153">
        <f>Dat_01!J20/1000</f>
        <v>0.57388800000000006</v>
      </c>
      <c r="M23" s="17">
        <f>Dat_01!L20*100</f>
        <v>45.5336663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227.83079499999999</v>
      </c>
      <c r="G24" s="173">
        <f>((SUM(Dat_01!R9:R14,Dat_01!R19,Dat_01!R21)/SUM(Dat_01!S9:S14,Dat_01!S19,Dat_01!S21))-1)*100</f>
        <v>-16.317069831947606</v>
      </c>
      <c r="H24" s="155">
        <f>SUM(H16,H20:H23)</f>
        <v>497.43676100000005</v>
      </c>
      <c r="I24" s="173">
        <f>((SUM(Dat_01!Z9:Z14,Dat_01!Z19,Dat_01!Z21)/SUM(Dat_01!AA9:AA14,Dat_01!AA19,Dat_01!AA21))-1)*100</f>
        <v>-15.688056237937765</v>
      </c>
      <c r="J24" s="155">
        <f>SUM(J16,J20:J23)</f>
        <v>15.215237999999999</v>
      </c>
      <c r="K24" s="173">
        <f>((SUM(Dat_01!B9:B14,Dat_01!B19,Dat_01!B21)/SUM(Dat_01!C9:C14,Dat_01!C19,Dat_01!C21))-1)*100</f>
        <v>-3.517898624167104</v>
      </c>
      <c r="L24" s="155">
        <f>SUM(L16,L20:L23)</f>
        <v>14.482208</v>
      </c>
      <c r="M24" s="173">
        <f>((SUM(Dat_01!J9:J14,Dat_01!J19,Dat_01!J21)/SUM(Dat_01!K9:K14,Dat_01!K19,Dat_01!K21))-1)*100</f>
        <v>-6.0667752376973638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113.41200900000001</v>
      </c>
      <c r="G25" s="14">
        <f>Dat_01!T23*100</f>
        <v>-2.1707242500000001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361.69700499999999</v>
      </c>
      <c r="G26" s="11">
        <f>Dat_01!T24*100</f>
        <v>-10.345845880000001</v>
      </c>
      <c r="H26" s="157">
        <f>Dat_01!Z24/1000</f>
        <v>575.81760800000006</v>
      </c>
      <c r="I26" s="11">
        <f>Dat_01!AB24*100</f>
        <v>-18.423386430000001</v>
      </c>
      <c r="J26" s="157">
        <f>Dat_01!B24/1000</f>
        <v>15.215237999999999</v>
      </c>
      <c r="K26" s="11">
        <f>Dat_01!D24*100</f>
        <v>-3.51789862</v>
      </c>
      <c r="L26" s="157">
        <f>Dat_01!J24/1000</f>
        <v>15.060981999999999</v>
      </c>
      <c r="M26" s="11">
        <f>Dat_01!L24*100</f>
        <v>-4.7815872500000003</v>
      </c>
      <c r="N26" s="10"/>
      <c r="O26" s="10"/>
    </row>
    <row r="27" spans="3:23" s="2" customFormat="1" ht="16.350000000000001" customHeight="1">
      <c r="C27" s="13"/>
      <c r="E27" s="204" t="s">
        <v>56</v>
      </c>
      <c r="F27" s="204"/>
      <c r="G27" s="204"/>
      <c r="H27" s="204"/>
      <c r="I27" s="204"/>
      <c r="J27" s="204"/>
      <c r="K27" s="204"/>
      <c r="L27" s="170"/>
      <c r="M27" s="171"/>
      <c r="N27" s="10"/>
      <c r="O27" s="10"/>
    </row>
    <row r="28" spans="3:23" s="2" customFormat="1" ht="34.5" customHeight="1">
      <c r="C28" s="13"/>
      <c r="E28" s="205" t="s">
        <v>108</v>
      </c>
      <c r="F28" s="205"/>
      <c r="G28" s="205"/>
      <c r="H28" s="205"/>
      <c r="I28" s="205"/>
      <c r="J28" s="205"/>
      <c r="K28" s="205"/>
      <c r="L28" s="205"/>
      <c r="M28" s="205"/>
      <c r="N28" s="10"/>
      <c r="O28" s="10"/>
    </row>
    <row r="29" spans="3:23" s="2" customFormat="1" ht="12.75" customHeight="1">
      <c r="C29" s="8"/>
      <c r="D29" s="8"/>
      <c r="E29" s="203" t="s">
        <v>0</v>
      </c>
      <c r="F29" s="203"/>
      <c r="G29" s="203"/>
      <c r="H29" s="203"/>
      <c r="I29" s="203"/>
      <c r="J29" s="203"/>
      <c r="K29" s="203"/>
      <c r="L29" s="203"/>
      <c r="M29" s="203"/>
      <c r="O29" s="9"/>
    </row>
    <row r="30" spans="3:23" s="7" customFormat="1" ht="12.75" customHeight="1">
      <c r="E30" s="202" t="s">
        <v>82</v>
      </c>
      <c r="F30" s="202"/>
      <c r="G30" s="202"/>
      <c r="H30" s="202"/>
      <c r="I30" s="202"/>
      <c r="J30" s="202"/>
      <c r="K30" s="202"/>
      <c r="L30" s="202"/>
      <c r="M30" s="202"/>
    </row>
    <row r="31" spans="3:23" s="2" customFormat="1" ht="12.75" customHeight="1">
      <c r="C31" s="8"/>
      <c r="D31" s="8"/>
      <c r="E31" s="202" t="s">
        <v>85</v>
      </c>
      <c r="F31" s="202"/>
      <c r="G31" s="202"/>
      <c r="H31" s="202"/>
      <c r="I31" s="202"/>
      <c r="J31" s="202"/>
      <c r="K31" s="202"/>
      <c r="L31" s="202"/>
      <c r="M31" s="202"/>
    </row>
    <row r="32" spans="3:23" ht="12.75" customHeight="1">
      <c r="C32" s="1"/>
      <c r="D32" s="1"/>
      <c r="E32" s="202" t="s">
        <v>86</v>
      </c>
      <c r="F32" s="202"/>
      <c r="G32" s="202"/>
      <c r="H32" s="202"/>
      <c r="I32" s="202"/>
      <c r="J32" s="202"/>
      <c r="K32" s="202"/>
      <c r="L32" s="202"/>
      <c r="M32" s="202"/>
    </row>
    <row r="33" spans="3:13" ht="12.75" customHeight="1">
      <c r="C33" s="1"/>
      <c r="D33" s="1"/>
      <c r="E33" s="202"/>
      <c r="F33" s="202"/>
      <c r="G33" s="202"/>
      <c r="H33" s="202"/>
      <c r="I33" s="202"/>
      <c r="J33" s="202"/>
      <c r="K33" s="202"/>
      <c r="L33" s="202"/>
      <c r="M33" s="202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K20:L20 G24 I24 K24 I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E42" sqref="E42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Febrero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6" t="s">
        <v>31</v>
      </c>
      <c r="D7" s="44"/>
      <c r="E7" s="48"/>
    </row>
    <row r="8" spans="2:12" s="38" customFormat="1" ht="12.75" customHeight="1">
      <c r="B8" s="46"/>
      <c r="C8" s="206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2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6" t="s">
        <v>28</v>
      </c>
      <c r="E24" s="42"/>
      <c r="J24" s="38"/>
      <c r="K24" s="38"/>
    </row>
    <row r="25" spans="2:12">
      <c r="C25" s="206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Febrero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7" t="s">
        <v>32</v>
      </c>
      <c r="D7" s="64"/>
      <c r="E7" s="68"/>
    </row>
    <row r="8" spans="1:20" s="56" customFormat="1" ht="12.75" customHeight="1">
      <c r="A8" s="67"/>
      <c r="B8" s="66"/>
      <c r="C8" s="207"/>
      <c r="D8" s="64"/>
      <c r="E8" s="68"/>
      <c r="F8" s="63"/>
    </row>
    <row r="9" spans="1:20" s="56" customFormat="1" ht="12.75" customHeight="1">
      <c r="A9" s="67"/>
      <c r="B9" s="66"/>
      <c r="C9" s="207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E42" sqref="E42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Febrero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6" t="s">
        <v>35</v>
      </c>
      <c r="D7" s="44"/>
      <c r="E7" s="48"/>
    </row>
    <row r="8" spans="2:12" s="38" customFormat="1" ht="12.75" customHeight="1">
      <c r="B8" s="46"/>
      <c r="C8" s="206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6" t="s">
        <v>49</v>
      </c>
      <c r="E24" s="42"/>
      <c r="J24" s="38"/>
      <c r="K24" s="38"/>
    </row>
    <row r="25" spans="2:12">
      <c r="C25" s="206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Febrero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7" t="s">
        <v>36</v>
      </c>
      <c r="D7" s="64"/>
      <c r="E7" s="68"/>
    </row>
    <row r="8" spans="1:20" s="56" customFormat="1" ht="12.75" customHeight="1">
      <c r="A8" s="67"/>
      <c r="B8" s="66"/>
      <c r="C8" s="207"/>
      <c r="D8" s="64"/>
      <c r="E8" s="68"/>
      <c r="F8" s="63"/>
    </row>
    <row r="9" spans="1:20" s="56" customFormat="1" ht="12.75" customHeight="1">
      <c r="A9" s="67"/>
      <c r="B9" s="66"/>
      <c r="C9" s="207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2021-03-11T07:37:22Z</dcterms:modified>
</cp:coreProperties>
</file>