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FEB\INF_ELABORADA\"/>
    </mc:Choice>
  </mc:AlternateContent>
  <xr:revisionPtr revIDLastSave="0" documentId="13_ncr:1_{8F9A1C53-B99D-41CF-84D3-BFE9611696CF}" xr6:coauthVersionLast="41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Dat_01!$A$85:$Q$112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8" i="18" l="1"/>
  <c r="B52" i="18"/>
  <c r="C71" i="18" l="1"/>
  <c r="C79" i="18"/>
  <c r="C78" i="18"/>
  <c r="C77" i="18"/>
  <c r="C76" i="18"/>
  <c r="C75" i="18"/>
  <c r="C74" i="18"/>
  <c r="C73" i="18"/>
  <c r="C70" i="18"/>
  <c r="C69" i="18"/>
  <c r="C68" i="18"/>
  <c r="D68" i="18" l="1"/>
  <c r="D73" i="18"/>
  <c r="D77" i="18"/>
  <c r="D75" i="18"/>
  <c r="D69" i="18"/>
  <c r="D76" i="18"/>
  <c r="D78" i="18"/>
  <c r="D74" i="18"/>
  <c r="D70" i="18"/>
  <c r="C80" i="18"/>
  <c r="B70" i="18" s="1"/>
  <c r="D71" i="18" l="1"/>
  <c r="B78" i="18"/>
  <c r="B73" i="18"/>
  <c r="B75" i="18"/>
  <c r="B77" i="18"/>
  <c r="B69" i="18"/>
  <c r="B79" i="18"/>
  <c r="B76" i="18"/>
  <c r="B74" i="18"/>
  <c r="B62" i="18"/>
  <c r="B61" i="18"/>
  <c r="B60" i="18"/>
  <c r="B59" i="18"/>
  <c r="B58" i="18"/>
  <c r="B57" i="18"/>
  <c r="B55" i="18"/>
  <c r="B53" i="18"/>
  <c r="B54" i="18"/>
  <c r="G52" i="18"/>
  <c r="G53" i="18"/>
  <c r="G54" i="18"/>
  <c r="G55" i="18"/>
  <c r="B71" i="18" l="1"/>
  <c r="B80" i="18" s="1"/>
  <c r="G16" i="22"/>
  <c r="O117" i="18"/>
  <c r="O119" i="18" s="1"/>
  <c r="B47" i="18" l="1"/>
  <c r="C47" i="18"/>
  <c r="M12" i="22" l="1"/>
  <c r="C26" i="18" l="1"/>
  <c r="B26" i="18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K18" i="22" l="1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M18" i="22"/>
  <c r="L18" i="22"/>
  <c r="J18" i="22"/>
  <c r="I18" i="22"/>
  <c r="H18" i="22"/>
  <c r="G18" i="22"/>
  <c r="F18" i="22"/>
  <c r="F20" i="22" s="1"/>
  <c r="M17" i="22"/>
  <c r="L17" i="22"/>
  <c r="K17" i="22"/>
  <c r="J17" i="22"/>
  <c r="J20" i="22" s="1"/>
  <c r="I17" i="22"/>
  <c r="H17" i="22"/>
  <c r="G17" i="22"/>
  <c r="F16" i="22"/>
  <c r="M15" i="22"/>
  <c r="I15" i="22"/>
  <c r="G15" i="22"/>
  <c r="M14" i="22"/>
  <c r="L14" i="22"/>
  <c r="G14" i="22"/>
  <c r="F14" i="22"/>
  <c r="I13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I9" i="22"/>
  <c r="H9" i="22"/>
  <c r="L15" i="22" l="1"/>
  <c r="K20" i="22"/>
  <c r="L20" i="22"/>
  <c r="L24" i="22" s="1"/>
  <c r="H15" i="22"/>
  <c r="F15" i="22"/>
  <c r="F24" i="22"/>
  <c r="H20" i="22"/>
  <c r="I20" i="22" s="1"/>
  <c r="J24" i="22"/>
  <c r="M20" i="22" l="1"/>
  <c r="H24" i="22"/>
  <c r="G77" i="18" l="1"/>
  <c r="G76" i="18"/>
  <c r="G75" i="18"/>
  <c r="G72" i="18"/>
  <c r="G73" i="18"/>
  <c r="G70" i="18"/>
  <c r="G69" i="18"/>
  <c r="G68" i="18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6" i="18"/>
  <c r="O140" i="18"/>
  <c r="O135" i="18"/>
  <c r="O139" i="18"/>
  <c r="O143" i="18"/>
  <c r="O138" i="18"/>
  <c r="O137" i="18"/>
  <c r="O141" i="18"/>
  <c r="O142" i="18"/>
  <c r="O144" i="18"/>
  <c r="N117" i="18"/>
  <c r="O121" i="18"/>
  <c r="O122" i="18"/>
  <c r="O124" i="18"/>
  <c r="O125" i="18"/>
  <c r="O126" i="18"/>
  <c r="O127" i="18"/>
  <c r="O128" i="18"/>
  <c r="O129" i="18"/>
  <c r="O130" i="18"/>
  <c r="O131" i="18"/>
  <c r="O132" i="18"/>
  <c r="O133" i="18" l="1"/>
  <c r="N120" i="18"/>
  <c r="N123" i="18"/>
  <c r="N135" i="18"/>
  <c r="N136" i="18"/>
  <c r="N137" i="18"/>
  <c r="N138" i="18"/>
  <c r="N139" i="18"/>
  <c r="N140" i="18"/>
  <c r="N141" i="18"/>
  <c r="N143" i="18"/>
  <c r="N142" i="18"/>
  <c r="N144" i="18"/>
  <c r="M117" i="18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O146" i="18"/>
  <c r="M120" i="18" l="1"/>
  <c r="M123" i="18"/>
  <c r="N133" i="18"/>
  <c r="N146" i="18"/>
  <c r="M135" i="18"/>
  <c r="M136" i="18"/>
  <c r="M137" i="18"/>
  <c r="M138" i="18"/>
  <c r="M139" i="18"/>
  <c r="M140" i="18"/>
  <c r="M141" i="18"/>
  <c r="M142" i="18"/>
  <c r="M143" i="18"/>
  <c r="M144" i="18"/>
  <c r="L117" i="18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23" i="18" l="1"/>
  <c r="L120" i="18"/>
  <c r="M133" i="18"/>
  <c r="M146" i="18"/>
  <c r="L135" i="18"/>
  <c r="L136" i="18"/>
  <c r="L137" i="18"/>
  <c r="L138" i="18"/>
  <c r="L139" i="18"/>
  <c r="L140" i="18"/>
  <c r="L141" i="18"/>
  <c r="L142" i="18"/>
  <c r="L143" i="18"/>
  <c r="L144" i="18"/>
  <c r="K117" i="18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G74" i="18"/>
  <c r="G71" i="18" s="1"/>
  <c r="K9" i="10"/>
  <c r="I9" i="10"/>
  <c r="G9" i="10"/>
  <c r="J9" i="10"/>
  <c r="H9" i="10"/>
  <c r="F9" i="10"/>
  <c r="K9" i="8"/>
  <c r="J9" i="8"/>
  <c r="I9" i="8"/>
  <c r="H9" i="8"/>
  <c r="G9" i="8"/>
  <c r="F9" i="8"/>
  <c r="K120" i="18" l="1"/>
  <c r="K123" i="18"/>
  <c r="L133" i="18"/>
  <c r="E3" i="13"/>
  <c r="K135" i="18"/>
  <c r="K139" i="18"/>
  <c r="K138" i="18"/>
  <c r="K142" i="18"/>
  <c r="K144" i="18"/>
  <c r="K137" i="18"/>
  <c r="K141" i="18"/>
  <c r="K136" i="18"/>
  <c r="K140" i="18"/>
  <c r="K143" i="18"/>
  <c r="J117" i="18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3" i="18" s="1"/>
  <c r="J120" i="18" l="1"/>
  <c r="J123" i="18"/>
  <c r="K133" i="18"/>
  <c r="H59" i="18"/>
  <c r="H52" i="18"/>
  <c r="J135" i="18"/>
  <c r="J136" i="18"/>
  <c r="J137" i="18"/>
  <c r="J138" i="18"/>
  <c r="J139" i="18"/>
  <c r="J140" i="18"/>
  <c r="J141" i="18"/>
  <c r="J142" i="18"/>
  <c r="J144" i="18"/>
  <c r="J143" i="18"/>
  <c r="I117" i="18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H57" i="18"/>
  <c r="H54" i="18"/>
  <c r="H60" i="18"/>
  <c r="H53" i="18"/>
  <c r="H56" i="18"/>
  <c r="H58" i="18"/>
  <c r="H61" i="18"/>
  <c r="C54" i="18"/>
  <c r="C60" i="18"/>
  <c r="C58" i="18"/>
  <c r="C55" i="18"/>
  <c r="C61" i="18"/>
  <c r="C59" i="18"/>
  <c r="C57" i="18"/>
  <c r="C62" i="18"/>
  <c r="I120" i="18" l="1"/>
  <c r="I123" i="18"/>
  <c r="J133" i="18"/>
  <c r="J146" i="18"/>
  <c r="I135" i="18"/>
  <c r="I136" i="18"/>
  <c r="I137" i="18"/>
  <c r="I138" i="18"/>
  <c r="I139" i="18"/>
  <c r="I140" i="18"/>
  <c r="I141" i="18"/>
  <c r="I142" i="18"/>
  <c r="I143" i="18"/>
  <c r="I144" i="18"/>
  <c r="H117" i="18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55" i="18"/>
  <c r="H62" i="18" s="1"/>
  <c r="C52" i="18"/>
  <c r="C63" i="18" s="1"/>
  <c r="H123" i="18" l="1"/>
  <c r="H120" i="18"/>
  <c r="I133" i="18"/>
  <c r="H135" i="18"/>
  <c r="H136" i="18"/>
  <c r="H137" i="18"/>
  <c r="H138" i="18"/>
  <c r="H139" i="18"/>
  <c r="H140" i="18"/>
  <c r="H141" i="18"/>
  <c r="H142" i="18"/>
  <c r="H143" i="18"/>
  <c r="H144" i="18"/>
  <c r="I146" i="18"/>
  <c r="G117" i="18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23" i="18" l="1"/>
  <c r="G120" i="18"/>
  <c r="H133" i="18"/>
  <c r="H146" i="18"/>
  <c r="G138" i="18"/>
  <c r="G142" i="18"/>
  <c r="G137" i="18"/>
  <c r="G141" i="18"/>
  <c r="G143" i="18"/>
  <c r="G136" i="18"/>
  <c r="G140" i="18"/>
  <c r="G135" i="18"/>
  <c r="G139" i="18"/>
  <c r="G144" i="18"/>
  <c r="F117" i="18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20" i="18" l="1"/>
  <c r="F123" i="18"/>
  <c r="G133" i="18"/>
  <c r="G146" i="18"/>
  <c r="F135" i="18"/>
  <c r="F136" i="18"/>
  <c r="F137" i="18"/>
  <c r="F138" i="18"/>
  <c r="F139" i="18"/>
  <c r="F140" i="18"/>
  <c r="F141" i="18"/>
  <c r="F142" i="18"/>
  <c r="F143" i="18"/>
  <c r="F144" i="18"/>
  <c r="E117" i="18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20" i="18" l="1"/>
  <c r="E123" i="18"/>
  <c r="F133" i="18"/>
  <c r="E135" i="18"/>
  <c r="E136" i="18"/>
  <c r="E137" i="18"/>
  <c r="E138" i="18"/>
  <c r="E139" i="18"/>
  <c r="E140" i="18"/>
  <c r="E141" i="18"/>
  <c r="E142" i="18"/>
  <c r="E143" i="18"/>
  <c r="E144" i="18"/>
  <c r="F146" i="18"/>
  <c r="D117" i="18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23" i="18" l="1"/>
  <c r="D120" i="18"/>
  <c r="E133" i="18"/>
  <c r="E146" i="18"/>
  <c r="D135" i="18"/>
  <c r="D136" i="18"/>
  <c r="D137" i="18"/>
  <c r="D138" i="18"/>
  <c r="D139" i="18"/>
  <c r="D140" i="18"/>
  <c r="D141" i="18"/>
  <c r="D142" i="18"/>
  <c r="D143" i="18"/>
  <c r="D144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D133" i="18" l="1"/>
  <c r="C144" i="18"/>
  <c r="C120" i="18"/>
  <c r="C123" i="18"/>
  <c r="D146" i="18"/>
  <c r="C143" i="18"/>
  <c r="C139" i="18"/>
  <c r="C135" i="18"/>
  <c r="C131" i="18"/>
  <c r="C125" i="18"/>
  <c r="C121" i="18"/>
  <c r="C142" i="18"/>
  <c r="C138" i="18"/>
  <c r="C141" i="18"/>
  <c r="C137" i="18"/>
  <c r="C132" i="18"/>
  <c r="C127" i="18"/>
  <c r="C119" i="18"/>
  <c r="C140" i="18"/>
  <c r="C136" i="18"/>
  <c r="C130" i="18"/>
  <c r="C122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<sst xmlns="http://schemas.openxmlformats.org/spreadsheetml/2006/main" count="420" uniqueCount="128">
  <si>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</si>
  <si>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</si>
  <si>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</si>
  <si>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</si>
  <si>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</si>
  <si>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</si>
  <si>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</si>
  <si>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</si>
  <si>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</si>
  <si>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</si>
  <si>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</si>
  <si>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</si>
  <si>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</si>
  <si>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</si>
  <si>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</si>
  <si>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</si>
  <si>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</si>
  <si>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</si>
  <si>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</si>
  <si>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</si>
  <si>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</si>
  <si>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</si>
  <si>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</si>
  <si>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</si>
  <si>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</si>
  <si>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</si>
  <si>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</si>
  <si>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</si>
  <si>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</si>
  <si>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</si>
  <si>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</si>
  <si>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</si>
  <si>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</si>
  <si>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</si>
  <si>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</si>
  <si>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</si>
  <si>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</si>
  <si>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</si>
  <si>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</si>
  <si>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</si>
  <si>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</si>
  <si>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</si>
  <si>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</si>
  <si>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</si>
  <si>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</si>
  <si>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</si>
  <si>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</si>
  <si>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</si>
  <si>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</si>
  <si>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</si>
  <si>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</si>
  <si>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</si>
  <si>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</si>
  <si>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</si>
  <si>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</si>
  <si>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</si>
  <si>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</si>
  <si>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</si>
  <si>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</si>
  <si>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</si>
  <si>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</si>
  <si>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</si>
  <si>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</si>
  <si>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</si>
  <si>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</si>
  <si>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</si>
  <si>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</si>
  <si>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</si>
  <si>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</si>
  <si>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</si>
  <si>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</si>
  <si>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</si>
  <si>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</si>
  <si>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</si>
  <si>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</si>
  <si>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</si>
  <si>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</si>
  <si>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</si>
  <si>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</si>
  <si>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</si>
  <si>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Enero 2019</t>
  </si>
  <si>
    <t>Febrero 2019</t>
  </si>
  <si>
    <t>Marzo 2019</t>
  </si>
  <si>
    <t>Abril 2019</t>
  </si>
  <si>
    <t>Mayo 2019</t>
  </si>
  <si>
    <t>Junio 2019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</si>
  <si>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</si>
  <si>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</si>
  <si>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</si>
  <si>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</si>
  <si>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</si>
  <si>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</si>
  <si>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</si>
  <si>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</si>
  <si>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t>Julio 2019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</si>
  <si>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</si>
  <si>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</si>
  <si>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Agosto 2019</t>
  </si>
  <si>
    <t>Septiembre 2019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</si>
  <si>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</si>
  <si>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</si>
  <si>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</si>
  <si>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</si>
  <si>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</si>
  <si>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</si>
  <si>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</si>
  <si>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</si>
  <si>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</si>
  <si>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</si>
  <si>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</si>
  <si>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</si>
  <si>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</si>
  <si>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Octubre 2019</t>
  </si>
  <si>
    <t>Noviembre 2019</t>
  </si>
  <si>
    <t>Demanda No Peninsular</t>
  </si>
  <si>
    <t>Diciembre 2019</t>
  </si>
  <si>
    <t>Enero 2020</t>
  </si>
  <si>
    <t>Febrero 2020</t>
  </si>
  <si>
    <t>MWh</t>
  </si>
  <si>
    <t>29/02/2020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</si>
  <si>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ut="03/10/2020 08:18:04" si="2.0000000176a91e3c720e342013399639ce4c2052b0fc6bd580465996023706252e0a29ab2b5cdf75aecf6e5a4cb3b5fcb4f9a01fd9672a70e11ea6c039bd6c259813c7afb74fa09eb99646b5b7bd7f8fc139733d2eed99525f5828d3671b169b57902790cab1cf30cfe854401ab59f2b91656e1b9a71c8aa91b54fbd63ddc040ec0e.3082.0.1.Europe/Madrid.upriv*_1*_pidn2*_27*_session*-lat*_1.00000001fb5b8dcfc900bf3e2a7c6e7d9b274573bc6025e07725b1cd96c2370009786f777cddaf35b1e355724e2c33ca3f4a80832eab6072.00000001629012c08bcafe7d9523db9335df7ac9bc6025e0c55fdb5eae8270bf5d0e3469391778459911320c64763ec0cb0a78d5b5531ee3.0.1.1.BDEbi.D066E1C611E6257C10D00080EF253B44.0-3082.1.1_-0.1.0_-3082.1.1_5.5.0.*0.00000001deca12b297ab3ed199fca77d3911f930c911585a3e6424f408187add2ded59192bb26803.0.10*.25*.15*.214.23.10*.4*.0400*.0074J.e.00000001aa5d754143ed4d334081d7408f3d899ac911585ae1d1df9395f2c7eb5e894f1824575522.0" msgID="A53BB31711EA62A701740080EF95AA00"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nrr="31"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</si>
  <si>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ut="03/10/2020 08:18:54" si="2.0000000176a91e3c720e342013399639ce4c2052b0fc6bd580465996023706252e0a29ab2b5cdf75aecf6e5a4cb3b5fcb4f9a01fd9672a70e11ea6c039bd6c259813c7afb74fa09eb99646b5b7bd7f8fc139733d2eed99525f5828d3671b169b57902790cab1cf30cfe854401ab59f2b91656e1b9a71c8aa91b54fbd63ddc040ec0e.3082.0.1.Europe/Madrid.upriv*_1*_pidn2*_27*_session*-lat*_1.00000001fb5b8dcfc900bf3e2a7c6e7d9b274573bc6025e07725b1cd96c2370009786f777cddaf35b1e355724e2c33ca3f4a80832eab6072.00000001629012c08bcafe7d9523db9335df7ac9bc6025e0c55fdb5eae8270bf5d0e3469391778459911320c64763ec0cb0a78d5b5531ee3.0.1.1.BDEbi.D066E1C611E6257C10D00080EF253B44.0-3082.1.1_-0.1.0_-3082.1.1_5.5.0.*0.00000001deca12b297ab3ed199fca77d3911f930c911585a3e6424f408187add2ded59192bb26803.0.10*.25*.15*.214.23.10*.4*.0400*.0074J.e.00000001aa5d754143ed4d334081d7408f3d899ac911585ae1d1df9395f2c7eb5e894f1824575522.0" msgID="B6AAFB9911EA62A701740080EF058AFF"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nrr="561" nrc="1056"&gt;&lt;pg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</si>
  <si>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Marzo 2020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</si>
  <si>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ut="03/10/2020 08:21:13" si="2.0000000176a91e3c720e342013399639ce4c2052b0fc6bd580465996023706252e0a29ab2b5cdf75aecf6e5a4cb3b5fcb4f9a01fd9672a70e11ea6c039bd6c259813c7afb74fa09eb99646b5b7bd7f8fc139733d2eed99525f5828d3671b169b57902790cab1cf30cfe854401ab59f2b91656e1b9a71c8aa91b54fbd63ddc040ec0e.3082.0.1.Europe/Madrid.upriv*_1*_pidn2*_27*_session*-lat*_1.00000001fb5b8dcfc900bf3e2a7c6e7d9b274573bc6025e07725b1cd96c2370009786f777cddaf35b1e355724e2c33ca3f4a80832eab6072.00000001629012c08bcafe7d9523db9335df7ac9bc6025e0c55fdb5eae8270bf5d0e3469391778459911320c64763ec0cb0a78d5b5531ee3.0.1.1.BDEbi.D066E1C611E6257C10D00080EF253B44.0-3082.1.1_-0.1.0_-3082.1.1_5.5.0.*0.00000001deca12b297ab3ed199fca77d3911f930c911585a3e6424f408187add2ded59192bb26803.0.10*.25*.15*.214.23.10*.4*.0400*.0074J.e.00000001aa5d754143ed4d334081d7408f3d899ac911585ae1d1df9395f2c7eb5e894f1824575522.0" msgID="0E06E0FB11EA62A801740080EFC50B00"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rows="28" cols="17" /&gt;&lt;esdo ews="" ece="" ptn="" /&gt;&lt;/excel&gt;&lt;pgs&gt;&lt;pg rows="25" cols="15" nrr="777" nrc="609"&gt;&lt;pg /&gt;&lt;bls&gt;&lt;bl sr="1" sc="1" rfetch="25" cfetch="15" posid="1" darows="0" dacols="1"&gt;&lt;excel&gt;&lt;epo ews="Dat_01" ece="A85" enr="MSTR.Serie_Balance_B.C._Mensual_Baleares_y_Canarias" ptn="" qtn="" rows="28" cols="17" /&gt;&lt;esdo ews="" ece="" ptn="" /&gt;&lt;/excel&gt;&lt;gridRng&gt;&lt;sect id="TITLE_AREA" rngprop="1:1:3:2" /&gt;&lt;sect id="ROWHEADERS_AREA" rngprop="4:1:25:2" /&gt;&lt;sect id="COLUMNHEADERS_AREA" rngprop="1:3:3:15" /&gt;&lt;sect id="DATA_AREA" rngprop="4:3:25:15"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</si>
  <si>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ut="03/10/2020 08:22:28" si="2.000000011137cb4888d40a5a5939fb781d3203b9189fcbaba4c7d02e27397568bc7ebb5ba735a9d45424f743129648bb0d7dee807320bdd644608db5eeeec1a6bcf1b028f29bd6b297d035e7d6ae547df349634471ee293b2d962c6995fa671ed86712cc44e104e05a1d9386067ce4365297a7e47e07e71766bf47af584f64fb7434.3082.0.1.Europe/Madrid.upriv*_1*_pidn2*_27*_session*-lat*_1.00000001cdc941392b29888d5729fb4a22477028bc6025e05dfcb39b672e66c21841f94145305272bceafe1fd36bfc6803a3ede434e59f3e.000000013a4befb47ec8084d6dc285492edd2b78bc6025e03bab00ef661bd84961cc67e8da7f0d07491e248f7a9857128f9624451b0152b8.0.1.1.BDEbi.D066E1C611E6257C10D00080EF253B44.0-3082.1.1_-0.1.0_-3082.1.1_5.5.0.*0.0000000133fbc1b12a21cbb0d8fd29f71f96bb78c911585a53219d83e8143d4368f61ba599e31b9f.0.10*.25*.15*.214.23.10*.4*.0400*.0074J.e.00000001e6e203374bb817b70bb42e54b6c453abc911585a78b0712fd5b10d64908dff9351b5e9b9.0" msgID="3E786F3911EA62A8A7030080EFE5DAAC"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nrr="8" nrc="108"&gt;&lt;pg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</si>
  <si>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e8c49d8bf1804957a32241b59b148608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</si>
  <si>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ut="03/10/2020 08:23:16" si="2.000000011137cb4888d40a5a5939fb781d3203b9189fcbaba4c7d02e27397568bc7ebb5ba735a9d45424f743129648bb0d7dee807320bdd644608db5eeeec1a6bcf1b028f29bd6b297d035e7d6ae547df349634471ee293b2d962c6995fa671ed86712cc44e104e05a1d9386067ce4365297a7e47e07e71766bf47af584f64fb7434.3082.0.1.Europe/Madrid.upriv*_1*_pidn2*_27*_session*-lat*_1.00000001cdc941392b29888d5729fb4a22477028bc6025e05dfcb39b672e66c21841f94145305272bceafe1fd36bfc6803a3ede434e59f3e.000000013a4befb47ec8084d6dc285492edd2b78bc6025e03bab00ef661bd84961cc67e8da7f0d07491e248f7a9857128f9624451b0152b8.0.1.1.BDEbi.D066E1C611E6257C10D00080EF253B44.0-3082.1.1_-0.1.0_-3082.1.1_5.5.0.*0.0000000133fbc1b12a21cbb0d8fd29f71f96bb78c911585a53219d83e8143d4368f61ba599e31b9f.0.10*.25*.15*.214.23.10*.4*.0400*.0074J.e.00000001e6e203374bb817b70bb42e54b6c453abc911585a78b0712fd5b10d64908dff9351b5e9b9.0" msgID="5B2F421511EA62A8A7030080EF357AAC"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nrr="13" nrc="168"&gt;&lt;pg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</si>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</sst>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</numFmts>
  <fonts count="51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theme="0"/>
      <name val="Segoe UI"/>
      <family val="2"/>
    </font>
    <font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4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4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10" fontId="19" fillId="5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</cellStyleXfs>
  <cellXfs count="226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3" fillId="2" borderId="27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30" xfId="4" applyFont="1" applyFill="1" applyBorder="1" applyAlignment="1">
      <alignment horizontal="center" vertical="center"/>
    </xf>
    <xf numFmtId="3" fontId="43" fillId="0" borderId="31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9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2" xfId="0" applyFont="1" applyFill="1" applyBorder="1" applyAlignment="1">
      <alignment horizontal="center"/>
    </xf>
    <xf numFmtId="165" fontId="44" fillId="2" borderId="33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0" fontId="2" fillId="10" borderId="0" xfId="6" applyFont="1" applyFill="1" applyBorder="1" applyProtection="1"/>
    <xf numFmtId="165" fontId="3" fillId="0" borderId="0" xfId="4" applyNumberFormat="1" applyFont="1" applyFill="1" applyProtection="1"/>
    <xf numFmtId="165" fontId="2" fillId="0" borderId="0" xfId="6" applyNumberFormat="1" applyFont="1" applyFill="1" applyBorder="1" applyProtection="1"/>
    <xf numFmtId="165" fontId="17" fillId="0" borderId="0" xfId="6" applyNumberFormat="1" applyFont="1" applyFill="1" applyBorder="1" applyProtection="1"/>
    <xf numFmtId="165" fontId="7" fillId="2" borderId="2" xfId="4" applyNumberFormat="1" applyFont="1" applyFill="1" applyBorder="1" applyProtection="1"/>
    <xf numFmtId="3" fontId="7" fillId="0" borderId="0" xfId="3" applyNumberFormat="1" applyFont="1" applyFill="1" applyBorder="1" applyAlignment="1" applyProtection="1">
      <alignment horizontal="right" indent="1"/>
    </xf>
    <xf numFmtId="165" fontId="7" fillId="0" borderId="0" xfId="3" applyNumberFormat="1" applyFont="1" applyFill="1" applyBorder="1" applyAlignment="1" applyProtection="1">
      <alignment horizontal="right" indent="1"/>
    </xf>
    <xf numFmtId="3" fontId="7" fillId="2" borderId="2" xfId="4" applyNumberFormat="1" applyFont="1" applyFill="1" applyBorder="1" applyAlignment="1" applyProtection="1">
      <alignment horizontal="right" indent="1"/>
    </xf>
    <xf numFmtId="165" fontId="7" fillId="2" borderId="2" xfId="4" applyNumberFormat="1" applyFont="1" applyFill="1" applyBorder="1" applyAlignment="1" applyProtection="1">
      <alignment horizontal="right" indent="1"/>
    </xf>
    <xf numFmtId="0" fontId="47" fillId="11" borderId="10" xfId="31" applyAlignment="1">
      <alignment vertical="center"/>
    </xf>
    <xf numFmtId="0" fontId="47" fillId="11" borderId="10" xfId="32" applyAlignment="1">
      <alignment horizontal="center"/>
    </xf>
    <xf numFmtId="0" fontId="48" fillId="5" borderId="10" xfId="33" quotePrefix="1" applyAlignment="1">
      <alignment horizontal="left" vertical="center"/>
    </xf>
    <xf numFmtId="10" fontId="19" fillId="5" borderId="10" xfId="30" applyAlignment="1">
      <alignment horizontal="righ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165" fontId="32" fillId="6" borderId="10" xfId="13" applyNumberFormat="1" applyAlignment="1">
      <alignment horizontal="right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 applyFill="1" applyBorder="1" applyProtection="1"/>
    <xf numFmtId="168" fontId="49" fillId="0" borderId="0" xfId="0" applyNumberFormat="1" applyFont="1"/>
    <xf numFmtId="0" fontId="49" fillId="0" borderId="0" xfId="0" applyFont="1"/>
    <xf numFmtId="0" fontId="33" fillId="7" borderId="10" xfId="23" quotePrefix="1" applyAlignment="1">
      <alignment horizontal="center"/>
    </xf>
    <xf numFmtId="0" fontId="47" fillId="11" borderId="10" xfId="32" quotePrefix="1" applyAlignment="1">
      <alignment horizontal="center"/>
    </xf>
    <xf numFmtId="0" fontId="33" fillId="7" borderId="10" xfId="19" quotePrefix="1" applyAlignment="1">
      <alignment horizontal="center" vertical="center"/>
    </xf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0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7" xfId="4" applyNumberFormat="1" applyFont="1" applyFill="1" applyBorder="1" applyAlignment="1" applyProtection="1">
      <alignment horizontal="justify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47" fillId="11" borderId="10" xfId="32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5" fillId="5" borderId="17" xfId="18" quotePrefix="1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0" xfId="4" applyNumberFormat="1" applyFont="1" applyBorder="1" applyAlignment="1">
      <alignment horizontal="justify" wrapText="1"/>
    </xf>
    <xf numFmtId="0" fontId="5" fillId="0" borderId="0" xfId="4" applyNumberFormat="1" applyFont="1" applyBorder="1" applyAlignment="1"/>
    <xf numFmtId="0" fontId="5" fillId="0" borderId="0" xfId="4" applyNumberFormat="1" applyFont="1" applyBorder="1" applyAlignment="1">
      <alignment horizontal="left" wrapText="1"/>
    </xf>
    <xf numFmtId="0" fontId="5" fillId="0" borderId="0" xfId="4" applyNumberFormat="1" applyFont="1" applyBorder="1" applyAlignment="1">
      <alignment wrapText="1"/>
    </xf>
  </cellXfs>
  <cellStyles count="34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2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1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ac422d6a-d102-4f53-b7ea-bd7f18181498" xfId="15" xr:uid="{00000000-0005-0000-0000-00000F000000}"/>
    <cellStyle name="MSTRStyle.Todos.c24_cde5e3a9-20d0-4898-9339-2ac83714bef2" xfId="30" xr:uid="{51068D76-E250-4729-BE67-23CA5A46FFCA}"/>
    <cellStyle name="MSTRStyle.Todos.c3_22694d2a-25c9-4a77-b7ec-578f9598a798" xfId="33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A99BBD"/>
      <color rgb="FF9FA5BD"/>
      <color rgb="FF9A5CBC"/>
      <color rgb="FFF5F5F5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6585365853658537"/>
                  <c:y val="-5.96097730430755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9186991869918699"/>
                  <c:y val="9.15026246719160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3174443377504641"/>
                  <c:y val="3.38235294117646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14160898790090262"/>
                  <c:y val="0.28970588235294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18536585365853658"/>
                  <c:y val="0.151422726570943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1940002560655528"/>
                  <c:y val="1.4188281611857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layout>
                <c:manualLayout>
                  <c:x val="-0.17235772357723578"/>
                  <c:y val="-0.142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6.8292682926829301E-2"/>
                  <c:y val="-0.253667979002624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20813008130081301"/>
                  <c:y val="-0.127896788636714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4.3</c:v>
                </c:pt>
                <c:pt idx="3">
                  <c:v>55.9</c:v>
                </c:pt>
                <c:pt idx="5">
                  <c:v>0.9</c:v>
                </c:pt>
                <c:pt idx="6">
                  <c:v>1.5</c:v>
                </c:pt>
                <c:pt idx="7">
                  <c:v>1.5</c:v>
                </c:pt>
                <c:pt idx="8">
                  <c:v>0.1</c:v>
                </c:pt>
                <c:pt idx="9">
                  <c:v>2.2000000000000002</c:v>
                </c:pt>
                <c:pt idx="10">
                  <c:v>0</c:v>
                </c:pt>
                <c:pt idx="11">
                  <c:v>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821138211382114"/>
                  <c:y val="-6.86274509803921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9837398373983739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6910569105691056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9268292682926828"/>
                  <c:y val="0.26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861788617886179"/>
                  <c:y val="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9918699186991871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21626029063440241"/>
                  <c:y val="-0.14297012505789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0.18048780487804877"/>
                  <c:y val="-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11.899999999999991</c:v>
                </c:pt>
                <c:pt idx="1">
                  <c:v>6.9</c:v>
                </c:pt>
                <c:pt idx="2">
                  <c:v>30</c:v>
                </c:pt>
                <c:pt idx="3">
                  <c:v>42.6</c:v>
                </c:pt>
                <c:pt idx="5">
                  <c:v>0.5</c:v>
                </c:pt>
                <c:pt idx="6">
                  <c:v>1.9</c:v>
                </c:pt>
                <c:pt idx="7">
                  <c:v>1.9</c:v>
                </c:pt>
                <c:pt idx="8">
                  <c:v>0.2</c:v>
                </c:pt>
                <c:pt idx="9">
                  <c:v>4</c:v>
                </c:pt>
                <c:pt idx="1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feb.-19</c:v>
                </c:pt>
                <c:pt idx="1">
                  <c:v>mar.-19</c:v>
                </c:pt>
                <c:pt idx="2">
                  <c:v>abr.-19</c:v>
                </c:pt>
                <c:pt idx="3">
                  <c:v>may.-19</c:v>
                </c:pt>
                <c:pt idx="4">
                  <c:v>jun.-19</c:v>
                </c:pt>
                <c:pt idx="5">
                  <c:v>jul.-19</c:v>
                </c:pt>
                <c:pt idx="6">
                  <c:v>ago.-19</c:v>
                </c:pt>
                <c:pt idx="7">
                  <c:v>sep.-19</c:v>
                </c:pt>
                <c:pt idx="8">
                  <c:v>oct.-19</c:v>
                </c:pt>
                <c:pt idx="9">
                  <c:v>nov.-19</c:v>
                </c:pt>
                <c:pt idx="10">
                  <c:v>dic.-19</c:v>
                </c:pt>
                <c:pt idx="11">
                  <c:v>ene.-20</c:v>
                </c:pt>
                <c:pt idx="12">
                  <c:v>feb.-20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164.40237099999999</c:v>
                </c:pt>
                <c:pt idx="1">
                  <c:v>141.74739099999999</c:v>
                </c:pt>
                <c:pt idx="2">
                  <c:v>127.06355499999999</c:v>
                </c:pt>
                <c:pt idx="3">
                  <c:v>121.49093499999999</c:v>
                </c:pt>
                <c:pt idx="4">
                  <c:v>98.710933999999995</c:v>
                </c:pt>
                <c:pt idx="5">
                  <c:v>173.44610299999999</c:v>
                </c:pt>
                <c:pt idx="6">
                  <c:v>257.56122599999998</c:v>
                </c:pt>
                <c:pt idx="7">
                  <c:v>239.89604299999999</c:v>
                </c:pt>
                <c:pt idx="8">
                  <c:v>190.859296</c:v>
                </c:pt>
                <c:pt idx="9">
                  <c:v>128.513947</c:v>
                </c:pt>
                <c:pt idx="10">
                  <c:v>137.71730099999999</c:v>
                </c:pt>
                <c:pt idx="11">
                  <c:v>-3.1773479999999998</c:v>
                </c:pt>
                <c:pt idx="12">
                  <c:v>-1.4407270000000001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feb.-19</c:v>
                </c:pt>
                <c:pt idx="1">
                  <c:v>mar.-19</c:v>
                </c:pt>
                <c:pt idx="2">
                  <c:v>abr.-19</c:v>
                </c:pt>
                <c:pt idx="3">
                  <c:v>may.-19</c:v>
                </c:pt>
                <c:pt idx="4">
                  <c:v>jun.-19</c:v>
                </c:pt>
                <c:pt idx="5">
                  <c:v>jul.-19</c:v>
                </c:pt>
                <c:pt idx="6">
                  <c:v>ago.-19</c:v>
                </c:pt>
                <c:pt idx="7">
                  <c:v>sep.-19</c:v>
                </c:pt>
                <c:pt idx="8">
                  <c:v>oct.-19</c:v>
                </c:pt>
                <c:pt idx="9">
                  <c:v>nov.-19</c:v>
                </c:pt>
                <c:pt idx="10">
                  <c:v>dic.-19</c:v>
                </c:pt>
                <c:pt idx="11">
                  <c:v>ene.-20</c:v>
                </c:pt>
                <c:pt idx="12">
                  <c:v>feb.-20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49.177787000000002</c:v>
                </c:pt>
                <c:pt idx="1">
                  <c:v>51.184275999999997</c:v>
                </c:pt>
                <c:pt idx="2">
                  <c:v>60.374122999999997</c:v>
                </c:pt>
                <c:pt idx="3">
                  <c:v>65.895672000000005</c:v>
                </c:pt>
                <c:pt idx="4">
                  <c:v>89.729967000000002</c:v>
                </c:pt>
                <c:pt idx="5">
                  <c:v>140.971656</c:v>
                </c:pt>
                <c:pt idx="6">
                  <c:v>139.42335</c:v>
                </c:pt>
                <c:pt idx="7">
                  <c:v>100.854845</c:v>
                </c:pt>
                <c:pt idx="8">
                  <c:v>70.492642000000004</c:v>
                </c:pt>
                <c:pt idx="9">
                  <c:v>55.934950000000001</c:v>
                </c:pt>
                <c:pt idx="10">
                  <c:v>39.780760000000001</c:v>
                </c:pt>
                <c:pt idx="11">
                  <c:v>46.988411999999997</c:v>
                </c:pt>
                <c:pt idx="12">
                  <c:v>37.597881999999998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feb.-19</c:v>
                </c:pt>
                <c:pt idx="1">
                  <c:v>mar.-19</c:v>
                </c:pt>
                <c:pt idx="2">
                  <c:v>abr.-19</c:v>
                </c:pt>
                <c:pt idx="3">
                  <c:v>may.-19</c:v>
                </c:pt>
                <c:pt idx="4">
                  <c:v>jun.-19</c:v>
                </c:pt>
                <c:pt idx="5">
                  <c:v>jul.-19</c:v>
                </c:pt>
                <c:pt idx="6">
                  <c:v>ago.-19</c:v>
                </c:pt>
                <c:pt idx="7">
                  <c:v>sep.-19</c:v>
                </c:pt>
                <c:pt idx="8">
                  <c:v>oct.-19</c:v>
                </c:pt>
                <c:pt idx="9">
                  <c:v>nov.-19</c:v>
                </c:pt>
                <c:pt idx="10">
                  <c:v>dic.-19</c:v>
                </c:pt>
                <c:pt idx="11">
                  <c:v>ene.-20</c:v>
                </c:pt>
                <c:pt idx="12">
                  <c:v>feb.-20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55.402149000000001</c:v>
                </c:pt>
                <c:pt idx="1">
                  <c:v>83.928335000000004</c:v>
                </c:pt>
                <c:pt idx="2">
                  <c:v>93.323053000000002</c:v>
                </c:pt>
                <c:pt idx="3">
                  <c:v>103.560644</c:v>
                </c:pt>
                <c:pt idx="4">
                  <c:v>148.873491</c:v>
                </c:pt>
                <c:pt idx="5">
                  <c:v>160.980031</c:v>
                </c:pt>
                <c:pt idx="6">
                  <c:v>81.694967000000005</c:v>
                </c:pt>
                <c:pt idx="7">
                  <c:v>37.844405000000002</c:v>
                </c:pt>
                <c:pt idx="8">
                  <c:v>49.054825999999998</c:v>
                </c:pt>
                <c:pt idx="9">
                  <c:v>98.891853999999995</c:v>
                </c:pt>
                <c:pt idx="10">
                  <c:v>97.225685999999996</c:v>
                </c:pt>
                <c:pt idx="11">
                  <c:v>247.42845600000001</c:v>
                </c:pt>
                <c:pt idx="12">
                  <c:v>226.17381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feb.-19</c:v>
                </c:pt>
                <c:pt idx="1">
                  <c:v>mar.-19</c:v>
                </c:pt>
                <c:pt idx="2">
                  <c:v>abr.-19</c:v>
                </c:pt>
                <c:pt idx="3">
                  <c:v>may.-19</c:v>
                </c:pt>
                <c:pt idx="4">
                  <c:v>jun.-19</c:v>
                </c:pt>
                <c:pt idx="5">
                  <c:v>jul.-19</c:v>
                </c:pt>
                <c:pt idx="6">
                  <c:v>ago.-19</c:v>
                </c:pt>
                <c:pt idx="7">
                  <c:v>sep.-19</c:v>
                </c:pt>
                <c:pt idx="8">
                  <c:v>oct.-19</c:v>
                </c:pt>
                <c:pt idx="9">
                  <c:v>nov.-19</c:v>
                </c:pt>
                <c:pt idx="10">
                  <c:v>dic.-19</c:v>
                </c:pt>
                <c:pt idx="11">
                  <c:v>ene.-20</c:v>
                </c:pt>
                <c:pt idx="12">
                  <c:v>feb.-20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0.49932900000000002</c:v>
                </c:pt>
                <c:pt idx="1">
                  <c:v>0.70238800000000001</c:v>
                </c:pt>
                <c:pt idx="2">
                  <c:v>0.63947100000000001</c:v>
                </c:pt>
                <c:pt idx="3">
                  <c:v>0.653721</c:v>
                </c:pt>
                <c:pt idx="4">
                  <c:v>0.34985300000000003</c:v>
                </c:pt>
                <c:pt idx="5">
                  <c:v>0.23036599999999999</c:v>
                </c:pt>
                <c:pt idx="6">
                  <c:v>0.347945</c:v>
                </c:pt>
                <c:pt idx="7">
                  <c:v>0.51373500000000005</c:v>
                </c:pt>
                <c:pt idx="8">
                  <c:v>0.402117</c:v>
                </c:pt>
                <c:pt idx="9">
                  <c:v>0.49518299999999998</c:v>
                </c:pt>
                <c:pt idx="10">
                  <c:v>0.44528499999999999</c:v>
                </c:pt>
                <c:pt idx="11">
                  <c:v>0.37082599999999999</c:v>
                </c:pt>
                <c:pt idx="12">
                  <c:v>0.33927600000000002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feb.-19</c:v>
                </c:pt>
                <c:pt idx="1">
                  <c:v>mar.-19</c:v>
                </c:pt>
                <c:pt idx="2">
                  <c:v>abr.-19</c:v>
                </c:pt>
                <c:pt idx="3">
                  <c:v>may.-19</c:v>
                </c:pt>
                <c:pt idx="4">
                  <c:v>jun.-19</c:v>
                </c:pt>
                <c:pt idx="5">
                  <c:v>jul.-19</c:v>
                </c:pt>
                <c:pt idx="6">
                  <c:v>ago.-19</c:v>
                </c:pt>
                <c:pt idx="7">
                  <c:v>sep.-19</c:v>
                </c:pt>
                <c:pt idx="8">
                  <c:v>oct.-19</c:v>
                </c:pt>
                <c:pt idx="9">
                  <c:v>nov.-19</c:v>
                </c:pt>
                <c:pt idx="10">
                  <c:v>dic.-19</c:v>
                </c:pt>
                <c:pt idx="11">
                  <c:v>ene.-20</c:v>
                </c:pt>
                <c:pt idx="12">
                  <c:v>feb.-20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9.3532069999999994</c:v>
                </c:pt>
                <c:pt idx="1">
                  <c:v>11.373048000000001</c:v>
                </c:pt>
                <c:pt idx="2">
                  <c:v>10.651503999999999</c:v>
                </c:pt>
                <c:pt idx="3">
                  <c:v>12.918941999999999</c:v>
                </c:pt>
                <c:pt idx="4">
                  <c:v>13.270170999999999</c:v>
                </c:pt>
                <c:pt idx="5">
                  <c:v>12.470931</c:v>
                </c:pt>
                <c:pt idx="6">
                  <c:v>12.245136</c:v>
                </c:pt>
                <c:pt idx="7">
                  <c:v>10.044699</c:v>
                </c:pt>
                <c:pt idx="8">
                  <c:v>9.0470970000000008</c:v>
                </c:pt>
                <c:pt idx="9">
                  <c:v>6.240507</c:v>
                </c:pt>
                <c:pt idx="10">
                  <c:v>5.8973469999999999</c:v>
                </c:pt>
                <c:pt idx="11">
                  <c:v>5.9310499999999999</c:v>
                </c:pt>
                <c:pt idx="12">
                  <c:v>8.7359240000000007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feb.-19</c:v>
                </c:pt>
                <c:pt idx="1">
                  <c:v>mar.-19</c:v>
                </c:pt>
                <c:pt idx="2">
                  <c:v>abr.-19</c:v>
                </c:pt>
                <c:pt idx="3">
                  <c:v>may.-19</c:v>
                </c:pt>
                <c:pt idx="4">
                  <c:v>jun.-19</c:v>
                </c:pt>
                <c:pt idx="5">
                  <c:v>jul.-19</c:v>
                </c:pt>
                <c:pt idx="6">
                  <c:v>ago.-19</c:v>
                </c:pt>
                <c:pt idx="7">
                  <c:v>sep.-19</c:v>
                </c:pt>
                <c:pt idx="8">
                  <c:v>oct.-19</c:v>
                </c:pt>
                <c:pt idx="9">
                  <c:v>nov.-19</c:v>
                </c:pt>
                <c:pt idx="10">
                  <c:v>dic.-19</c:v>
                </c:pt>
                <c:pt idx="11">
                  <c:v>ene.-20</c:v>
                </c:pt>
                <c:pt idx="12">
                  <c:v>feb.-20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8.2346000000000003E-2</c:v>
                </c:pt>
                <c:pt idx="1">
                  <c:v>0.111343</c:v>
                </c:pt>
                <c:pt idx="2">
                  <c:v>8.9931999999999998E-2</c:v>
                </c:pt>
                <c:pt idx="3">
                  <c:v>5.4199999999999998E-2</c:v>
                </c:pt>
                <c:pt idx="4">
                  <c:v>0.12551699999999999</c:v>
                </c:pt>
                <c:pt idx="5">
                  <c:v>9.8985000000000004E-2</c:v>
                </c:pt>
                <c:pt idx="6">
                  <c:v>8.3479999999999999E-2</c:v>
                </c:pt>
                <c:pt idx="7">
                  <c:v>1.2656000000000001E-2</c:v>
                </c:pt>
                <c:pt idx="8">
                  <c:v>9.9426E-2</c:v>
                </c:pt>
                <c:pt idx="9">
                  <c:v>9.2591999999999994E-2</c:v>
                </c:pt>
                <c:pt idx="10">
                  <c:v>0.18124699999999999</c:v>
                </c:pt>
                <c:pt idx="11">
                  <c:v>0.20147399999999999</c:v>
                </c:pt>
                <c:pt idx="12">
                  <c:v>8.1622E-2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feb.-19</c:v>
                </c:pt>
                <c:pt idx="1">
                  <c:v>mar.-19</c:v>
                </c:pt>
                <c:pt idx="2">
                  <c:v>abr.-19</c:v>
                </c:pt>
                <c:pt idx="3">
                  <c:v>may.-19</c:v>
                </c:pt>
                <c:pt idx="4">
                  <c:v>jun.-19</c:v>
                </c:pt>
                <c:pt idx="5">
                  <c:v>jul.-19</c:v>
                </c:pt>
                <c:pt idx="6">
                  <c:v>ago.-19</c:v>
                </c:pt>
                <c:pt idx="7">
                  <c:v>sep.-19</c:v>
                </c:pt>
                <c:pt idx="8">
                  <c:v>oct.-19</c:v>
                </c:pt>
                <c:pt idx="9">
                  <c:v>nov.-19</c:v>
                </c:pt>
                <c:pt idx="10">
                  <c:v>dic.-19</c:v>
                </c:pt>
                <c:pt idx="11">
                  <c:v>ene.-20</c:v>
                </c:pt>
                <c:pt idx="12">
                  <c:v>feb.-20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3.483536</c:v>
                </c:pt>
                <c:pt idx="1">
                  <c:v>3.2674569999999998</c:v>
                </c:pt>
                <c:pt idx="2">
                  <c:v>2.9153180000000001</c:v>
                </c:pt>
                <c:pt idx="3">
                  <c:v>2.2857509999999999</c:v>
                </c:pt>
                <c:pt idx="4">
                  <c:v>2.3003499999999999</c:v>
                </c:pt>
                <c:pt idx="5">
                  <c:v>1.194464</c:v>
                </c:pt>
                <c:pt idx="6">
                  <c:v>2.848757</c:v>
                </c:pt>
                <c:pt idx="7">
                  <c:v>2.8740579999999998</c:v>
                </c:pt>
                <c:pt idx="8">
                  <c:v>2.8082799999999999</c:v>
                </c:pt>
                <c:pt idx="9">
                  <c:v>3.3302809999999998</c:v>
                </c:pt>
                <c:pt idx="10">
                  <c:v>3.7760859999999998</c:v>
                </c:pt>
                <c:pt idx="11">
                  <c:v>4.0380969999999996</c:v>
                </c:pt>
                <c:pt idx="12">
                  <c:v>3.7449910000000002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feb.-19</c:v>
                </c:pt>
                <c:pt idx="1">
                  <c:v>mar.-19</c:v>
                </c:pt>
                <c:pt idx="2">
                  <c:v>abr.-19</c:v>
                </c:pt>
                <c:pt idx="3">
                  <c:v>may.-19</c:v>
                </c:pt>
                <c:pt idx="4">
                  <c:v>jun.-19</c:v>
                </c:pt>
                <c:pt idx="5">
                  <c:v>jul.-19</c:v>
                </c:pt>
                <c:pt idx="6">
                  <c:v>ago.-19</c:v>
                </c:pt>
                <c:pt idx="7">
                  <c:v>sep.-19</c:v>
                </c:pt>
                <c:pt idx="8">
                  <c:v>oct.-19</c:v>
                </c:pt>
                <c:pt idx="9">
                  <c:v>nov.-19</c:v>
                </c:pt>
                <c:pt idx="10">
                  <c:v>dic.-19</c:v>
                </c:pt>
                <c:pt idx="11">
                  <c:v>ene.-20</c:v>
                </c:pt>
                <c:pt idx="12">
                  <c:v>feb.-20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6.8600294999999996</c:v>
                </c:pt>
                <c:pt idx="1">
                  <c:v>11.083662500000001</c:v>
                </c:pt>
                <c:pt idx="2">
                  <c:v>13.4563305</c:v>
                </c:pt>
                <c:pt idx="3">
                  <c:v>13.087209</c:v>
                </c:pt>
                <c:pt idx="4">
                  <c:v>13.341946</c:v>
                </c:pt>
                <c:pt idx="5">
                  <c:v>14.4424645</c:v>
                </c:pt>
                <c:pt idx="6">
                  <c:v>12.562136000000001</c:v>
                </c:pt>
                <c:pt idx="7">
                  <c:v>13.691565000000001</c:v>
                </c:pt>
                <c:pt idx="8">
                  <c:v>14.954476</c:v>
                </c:pt>
                <c:pt idx="9">
                  <c:v>13.874806</c:v>
                </c:pt>
                <c:pt idx="10">
                  <c:v>8.5480964999999998</c:v>
                </c:pt>
                <c:pt idx="11">
                  <c:v>9.2619229999999995</c:v>
                </c:pt>
                <c:pt idx="12">
                  <c:v>6.0955329999999996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6.8600294999999996</c:v>
                </c:pt>
                <c:pt idx="1">
                  <c:v>11.083662500000001</c:v>
                </c:pt>
                <c:pt idx="2">
                  <c:v>13.4563305</c:v>
                </c:pt>
                <c:pt idx="3">
                  <c:v>13.087209</c:v>
                </c:pt>
                <c:pt idx="4">
                  <c:v>13.341946</c:v>
                </c:pt>
                <c:pt idx="5">
                  <c:v>14.4424645</c:v>
                </c:pt>
                <c:pt idx="6">
                  <c:v>12.562136000000001</c:v>
                </c:pt>
                <c:pt idx="7">
                  <c:v>13.691565000000001</c:v>
                </c:pt>
                <c:pt idx="8">
                  <c:v>14.954476</c:v>
                </c:pt>
                <c:pt idx="9">
                  <c:v>13.874806</c:v>
                </c:pt>
                <c:pt idx="10">
                  <c:v>8.5480964999999998</c:v>
                </c:pt>
                <c:pt idx="11">
                  <c:v>9.2619229999999995</c:v>
                </c:pt>
                <c:pt idx="12">
                  <c:v>6.0955329999999996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feb.-19</c:v>
                </c:pt>
                <c:pt idx="1">
                  <c:v>mar.-19</c:v>
                </c:pt>
                <c:pt idx="2">
                  <c:v>abr.-19</c:v>
                </c:pt>
                <c:pt idx="3">
                  <c:v>may.-19</c:v>
                </c:pt>
                <c:pt idx="4">
                  <c:v>jun.-19</c:v>
                </c:pt>
                <c:pt idx="5">
                  <c:v>jul.-19</c:v>
                </c:pt>
                <c:pt idx="6">
                  <c:v>ago.-19</c:v>
                </c:pt>
                <c:pt idx="7">
                  <c:v>sep.-19</c:v>
                </c:pt>
                <c:pt idx="8">
                  <c:v>oct.-19</c:v>
                </c:pt>
                <c:pt idx="9">
                  <c:v>nov.-19</c:v>
                </c:pt>
                <c:pt idx="10">
                  <c:v>dic.-19</c:v>
                </c:pt>
                <c:pt idx="11">
                  <c:v>ene.-20</c:v>
                </c:pt>
                <c:pt idx="12">
                  <c:v>feb.-20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119.223619</c:v>
                </c:pt>
                <c:pt idx="1">
                  <c:v>122.32533599999999</c:v>
                </c:pt>
                <c:pt idx="2">
                  <c:v>124.430774</c:v>
                </c:pt>
                <c:pt idx="3">
                  <c:v>143.16130000000001</c:v>
                </c:pt>
                <c:pt idx="4">
                  <c:v>159.634671</c:v>
                </c:pt>
                <c:pt idx="5">
                  <c:v>201.16611399999999</c:v>
                </c:pt>
                <c:pt idx="6">
                  <c:v>185.76976199999999</c:v>
                </c:pt>
                <c:pt idx="7">
                  <c:v>153.19726600000001</c:v>
                </c:pt>
                <c:pt idx="8">
                  <c:v>137.66557</c:v>
                </c:pt>
                <c:pt idx="9">
                  <c:v>91.396833999999998</c:v>
                </c:pt>
                <c:pt idx="10">
                  <c:v>119.614278</c:v>
                </c:pt>
                <c:pt idx="11">
                  <c:v>136.155901</c:v>
                </c:pt>
                <c:pt idx="12">
                  <c:v>115.92849699999999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6260162601626016"/>
                  <c:y val="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58219854871082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20487804878048779"/>
                  <c:y val="0.159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layout>
                <c:manualLayout>
                  <c:x val="-0.19837398373983742"/>
                  <c:y val="7.3529411764705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626016260162601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1707317073170732"/>
                  <c:y val="-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8.292695730106906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9.7560975609756101E-2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16.5</c:v>
                </c:pt>
                <c:pt idx="1">
                  <c:v>18.5</c:v>
                </c:pt>
                <c:pt idx="2">
                  <c:v>16</c:v>
                </c:pt>
                <c:pt idx="3">
                  <c:v>28.700000000000003</c:v>
                </c:pt>
                <c:pt idx="4">
                  <c:v>0</c:v>
                </c:pt>
                <c:pt idx="5">
                  <c:v>0.1</c:v>
                </c:pt>
                <c:pt idx="6">
                  <c:v>0.4</c:v>
                </c:pt>
                <c:pt idx="7">
                  <c:v>14.2</c:v>
                </c:pt>
                <c:pt idx="8">
                  <c:v>5.5</c:v>
                </c:pt>
                <c:pt idx="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4308943089430895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18"/>
                  <c:y val="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1382126624415839"/>
                  <c:y val="0.176470588235294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9362745098039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20813008130081301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22764227642276424"/>
                  <c:y val="-4.9019607843137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0.19349606299212599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10731707317073171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22.8</c:v>
                </c:pt>
                <c:pt idx="1">
                  <c:v>3.1</c:v>
                </c:pt>
                <c:pt idx="2">
                  <c:v>18.2</c:v>
                </c:pt>
                <c:pt idx="3">
                  <c:v>39.5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13.2</c:v>
                </c:pt>
                <c:pt idx="8">
                  <c:v>2.9</c:v>
                </c:pt>
                <c:pt idx="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feb.-19</c:v>
                </c:pt>
                <c:pt idx="1">
                  <c:v>mar.-19</c:v>
                </c:pt>
                <c:pt idx="2">
                  <c:v>abr.-19</c:v>
                </c:pt>
                <c:pt idx="3">
                  <c:v>may.-19</c:v>
                </c:pt>
                <c:pt idx="4">
                  <c:v>jun.-19</c:v>
                </c:pt>
                <c:pt idx="5">
                  <c:v>jul.-19</c:v>
                </c:pt>
                <c:pt idx="6">
                  <c:v>ago.-19</c:v>
                </c:pt>
                <c:pt idx="7">
                  <c:v>sep.-19</c:v>
                </c:pt>
                <c:pt idx="8">
                  <c:v>oct.-19</c:v>
                </c:pt>
                <c:pt idx="9">
                  <c:v>nov.-19</c:v>
                </c:pt>
                <c:pt idx="10">
                  <c:v>dic.-19</c:v>
                </c:pt>
                <c:pt idx="11">
                  <c:v>ene.-20</c:v>
                </c:pt>
                <c:pt idx="12">
                  <c:v>feb.-20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0.26504899999999998</c:v>
                </c:pt>
                <c:pt idx="1">
                  <c:v>0.298315</c:v>
                </c:pt>
                <c:pt idx="2">
                  <c:v>0.29675299999999999</c:v>
                </c:pt>
                <c:pt idx="3">
                  <c:v>0.30594199999999999</c:v>
                </c:pt>
                <c:pt idx="4">
                  <c:v>0.27668100000000001</c:v>
                </c:pt>
                <c:pt idx="5">
                  <c:v>0.29841899999999999</c:v>
                </c:pt>
                <c:pt idx="6">
                  <c:v>0.29929</c:v>
                </c:pt>
                <c:pt idx="7">
                  <c:v>0.28253899999999998</c:v>
                </c:pt>
                <c:pt idx="8">
                  <c:v>0.297543</c:v>
                </c:pt>
                <c:pt idx="9">
                  <c:v>0.29656300000000002</c:v>
                </c:pt>
                <c:pt idx="10">
                  <c:v>0.29923499999999997</c:v>
                </c:pt>
                <c:pt idx="11">
                  <c:v>0.30431399999999997</c:v>
                </c:pt>
                <c:pt idx="12">
                  <c:v>0.26768999999999998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feb.-19</c:v>
                </c:pt>
                <c:pt idx="1">
                  <c:v>mar.-19</c:v>
                </c:pt>
                <c:pt idx="2">
                  <c:v>abr.-19</c:v>
                </c:pt>
                <c:pt idx="3">
                  <c:v>may.-19</c:v>
                </c:pt>
                <c:pt idx="4">
                  <c:v>jun.-19</c:v>
                </c:pt>
                <c:pt idx="5">
                  <c:v>jul.-19</c:v>
                </c:pt>
                <c:pt idx="6">
                  <c:v>ago.-19</c:v>
                </c:pt>
                <c:pt idx="7">
                  <c:v>sep.-19</c:v>
                </c:pt>
                <c:pt idx="8">
                  <c:v>oct.-19</c:v>
                </c:pt>
                <c:pt idx="9">
                  <c:v>nov.-19</c:v>
                </c:pt>
                <c:pt idx="10">
                  <c:v>dic.-19</c:v>
                </c:pt>
                <c:pt idx="11">
                  <c:v>ene.-20</c:v>
                </c:pt>
                <c:pt idx="12">
                  <c:v>feb.-20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384.770937</c:v>
                </c:pt>
                <c:pt idx="1">
                  <c:v>389.44758000000002</c:v>
                </c:pt>
                <c:pt idx="2">
                  <c:v>377.29287599999998</c:v>
                </c:pt>
                <c:pt idx="3">
                  <c:v>375.43118500000003</c:v>
                </c:pt>
                <c:pt idx="4">
                  <c:v>392.00518099999999</c:v>
                </c:pt>
                <c:pt idx="5">
                  <c:v>310.36124699999999</c:v>
                </c:pt>
                <c:pt idx="6">
                  <c:v>307.670436</c:v>
                </c:pt>
                <c:pt idx="7">
                  <c:v>349.34223900000001</c:v>
                </c:pt>
                <c:pt idx="8">
                  <c:v>355.37539000000004</c:v>
                </c:pt>
                <c:pt idx="9">
                  <c:v>354.636663</c:v>
                </c:pt>
                <c:pt idx="10">
                  <c:v>357.24838199999999</c:v>
                </c:pt>
                <c:pt idx="11">
                  <c:v>339.84719799999999</c:v>
                </c:pt>
                <c:pt idx="12">
                  <c:v>310.92523399999999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feb.-19</c:v>
                </c:pt>
                <c:pt idx="1">
                  <c:v>mar.-19</c:v>
                </c:pt>
                <c:pt idx="2">
                  <c:v>abr.-19</c:v>
                </c:pt>
                <c:pt idx="3">
                  <c:v>may.-19</c:v>
                </c:pt>
                <c:pt idx="4">
                  <c:v>jun.-19</c:v>
                </c:pt>
                <c:pt idx="5">
                  <c:v>jul.-19</c:v>
                </c:pt>
                <c:pt idx="6">
                  <c:v>ago.-19</c:v>
                </c:pt>
                <c:pt idx="7">
                  <c:v>sep.-19</c:v>
                </c:pt>
                <c:pt idx="8">
                  <c:v>oct.-19</c:v>
                </c:pt>
                <c:pt idx="9">
                  <c:v>nov.-19</c:v>
                </c:pt>
                <c:pt idx="10">
                  <c:v>dic.-19</c:v>
                </c:pt>
                <c:pt idx="11">
                  <c:v>ene.-20</c:v>
                </c:pt>
                <c:pt idx="12">
                  <c:v>feb.-20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221.964823</c:v>
                </c:pt>
                <c:pt idx="1">
                  <c:v>224.52281400000001</c:v>
                </c:pt>
                <c:pt idx="2">
                  <c:v>229.693647</c:v>
                </c:pt>
                <c:pt idx="3">
                  <c:v>220.83250000000001</c:v>
                </c:pt>
                <c:pt idx="4">
                  <c:v>222.51747599999999</c:v>
                </c:pt>
                <c:pt idx="5">
                  <c:v>262.048877</c:v>
                </c:pt>
                <c:pt idx="6">
                  <c:v>290.23648900000001</c:v>
                </c:pt>
                <c:pt idx="7">
                  <c:v>276.37973799999997</c:v>
                </c:pt>
                <c:pt idx="8">
                  <c:v>305.83225499999998</c:v>
                </c:pt>
                <c:pt idx="9">
                  <c:v>233.08126999999999</c:v>
                </c:pt>
                <c:pt idx="10">
                  <c:v>301.90038800000002</c:v>
                </c:pt>
                <c:pt idx="11">
                  <c:v>336.41169600000001</c:v>
                </c:pt>
                <c:pt idx="12">
                  <c:v>279.07848200000001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feb.-19</c:v>
                </c:pt>
                <c:pt idx="1">
                  <c:v>mar.-19</c:v>
                </c:pt>
                <c:pt idx="2">
                  <c:v>abr.-19</c:v>
                </c:pt>
                <c:pt idx="3">
                  <c:v>may.-19</c:v>
                </c:pt>
                <c:pt idx="4">
                  <c:v>jun.-19</c:v>
                </c:pt>
                <c:pt idx="5">
                  <c:v>jul.-19</c:v>
                </c:pt>
                <c:pt idx="6">
                  <c:v>ago.-19</c:v>
                </c:pt>
                <c:pt idx="7">
                  <c:v>sep.-19</c:v>
                </c:pt>
                <c:pt idx="8">
                  <c:v>oct.-19</c:v>
                </c:pt>
                <c:pt idx="9">
                  <c:v>nov.-19</c:v>
                </c:pt>
                <c:pt idx="10">
                  <c:v>dic.-19</c:v>
                </c:pt>
                <c:pt idx="11">
                  <c:v>ene.-20</c:v>
                </c:pt>
                <c:pt idx="12">
                  <c:v>feb.-20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0.97254499999999999</c:v>
                </c:pt>
                <c:pt idx="1">
                  <c:v>1.955158</c:v>
                </c:pt>
                <c:pt idx="2">
                  <c:v>1.5483690000000001</c:v>
                </c:pt>
                <c:pt idx="3">
                  <c:v>2.031012</c:v>
                </c:pt>
                <c:pt idx="4">
                  <c:v>1.3721410000000001</c:v>
                </c:pt>
                <c:pt idx="5">
                  <c:v>3.727338</c:v>
                </c:pt>
                <c:pt idx="6">
                  <c:v>3.4751189999999998</c:v>
                </c:pt>
                <c:pt idx="7">
                  <c:v>2.2183510000000002</c:v>
                </c:pt>
                <c:pt idx="8">
                  <c:v>1.582837</c:v>
                </c:pt>
                <c:pt idx="9">
                  <c:v>2.0965220000000002</c:v>
                </c:pt>
                <c:pt idx="10">
                  <c:v>1.15967</c:v>
                </c:pt>
                <c:pt idx="11">
                  <c:v>0.82455000000000001</c:v>
                </c:pt>
                <c:pt idx="12">
                  <c:v>1.3385149999999999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feb.-19</c:v>
                </c:pt>
                <c:pt idx="1">
                  <c:v>mar.-19</c:v>
                </c:pt>
                <c:pt idx="2">
                  <c:v>abr.-19</c:v>
                </c:pt>
                <c:pt idx="3">
                  <c:v>may.-19</c:v>
                </c:pt>
                <c:pt idx="4">
                  <c:v>jun.-19</c:v>
                </c:pt>
                <c:pt idx="5">
                  <c:v>jul.-19</c:v>
                </c:pt>
                <c:pt idx="6">
                  <c:v>ago.-19</c:v>
                </c:pt>
                <c:pt idx="7">
                  <c:v>sep.-19</c:v>
                </c:pt>
                <c:pt idx="8">
                  <c:v>oct.-19</c:v>
                </c:pt>
                <c:pt idx="9">
                  <c:v>nov.-19</c:v>
                </c:pt>
                <c:pt idx="10">
                  <c:v>dic.-19</c:v>
                </c:pt>
                <c:pt idx="11">
                  <c:v>ene.-20</c:v>
                </c:pt>
                <c:pt idx="12">
                  <c:v>feb.-20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48.413316999999999</c:v>
                </c:pt>
                <c:pt idx="1">
                  <c:v>96.846602000000004</c:v>
                </c:pt>
                <c:pt idx="2">
                  <c:v>67.107826000000003</c:v>
                </c:pt>
                <c:pt idx="3">
                  <c:v>95.422933999999998</c:v>
                </c:pt>
                <c:pt idx="4">
                  <c:v>74.330708999999999</c:v>
                </c:pt>
                <c:pt idx="5">
                  <c:v>158.183166</c:v>
                </c:pt>
                <c:pt idx="6">
                  <c:v>158.502759</c:v>
                </c:pt>
                <c:pt idx="7">
                  <c:v>100.47458899999999</c:v>
                </c:pt>
                <c:pt idx="8">
                  <c:v>89.262077000000005</c:v>
                </c:pt>
                <c:pt idx="9">
                  <c:v>125.115903</c:v>
                </c:pt>
                <c:pt idx="10">
                  <c:v>68.901973999999996</c:v>
                </c:pt>
                <c:pt idx="11">
                  <c:v>59.057060999999997</c:v>
                </c:pt>
                <c:pt idx="12">
                  <c:v>93.063980000000001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feb.-19</c:v>
                </c:pt>
                <c:pt idx="1">
                  <c:v>mar.-19</c:v>
                </c:pt>
                <c:pt idx="2">
                  <c:v>abr.-19</c:v>
                </c:pt>
                <c:pt idx="3">
                  <c:v>may.-19</c:v>
                </c:pt>
                <c:pt idx="4">
                  <c:v>jun.-19</c:v>
                </c:pt>
                <c:pt idx="5">
                  <c:v>jul.-19</c:v>
                </c:pt>
                <c:pt idx="6">
                  <c:v>ago.-19</c:v>
                </c:pt>
                <c:pt idx="7">
                  <c:v>sep.-19</c:v>
                </c:pt>
                <c:pt idx="8">
                  <c:v>oct.-19</c:v>
                </c:pt>
                <c:pt idx="9">
                  <c:v>nov.-19</c:v>
                </c:pt>
                <c:pt idx="10">
                  <c:v>dic.-19</c:v>
                </c:pt>
                <c:pt idx="11">
                  <c:v>ene.-20</c:v>
                </c:pt>
                <c:pt idx="12">
                  <c:v>feb.-20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21.362932000000001</c:v>
                </c:pt>
                <c:pt idx="1">
                  <c:v>24.910511</c:v>
                </c:pt>
                <c:pt idx="2">
                  <c:v>24.555713999999998</c:v>
                </c:pt>
                <c:pt idx="3">
                  <c:v>29.454840999999998</c:v>
                </c:pt>
                <c:pt idx="4">
                  <c:v>23.327897</c:v>
                </c:pt>
                <c:pt idx="5">
                  <c:v>29.517797000000002</c:v>
                </c:pt>
                <c:pt idx="6">
                  <c:v>27.648233000000001</c:v>
                </c:pt>
                <c:pt idx="7">
                  <c:v>23.467742000000001</c:v>
                </c:pt>
                <c:pt idx="8">
                  <c:v>20.507878000000002</c:v>
                </c:pt>
                <c:pt idx="9">
                  <c:v>18.206491</c:v>
                </c:pt>
                <c:pt idx="10">
                  <c:v>17.045435000000001</c:v>
                </c:pt>
                <c:pt idx="11">
                  <c:v>18.372709</c:v>
                </c:pt>
                <c:pt idx="12">
                  <c:v>20.147513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feb.-19</c:v>
                </c:pt>
                <c:pt idx="1">
                  <c:v>mar.-19</c:v>
                </c:pt>
                <c:pt idx="2">
                  <c:v>abr.-19</c:v>
                </c:pt>
                <c:pt idx="3">
                  <c:v>may.-19</c:v>
                </c:pt>
                <c:pt idx="4">
                  <c:v>jun.-19</c:v>
                </c:pt>
                <c:pt idx="5">
                  <c:v>jul.-19</c:v>
                </c:pt>
                <c:pt idx="6">
                  <c:v>ago.-19</c:v>
                </c:pt>
                <c:pt idx="7">
                  <c:v>sep.-19</c:v>
                </c:pt>
                <c:pt idx="8">
                  <c:v>oct.-19</c:v>
                </c:pt>
                <c:pt idx="9">
                  <c:v>nov.-19</c:v>
                </c:pt>
                <c:pt idx="10">
                  <c:v>dic.-19</c:v>
                </c:pt>
                <c:pt idx="11">
                  <c:v>ene.-20</c:v>
                </c:pt>
                <c:pt idx="12">
                  <c:v>feb.-20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0.82279800000000003</c:v>
                </c:pt>
                <c:pt idx="1">
                  <c:v>0.90107099999999996</c:v>
                </c:pt>
                <c:pt idx="2">
                  <c:v>0.89633300000000005</c:v>
                </c:pt>
                <c:pt idx="3">
                  <c:v>0.94455500000000003</c:v>
                </c:pt>
                <c:pt idx="4">
                  <c:v>0.82330000000000003</c:v>
                </c:pt>
                <c:pt idx="5">
                  <c:v>0.917458</c:v>
                </c:pt>
                <c:pt idx="6">
                  <c:v>0.71267199999999997</c:v>
                </c:pt>
                <c:pt idx="7">
                  <c:v>0.43661899999999998</c:v>
                </c:pt>
                <c:pt idx="8">
                  <c:v>0.57729399999999997</c:v>
                </c:pt>
                <c:pt idx="9">
                  <c:v>0.87303399999999998</c:v>
                </c:pt>
                <c:pt idx="10">
                  <c:v>0.90510599999999997</c:v>
                </c:pt>
                <c:pt idx="11">
                  <c:v>0.87627999999999995</c:v>
                </c:pt>
                <c:pt idx="12">
                  <c:v>0.84570599999999996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>
          <a:extLst>
            <a:ext uri="{FF2B5EF4-FFF2-40B4-BE49-F238E27FC236}">
              <a16:creationId xmlns:a16="http://schemas.microsoft.com/office/drawing/2014/main" id="{72975A15-5FCC-4FF9-923B-0FDB5E8E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92" customWidth="1"/>
    <col min="2" max="2" width="2.7109375" style="92" customWidth="1"/>
    <col min="3" max="3" width="16.42578125" style="92" customWidth="1"/>
    <col min="4" max="4" width="4.7109375" style="92" customWidth="1"/>
    <col min="5" max="5" width="95.7109375" style="92" customWidth="1"/>
    <col min="6" max="16384" width="11.42578125" style="92"/>
  </cols>
  <sheetData>
    <row r="1" spans="2:15" ht="0.75" customHeight="1"/>
    <row r="2" spans="2:15" ht="21" customHeight="1">
      <c r="B2" s="92" t="s">
        <v>50</v>
      </c>
      <c r="C2" s="93"/>
      <c r="D2" s="93"/>
      <c r="E2" s="34" t="s">
        <v>19</v>
      </c>
    </row>
    <row r="3" spans="2:15" ht="15" customHeight="1">
      <c r="C3" s="93"/>
      <c r="D3" s="93"/>
      <c r="E3" s="51" t="str">
        <f>Dat_01!A2</f>
        <v>Febrero 2020</v>
      </c>
    </row>
    <row r="4" spans="2:15" s="95" customFormat="1" ht="20.25" customHeight="1">
      <c r="B4" s="94"/>
      <c r="C4" s="32" t="s">
        <v>46</v>
      </c>
    </row>
    <row r="5" spans="2:15" s="95" customFormat="1" ht="8.25" customHeight="1">
      <c r="B5" s="94"/>
      <c r="C5" s="96"/>
    </row>
    <row r="6" spans="2:15" s="95" customFormat="1" ht="3" customHeight="1">
      <c r="B6" s="94"/>
      <c r="C6" s="96"/>
    </row>
    <row r="7" spans="2:15" s="95" customFormat="1" ht="7.5" customHeight="1">
      <c r="B7" s="94"/>
      <c r="C7" s="97"/>
      <c r="D7" s="98"/>
      <c r="E7" s="98"/>
    </row>
    <row r="8" spans="2:15" ht="12.6" customHeight="1">
      <c r="D8" s="99" t="s">
        <v>51</v>
      </c>
      <c r="E8" s="100" t="str">
        <f>'SN1'!C7</f>
        <v>Componentes de la variación de la demanda Islas Baleares</v>
      </c>
    </row>
    <row r="9" spans="2:15" s="95" customFormat="1" ht="12.6" customHeight="1">
      <c r="B9" s="94"/>
      <c r="C9" s="101"/>
      <c r="D9" s="99" t="s">
        <v>51</v>
      </c>
      <c r="E9" s="100" t="str">
        <f>'SN2'!C7</f>
        <v>Componentes de la variación de la demanda Islas Canarias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2:15" s="95" customFormat="1" ht="12.6" customHeight="1">
      <c r="B10" s="94"/>
      <c r="C10" s="101"/>
      <c r="D10" s="99" t="s">
        <v>51</v>
      </c>
      <c r="E10" s="100" t="s">
        <v>53</v>
      </c>
      <c r="F10" s="9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2:15" ht="12.6" customHeight="1">
      <c r="D11" s="99" t="s">
        <v>51</v>
      </c>
      <c r="E11" s="100" t="str">
        <f>'SN4'!C7</f>
        <v>Estructura de potencia instalada Islas Baleares</v>
      </c>
      <c r="F11" s="102"/>
    </row>
    <row r="12" spans="2:15" ht="12.6" customHeight="1">
      <c r="D12" s="99" t="s">
        <v>51</v>
      </c>
      <c r="E12" s="100" t="str">
        <f>'SN4'!C24</f>
        <v>Cobertura de la demanda mensual Islas Baleares</v>
      </c>
      <c r="F12" s="102"/>
    </row>
    <row r="13" spans="2:15" ht="12.6" customHeight="1">
      <c r="D13" s="99" t="s">
        <v>51</v>
      </c>
      <c r="E13" s="100" t="str">
        <f>'SN5'!C7</f>
        <v xml:space="preserve">Evolución de la cobertura de la demanda de las Islas Baleares
</v>
      </c>
    </row>
    <row r="14" spans="2:15" ht="12.6" customHeight="1">
      <c r="D14" s="99" t="s">
        <v>51</v>
      </c>
      <c r="E14" s="100" t="str">
        <f>'SN6'!C7</f>
        <v>Estructura de potencia instalada Islas Canarias</v>
      </c>
    </row>
    <row r="15" spans="2:15" ht="12.6" customHeight="1">
      <c r="D15" s="99" t="s">
        <v>51</v>
      </c>
      <c r="E15" s="100" t="str">
        <f>'SN6'!C24</f>
        <v>Cobertura de la demanda mensual Islas Canarias</v>
      </c>
    </row>
    <row r="16" spans="2:15" ht="12.75" customHeight="1">
      <c r="D16" s="99" t="s">
        <v>51</v>
      </c>
      <c r="E16" s="100" t="str">
        <f>'SN7'!C7</f>
        <v xml:space="preserve">Evolución de la cobertura de la demanda de las Islas Canarias
</v>
      </c>
      <c r="F16" s="102"/>
    </row>
    <row r="17" spans="2:5" s="95" customFormat="1" ht="7.5" customHeight="1">
      <c r="B17" s="94"/>
      <c r="C17" s="97"/>
      <c r="D17" s="98"/>
      <c r="E17" s="98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workbookViewId="0">
      <selection activeCell="L14" sqref="L14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Febrero 2020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90" t="s">
        <v>47</v>
      </c>
      <c r="E7" s="77"/>
      <c r="F7" s="191" t="str">
        <f>K3</f>
        <v>Febrero 2020</v>
      </c>
      <c r="G7" s="192"/>
      <c r="H7" s="192" t="s">
        <v>37</v>
      </c>
      <c r="I7" s="192"/>
      <c r="J7" s="192" t="s">
        <v>38</v>
      </c>
      <c r="K7" s="192"/>
    </row>
    <row r="8" spans="3:12">
      <c r="C8" s="190"/>
      <c r="E8" s="78"/>
      <c r="F8" s="79" t="s">
        <v>13</v>
      </c>
      <c r="G8" s="106" t="str">
        <f>CONCATENATE("% ",RIGHT(F7,2),"/",RIGHT(F7,2)-1)</f>
        <v>% 20/19</v>
      </c>
      <c r="H8" s="79" t="s">
        <v>13</v>
      </c>
      <c r="I8" s="80" t="str">
        <f>G8</f>
        <v>% 20/19</v>
      </c>
      <c r="J8" s="79" t="s">
        <v>13</v>
      </c>
      <c r="K8" s="80" t="str">
        <f>G8</f>
        <v>% 20/19</v>
      </c>
    </row>
    <row r="9" spans="3:12">
      <c r="C9" s="81"/>
      <c r="E9" s="82" t="s">
        <v>39</v>
      </c>
      <c r="F9" s="83">
        <f>Dat_01!R24/1000</f>
        <v>403.35234100000002</v>
      </c>
      <c r="G9" s="164">
        <f>Dat_01!T24*100</f>
        <v>-2.8872574000000002</v>
      </c>
      <c r="H9" s="83">
        <f>Dat_01!U24/1000</f>
        <v>859.81305500000008</v>
      </c>
      <c r="I9" s="164">
        <f>Dat_01!W24*100</f>
        <v>-3.7314471500000002</v>
      </c>
      <c r="J9" s="83">
        <f>Dat_01!X24/1000</f>
        <v>6080.7762339999999</v>
      </c>
      <c r="K9" s="164">
        <f>Dat_01!Y24*100</f>
        <v>0.4025745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Dat_01!D152*100</f>
        <v>-0.129</v>
      </c>
      <c r="H12" s="103"/>
      <c r="I12" s="103">
        <f>Dat_01!H152*100</f>
        <v>-0.32299999999999995</v>
      </c>
      <c r="J12" s="103"/>
      <c r="K12" s="103">
        <f>Dat_01!L152*100</f>
        <v>0.34699999999999998</v>
      </c>
    </row>
    <row r="13" spans="3:12">
      <c r="E13" s="85" t="s">
        <v>42</v>
      </c>
      <c r="F13" s="84"/>
      <c r="G13" s="103">
        <f>Dat_01!E152*100</f>
        <v>-2.4950000000000001</v>
      </c>
      <c r="H13" s="103"/>
      <c r="I13" s="103">
        <f>Dat_01!I152*100</f>
        <v>-2.6749999999999998</v>
      </c>
      <c r="J13" s="103"/>
      <c r="K13" s="103">
        <f>Dat_01!M152*100</f>
        <v>-0.58699999999999997</v>
      </c>
    </row>
    <row r="14" spans="3:12">
      <c r="E14" s="86" t="s">
        <v>43</v>
      </c>
      <c r="F14" s="87"/>
      <c r="G14" s="104">
        <f>Dat_01!F152*100</f>
        <v>-0.26300000000000001</v>
      </c>
      <c r="H14" s="104"/>
      <c r="I14" s="104">
        <f>Dat_01!J152*100</f>
        <v>-0.73299999999999998</v>
      </c>
      <c r="J14" s="104"/>
      <c r="K14" s="104">
        <f>Dat_01!N152*100</f>
        <v>0.64300000000000002</v>
      </c>
    </row>
    <row r="15" spans="3:12">
      <c r="E15" s="193" t="s">
        <v>44</v>
      </c>
      <c r="F15" s="193"/>
      <c r="G15" s="193"/>
      <c r="H15" s="193"/>
      <c r="I15" s="193"/>
      <c r="J15" s="193"/>
      <c r="K15" s="193"/>
    </row>
    <row r="16" spans="3:12" ht="21.75" customHeight="1">
      <c r="E16" s="189" t="s">
        <v>45</v>
      </c>
      <c r="F16" s="189"/>
      <c r="G16" s="189"/>
      <c r="H16" s="189"/>
      <c r="I16" s="189"/>
      <c r="J16" s="189"/>
      <c r="K16" s="189"/>
    </row>
    <row r="20" spans="7:11">
      <c r="G20" s="178"/>
      <c r="H20" s="178"/>
      <c r="I20" s="178"/>
      <c r="J20" s="178"/>
      <c r="K20" s="178"/>
    </row>
    <row r="21" spans="7:11">
      <c r="G21" s="178"/>
      <c r="H21" s="178"/>
      <c r="I21" s="178"/>
      <c r="J21" s="178"/>
      <c r="K21" s="178"/>
    </row>
    <row r="22" spans="7:11">
      <c r="G22" s="178"/>
      <c r="H22" s="178"/>
      <c r="I22" s="178"/>
      <c r="J22" s="178"/>
      <c r="K22" s="178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M17" sqref="M17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Febrero 2020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90" t="s">
        <v>48</v>
      </c>
      <c r="E7" s="77"/>
      <c r="F7" s="191" t="str">
        <f>K3</f>
        <v>Febrero 2020</v>
      </c>
      <c r="G7" s="192"/>
      <c r="H7" s="192" t="s">
        <v>37</v>
      </c>
      <c r="I7" s="192"/>
      <c r="J7" s="192" t="s">
        <v>38</v>
      </c>
      <c r="K7" s="192"/>
    </row>
    <row r="8" spans="3:12">
      <c r="C8" s="190"/>
      <c r="E8" s="78"/>
      <c r="F8" s="79" t="s">
        <v>13</v>
      </c>
      <c r="G8" s="106" t="str">
        <f>CONCATENATE("% ",RIGHT(F7,2),"/",RIGHT(F7,2)-1)</f>
        <v>% 20/19</v>
      </c>
      <c r="H8" s="79" t="s">
        <v>13</v>
      </c>
      <c r="I8" s="107" t="str">
        <f>G8</f>
        <v>% 20/19</v>
      </c>
      <c r="J8" s="79" t="s">
        <v>13</v>
      </c>
      <c r="K8" s="107" t="str">
        <f>G8</f>
        <v>% 20/19</v>
      </c>
    </row>
    <row r="9" spans="3:12">
      <c r="C9" s="81"/>
      <c r="E9" s="82" t="s">
        <v>39</v>
      </c>
      <c r="F9" s="83">
        <f>Dat_01!Z24/1000</f>
        <v>705.66711999999995</v>
      </c>
      <c r="G9" s="164">
        <f>Dat_01!AB24*100</f>
        <v>3.9929002399999995</v>
      </c>
      <c r="H9" s="83">
        <f>Dat_01!AC24/1000</f>
        <v>1461.3609280000001</v>
      </c>
      <c r="I9" s="164">
        <f>Dat_01!AE24*100</f>
        <v>1.9135760399999999</v>
      </c>
      <c r="J9" s="83">
        <f>Dat_01!AF24/1000</f>
        <v>8902.1138780000001</v>
      </c>
      <c r="K9" s="164">
        <f>Dat_01!AG24*100</f>
        <v>0.72705149000000002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Dat_01!D158*100</f>
        <v>-0.45500000000000002</v>
      </c>
      <c r="H12" s="103"/>
      <c r="I12" s="103">
        <f>Dat_01!H158*100</f>
        <v>-0.69100000000000006</v>
      </c>
      <c r="J12" s="103"/>
      <c r="K12" s="103">
        <f>Dat_01!L158*100</f>
        <v>0.253</v>
      </c>
    </row>
    <row r="13" spans="3:12">
      <c r="E13" s="85" t="s">
        <v>42</v>
      </c>
      <c r="F13" s="84"/>
      <c r="G13" s="103">
        <f>Dat_01!E158*100</f>
        <v>-0.20600000000000002</v>
      </c>
      <c r="H13" s="103"/>
      <c r="I13" s="103">
        <f>Dat_01!I158*100</f>
        <v>-0.127</v>
      </c>
      <c r="J13" s="103"/>
      <c r="K13" s="103">
        <f>Dat_01!M158*100</f>
        <v>6.6000000000000003E-2</v>
      </c>
    </row>
    <row r="14" spans="3:12">
      <c r="E14" s="86" t="s">
        <v>43</v>
      </c>
      <c r="F14" s="87"/>
      <c r="G14" s="104">
        <f>Dat_01!F158*100</f>
        <v>4.6539999999999999</v>
      </c>
      <c r="H14" s="104"/>
      <c r="I14" s="104">
        <f>Dat_01!J158*100</f>
        <v>2.7320000000000002</v>
      </c>
      <c r="J14" s="104"/>
      <c r="K14" s="104">
        <f>Dat_01!N158*100</f>
        <v>0.40800000000000003</v>
      </c>
    </row>
    <row r="15" spans="3:12">
      <c r="E15" s="193" t="s">
        <v>44</v>
      </c>
      <c r="F15" s="193"/>
      <c r="G15" s="193"/>
      <c r="H15" s="193"/>
      <c r="I15" s="193"/>
      <c r="J15" s="193"/>
      <c r="K15" s="193"/>
    </row>
    <row r="16" spans="3:12" ht="21.75" customHeight="1">
      <c r="E16" s="189" t="s">
        <v>45</v>
      </c>
      <c r="F16" s="189"/>
      <c r="G16" s="189"/>
      <c r="H16" s="189"/>
      <c r="I16" s="189"/>
      <c r="J16" s="189"/>
      <c r="K16" s="189"/>
    </row>
    <row r="19" spans="7:11">
      <c r="G19" s="178"/>
      <c r="H19" s="178"/>
      <c r="I19" s="178"/>
      <c r="J19" s="178"/>
      <c r="K19" s="178"/>
    </row>
    <row r="20" spans="7:11">
      <c r="G20" s="178"/>
      <c r="H20" s="178"/>
      <c r="I20" s="178"/>
      <c r="J20" s="178"/>
      <c r="K20" s="178"/>
    </row>
    <row r="21" spans="7:11">
      <c r="G21" s="178"/>
      <c r="H21" s="178"/>
      <c r="I21" s="178"/>
      <c r="J21" s="178"/>
      <c r="K21" s="178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108" t="s">
        <v>125</v>
      </c>
    </row>
    <row r="2" spans="1:2">
      <c r="A2" t="s">
        <v>120</v>
      </c>
    </row>
    <row r="3" spans="1:2">
      <c r="A3" t="s">
        <v>121</v>
      </c>
    </row>
    <row r="4" spans="1:2">
      <c r="A4" t="s">
        <v>123</v>
      </c>
    </row>
    <row r="5" spans="1:2">
      <c r="A5" t="s">
        <v>124</v>
      </c>
    </row>
    <row r="6" spans="1:2">
      <c r="A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Q16" sqref="Q16"/>
    </sheetView>
  </sheetViews>
  <sheetFormatPr baseColWidth="10" defaultRowHeight="11.25"/>
  <cols>
    <col min="1" max="1" width="0.140625" style="1" customWidth="1"/>
    <col min="2" max="2" width="2.7109375" style="1" customWidth="1"/>
    <col min="3" max="3" width="23.7109375" style="2" customWidth="1"/>
    <col min="4" max="4" width="1.28515625" style="2" customWidth="1"/>
    <col min="5" max="5" width="29.140625" style="2" customWidth="1"/>
    <col min="6" max="7" width="7.7109375" style="2" customWidth="1"/>
    <col min="8" max="9" width="7.7109375" style="1" customWidth="1"/>
    <col min="10" max="11" width="7.7109375" style="2" customWidth="1"/>
    <col min="12" max="13" width="7.7109375" style="1" customWidth="1"/>
    <col min="14" max="254" width="11.42578125" style="1"/>
    <col min="255" max="255" width="0.140625" style="1" customWidth="1"/>
    <col min="256" max="256" width="2.7109375" style="1" customWidth="1"/>
    <col min="257" max="257" width="15.42578125" style="1" customWidth="1"/>
    <col min="258" max="258" width="1.285156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28515625" style="1" customWidth="1"/>
    <col min="266" max="266" width="7" style="1" customWidth="1"/>
    <col min="267" max="267" width="6.710937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7109375" style="1" customWidth="1"/>
    <col min="513" max="513" width="15.42578125" style="1" customWidth="1"/>
    <col min="514" max="514" width="1.285156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28515625" style="1" customWidth="1"/>
    <col min="522" max="522" width="7" style="1" customWidth="1"/>
    <col min="523" max="523" width="6.710937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7109375" style="1" customWidth="1"/>
    <col min="769" max="769" width="15.42578125" style="1" customWidth="1"/>
    <col min="770" max="770" width="1.285156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28515625" style="1" customWidth="1"/>
    <col min="778" max="778" width="7" style="1" customWidth="1"/>
    <col min="779" max="779" width="6.710937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7109375" style="1" customWidth="1"/>
    <col min="1025" max="1025" width="15.42578125" style="1" customWidth="1"/>
    <col min="1026" max="1026" width="1.285156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28515625" style="1" customWidth="1"/>
    <col min="1034" max="1034" width="7" style="1" customWidth="1"/>
    <col min="1035" max="1035" width="6.710937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7109375" style="1" customWidth="1"/>
    <col min="1281" max="1281" width="15.42578125" style="1" customWidth="1"/>
    <col min="1282" max="1282" width="1.285156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28515625" style="1" customWidth="1"/>
    <col min="1290" max="1290" width="7" style="1" customWidth="1"/>
    <col min="1291" max="1291" width="6.710937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7109375" style="1" customWidth="1"/>
    <col min="1537" max="1537" width="15.42578125" style="1" customWidth="1"/>
    <col min="1538" max="1538" width="1.285156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28515625" style="1" customWidth="1"/>
    <col min="1546" max="1546" width="7" style="1" customWidth="1"/>
    <col min="1547" max="1547" width="6.710937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7109375" style="1" customWidth="1"/>
    <col min="1793" max="1793" width="15.42578125" style="1" customWidth="1"/>
    <col min="1794" max="1794" width="1.285156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28515625" style="1" customWidth="1"/>
    <col min="1802" max="1802" width="7" style="1" customWidth="1"/>
    <col min="1803" max="1803" width="6.710937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7109375" style="1" customWidth="1"/>
    <col min="2049" max="2049" width="15.42578125" style="1" customWidth="1"/>
    <col min="2050" max="2050" width="1.285156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28515625" style="1" customWidth="1"/>
    <col min="2058" max="2058" width="7" style="1" customWidth="1"/>
    <col min="2059" max="2059" width="6.710937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7109375" style="1" customWidth="1"/>
    <col min="2305" max="2305" width="15.42578125" style="1" customWidth="1"/>
    <col min="2306" max="2306" width="1.285156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28515625" style="1" customWidth="1"/>
    <col min="2314" max="2314" width="7" style="1" customWidth="1"/>
    <col min="2315" max="2315" width="6.710937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7109375" style="1" customWidth="1"/>
    <col min="2561" max="2561" width="15.42578125" style="1" customWidth="1"/>
    <col min="2562" max="2562" width="1.285156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28515625" style="1" customWidth="1"/>
    <col min="2570" max="2570" width="7" style="1" customWidth="1"/>
    <col min="2571" max="2571" width="6.710937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7109375" style="1" customWidth="1"/>
    <col min="2817" max="2817" width="15.42578125" style="1" customWidth="1"/>
    <col min="2818" max="2818" width="1.285156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28515625" style="1" customWidth="1"/>
    <col min="2826" max="2826" width="7" style="1" customWidth="1"/>
    <col min="2827" max="2827" width="6.710937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7109375" style="1" customWidth="1"/>
    <col min="3073" max="3073" width="15.42578125" style="1" customWidth="1"/>
    <col min="3074" max="3074" width="1.285156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28515625" style="1" customWidth="1"/>
    <col min="3082" max="3082" width="7" style="1" customWidth="1"/>
    <col min="3083" max="3083" width="6.710937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7109375" style="1" customWidth="1"/>
    <col min="3329" max="3329" width="15.42578125" style="1" customWidth="1"/>
    <col min="3330" max="3330" width="1.285156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28515625" style="1" customWidth="1"/>
    <col min="3338" max="3338" width="7" style="1" customWidth="1"/>
    <col min="3339" max="3339" width="6.710937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7109375" style="1" customWidth="1"/>
    <col min="3585" max="3585" width="15.42578125" style="1" customWidth="1"/>
    <col min="3586" max="3586" width="1.285156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28515625" style="1" customWidth="1"/>
    <col min="3594" max="3594" width="7" style="1" customWidth="1"/>
    <col min="3595" max="3595" width="6.710937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7109375" style="1" customWidth="1"/>
    <col min="3841" max="3841" width="15.42578125" style="1" customWidth="1"/>
    <col min="3842" max="3842" width="1.285156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28515625" style="1" customWidth="1"/>
    <col min="3850" max="3850" width="7" style="1" customWidth="1"/>
    <col min="3851" max="3851" width="6.710937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7109375" style="1" customWidth="1"/>
    <col min="4097" max="4097" width="15.42578125" style="1" customWidth="1"/>
    <col min="4098" max="4098" width="1.285156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28515625" style="1" customWidth="1"/>
    <col min="4106" max="4106" width="7" style="1" customWidth="1"/>
    <col min="4107" max="4107" width="6.710937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7109375" style="1" customWidth="1"/>
    <col min="4353" max="4353" width="15.42578125" style="1" customWidth="1"/>
    <col min="4354" max="4354" width="1.285156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28515625" style="1" customWidth="1"/>
    <col min="4362" max="4362" width="7" style="1" customWidth="1"/>
    <col min="4363" max="4363" width="6.710937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7109375" style="1" customWidth="1"/>
    <col min="4609" max="4609" width="15.42578125" style="1" customWidth="1"/>
    <col min="4610" max="4610" width="1.285156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28515625" style="1" customWidth="1"/>
    <col min="4618" max="4618" width="7" style="1" customWidth="1"/>
    <col min="4619" max="4619" width="6.710937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7109375" style="1" customWidth="1"/>
    <col min="4865" max="4865" width="15.42578125" style="1" customWidth="1"/>
    <col min="4866" max="4866" width="1.285156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28515625" style="1" customWidth="1"/>
    <col min="4874" max="4874" width="7" style="1" customWidth="1"/>
    <col min="4875" max="4875" width="6.710937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7109375" style="1" customWidth="1"/>
    <col min="5121" max="5121" width="15.42578125" style="1" customWidth="1"/>
    <col min="5122" max="5122" width="1.285156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28515625" style="1" customWidth="1"/>
    <col min="5130" max="5130" width="7" style="1" customWidth="1"/>
    <col min="5131" max="5131" width="6.710937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7109375" style="1" customWidth="1"/>
    <col min="5377" max="5377" width="15.42578125" style="1" customWidth="1"/>
    <col min="5378" max="5378" width="1.285156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28515625" style="1" customWidth="1"/>
    <col min="5386" max="5386" width="7" style="1" customWidth="1"/>
    <col min="5387" max="5387" width="6.710937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7109375" style="1" customWidth="1"/>
    <col min="5633" max="5633" width="15.42578125" style="1" customWidth="1"/>
    <col min="5634" max="5634" width="1.285156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28515625" style="1" customWidth="1"/>
    <col min="5642" max="5642" width="7" style="1" customWidth="1"/>
    <col min="5643" max="5643" width="6.710937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7109375" style="1" customWidth="1"/>
    <col min="5889" max="5889" width="15.42578125" style="1" customWidth="1"/>
    <col min="5890" max="5890" width="1.285156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28515625" style="1" customWidth="1"/>
    <col min="5898" max="5898" width="7" style="1" customWidth="1"/>
    <col min="5899" max="5899" width="6.710937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7109375" style="1" customWidth="1"/>
    <col min="6145" max="6145" width="15.42578125" style="1" customWidth="1"/>
    <col min="6146" max="6146" width="1.285156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28515625" style="1" customWidth="1"/>
    <col min="6154" max="6154" width="7" style="1" customWidth="1"/>
    <col min="6155" max="6155" width="6.710937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7109375" style="1" customWidth="1"/>
    <col min="6401" max="6401" width="15.42578125" style="1" customWidth="1"/>
    <col min="6402" max="6402" width="1.285156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28515625" style="1" customWidth="1"/>
    <col min="6410" max="6410" width="7" style="1" customWidth="1"/>
    <col min="6411" max="6411" width="6.710937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7109375" style="1" customWidth="1"/>
    <col min="6657" max="6657" width="15.42578125" style="1" customWidth="1"/>
    <col min="6658" max="6658" width="1.285156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28515625" style="1" customWidth="1"/>
    <col min="6666" max="6666" width="7" style="1" customWidth="1"/>
    <col min="6667" max="6667" width="6.710937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7109375" style="1" customWidth="1"/>
    <col min="6913" max="6913" width="15.42578125" style="1" customWidth="1"/>
    <col min="6914" max="6914" width="1.285156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28515625" style="1" customWidth="1"/>
    <col min="6922" max="6922" width="7" style="1" customWidth="1"/>
    <col min="6923" max="6923" width="6.710937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7109375" style="1" customWidth="1"/>
    <col min="7169" max="7169" width="15.42578125" style="1" customWidth="1"/>
    <col min="7170" max="7170" width="1.285156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28515625" style="1" customWidth="1"/>
    <col min="7178" max="7178" width="7" style="1" customWidth="1"/>
    <col min="7179" max="7179" width="6.710937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7109375" style="1" customWidth="1"/>
    <col min="7425" max="7425" width="15.42578125" style="1" customWidth="1"/>
    <col min="7426" max="7426" width="1.285156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28515625" style="1" customWidth="1"/>
    <col min="7434" max="7434" width="7" style="1" customWidth="1"/>
    <col min="7435" max="7435" width="6.710937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7109375" style="1" customWidth="1"/>
    <col min="7681" max="7681" width="15.42578125" style="1" customWidth="1"/>
    <col min="7682" max="7682" width="1.285156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28515625" style="1" customWidth="1"/>
    <col min="7690" max="7690" width="7" style="1" customWidth="1"/>
    <col min="7691" max="7691" width="6.710937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7109375" style="1" customWidth="1"/>
    <col min="7937" max="7937" width="15.42578125" style="1" customWidth="1"/>
    <col min="7938" max="7938" width="1.285156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28515625" style="1" customWidth="1"/>
    <col min="7946" max="7946" width="7" style="1" customWidth="1"/>
    <col min="7947" max="7947" width="6.710937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7109375" style="1" customWidth="1"/>
    <col min="8193" max="8193" width="15.42578125" style="1" customWidth="1"/>
    <col min="8194" max="8194" width="1.285156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28515625" style="1" customWidth="1"/>
    <col min="8202" max="8202" width="7" style="1" customWidth="1"/>
    <col min="8203" max="8203" width="6.710937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7109375" style="1" customWidth="1"/>
    <col min="8449" max="8449" width="15.42578125" style="1" customWidth="1"/>
    <col min="8450" max="8450" width="1.285156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28515625" style="1" customWidth="1"/>
    <col min="8458" max="8458" width="7" style="1" customWidth="1"/>
    <col min="8459" max="8459" width="6.710937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7109375" style="1" customWidth="1"/>
    <col min="8705" max="8705" width="15.42578125" style="1" customWidth="1"/>
    <col min="8706" max="8706" width="1.285156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28515625" style="1" customWidth="1"/>
    <col min="8714" max="8714" width="7" style="1" customWidth="1"/>
    <col min="8715" max="8715" width="6.710937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7109375" style="1" customWidth="1"/>
    <col min="8961" max="8961" width="15.42578125" style="1" customWidth="1"/>
    <col min="8962" max="8962" width="1.285156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28515625" style="1" customWidth="1"/>
    <col min="8970" max="8970" width="7" style="1" customWidth="1"/>
    <col min="8971" max="8971" width="6.710937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7109375" style="1" customWidth="1"/>
    <col min="9217" max="9217" width="15.42578125" style="1" customWidth="1"/>
    <col min="9218" max="9218" width="1.285156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28515625" style="1" customWidth="1"/>
    <col min="9226" max="9226" width="7" style="1" customWidth="1"/>
    <col min="9227" max="9227" width="6.710937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7109375" style="1" customWidth="1"/>
    <col min="9473" max="9473" width="15.42578125" style="1" customWidth="1"/>
    <col min="9474" max="9474" width="1.285156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28515625" style="1" customWidth="1"/>
    <col min="9482" max="9482" width="7" style="1" customWidth="1"/>
    <col min="9483" max="9483" width="6.710937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7109375" style="1" customWidth="1"/>
    <col min="9729" max="9729" width="15.42578125" style="1" customWidth="1"/>
    <col min="9730" max="9730" width="1.285156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28515625" style="1" customWidth="1"/>
    <col min="9738" max="9738" width="7" style="1" customWidth="1"/>
    <col min="9739" max="9739" width="6.710937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7109375" style="1" customWidth="1"/>
    <col min="9985" max="9985" width="15.42578125" style="1" customWidth="1"/>
    <col min="9986" max="9986" width="1.285156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28515625" style="1" customWidth="1"/>
    <col min="9994" max="9994" width="7" style="1" customWidth="1"/>
    <col min="9995" max="9995" width="6.710937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7109375" style="1" customWidth="1"/>
    <col min="10241" max="10241" width="15.42578125" style="1" customWidth="1"/>
    <col min="10242" max="10242" width="1.285156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28515625" style="1" customWidth="1"/>
    <col min="10250" max="10250" width="7" style="1" customWidth="1"/>
    <col min="10251" max="10251" width="6.710937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7109375" style="1" customWidth="1"/>
    <col min="10497" max="10497" width="15.42578125" style="1" customWidth="1"/>
    <col min="10498" max="10498" width="1.285156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28515625" style="1" customWidth="1"/>
    <col min="10506" max="10506" width="7" style="1" customWidth="1"/>
    <col min="10507" max="10507" width="6.710937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7109375" style="1" customWidth="1"/>
    <col min="10753" max="10753" width="15.42578125" style="1" customWidth="1"/>
    <col min="10754" max="10754" width="1.285156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28515625" style="1" customWidth="1"/>
    <col min="10762" max="10762" width="7" style="1" customWidth="1"/>
    <col min="10763" max="10763" width="6.710937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7109375" style="1" customWidth="1"/>
    <col min="11009" max="11009" width="15.42578125" style="1" customWidth="1"/>
    <col min="11010" max="11010" width="1.285156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28515625" style="1" customWidth="1"/>
    <col min="11018" max="11018" width="7" style="1" customWidth="1"/>
    <col min="11019" max="11019" width="6.710937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7109375" style="1" customWidth="1"/>
    <col min="11265" max="11265" width="15.42578125" style="1" customWidth="1"/>
    <col min="11266" max="11266" width="1.285156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28515625" style="1" customWidth="1"/>
    <col min="11274" max="11274" width="7" style="1" customWidth="1"/>
    <col min="11275" max="11275" width="6.710937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7109375" style="1" customWidth="1"/>
    <col min="11521" max="11521" width="15.42578125" style="1" customWidth="1"/>
    <col min="11522" max="11522" width="1.285156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28515625" style="1" customWidth="1"/>
    <col min="11530" max="11530" width="7" style="1" customWidth="1"/>
    <col min="11531" max="11531" width="6.710937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7109375" style="1" customWidth="1"/>
    <col min="11777" max="11777" width="15.42578125" style="1" customWidth="1"/>
    <col min="11778" max="11778" width="1.285156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28515625" style="1" customWidth="1"/>
    <col min="11786" max="11786" width="7" style="1" customWidth="1"/>
    <col min="11787" max="11787" width="6.710937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7109375" style="1" customWidth="1"/>
    <col min="12033" max="12033" width="15.42578125" style="1" customWidth="1"/>
    <col min="12034" max="12034" width="1.285156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28515625" style="1" customWidth="1"/>
    <col min="12042" max="12042" width="7" style="1" customWidth="1"/>
    <col min="12043" max="12043" width="6.710937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7109375" style="1" customWidth="1"/>
    <col min="12289" max="12289" width="15.42578125" style="1" customWidth="1"/>
    <col min="12290" max="12290" width="1.285156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28515625" style="1" customWidth="1"/>
    <col min="12298" max="12298" width="7" style="1" customWidth="1"/>
    <col min="12299" max="12299" width="6.710937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7109375" style="1" customWidth="1"/>
    <col min="12545" max="12545" width="15.42578125" style="1" customWidth="1"/>
    <col min="12546" max="12546" width="1.285156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28515625" style="1" customWidth="1"/>
    <col min="12554" max="12554" width="7" style="1" customWidth="1"/>
    <col min="12555" max="12555" width="6.710937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7109375" style="1" customWidth="1"/>
    <col min="12801" max="12801" width="15.42578125" style="1" customWidth="1"/>
    <col min="12802" max="12802" width="1.285156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28515625" style="1" customWidth="1"/>
    <col min="12810" max="12810" width="7" style="1" customWidth="1"/>
    <col min="12811" max="12811" width="6.710937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7109375" style="1" customWidth="1"/>
    <col min="13057" max="13057" width="15.42578125" style="1" customWidth="1"/>
    <col min="13058" max="13058" width="1.285156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28515625" style="1" customWidth="1"/>
    <col min="13066" max="13066" width="7" style="1" customWidth="1"/>
    <col min="13067" max="13067" width="6.710937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7109375" style="1" customWidth="1"/>
    <col min="13313" max="13313" width="15.42578125" style="1" customWidth="1"/>
    <col min="13314" max="13314" width="1.285156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28515625" style="1" customWidth="1"/>
    <col min="13322" max="13322" width="7" style="1" customWidth="1"/>
    <col min="13323" max="13323" width="6.710937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7109375" style="1" customWidth="1"/>
    <col min="13569" max="13569" width="15.42578125" style="1" customWidth="1"/>
    <col min="13570" max="13570" width="1.285156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28515625" style="1" customWidth="1"/>
    <col min="13578" max="13578" width="7" style="1" customWidth="1"/>
    <col min="13579" max="13579" width="6.710937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7109375" style="1" customWidth="1"/>
    <col min="13825" max="13825" width="15.42578125" style="1" customWidth="1"/>
    <col min="13826" max="13826" width="1.285156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28515625" style="1" customWidth="1"/>
    <col min="13834" max="13834" width="7" style="1" customWidth="1"/>
    <col min="13835" max="13835" width="6.710937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7109375" style="1" customWidth="1"/>
    <col min="14081" max="14081" width="15.42578125" style="1" customWidth="1"/>
    <col min="14082" max="14082" width="1.285156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28515625" style="1" customWidth="1"/>
    <col min="14090" max="14090" width="7" style="1" customWidth="1"/>
    <col min="14091" max="14091" width="6.710937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7109375" style="1" customWidth="1"/>
    <col min="14337" max="14337" width="15.42578125" style="1" customWidth="1"/>
    <col min="14338" max="14338" width="1.285156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28515625" style="1" customWidth="1"/>
    <col min="14346" max="14346" width="7" style="1" customWidth="1"/>
    <col min="14347" max="14347" width="6.710937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7109375" style="1" customWidth="1"/>
    <col min="14593" max="14593" width="15.42578125" style="1" customWidth="1"/>
    <col min="14594" max="14594" width="1.285156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28515625" style="1" customWidth="1"/>
    <col min="14602" max="14602" width="7" style="1" customWidth="1"/>
    <col min="14603" max="14603" width="6.710937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7109375" style="1" customWidth="1"/>
    <col min="14849" max="14849" width="15.42578125" style="1" customWidth="1"/>
    <col min="14850" max="14850" width="1.285156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28515625" style="1" customWidth="1"/>
    <col min="14858" max="14858" width="7" style="1" customWidth="1"/>
    <col min="14859" max="14859" width="6.710937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7109375" style="1" customWidth="1"/>
    <col min="15105" max="15105" width="15.42578125" style="1" customWidth="1"/>
    <col min="15106" max="15106" width="1.285156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28515625" style="1" customWidth="1"/>
    <col min="15114" max="15114" width="7" style="1" customWidth="1"/>
    <col min="15115" max="15115" width="6.710937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7109375" style="1" customWidth="1"/>
    <col min="15361" max="15361" width="15.42578125" style="1" customWidth="1"/>
    <col min="15362" max="15362" width="1.285156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28515625" style="1" customWidth="1"/>
    <col min="15370" max="15370" width="7" style="1" customWidth="1"/>
    <col min="15371" max="15371" width="6.710937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7109375" style="1" customWidth="1"/>
    <col min="15617" max="15617" width="15.42578125" style="1" customWidth="1"/>
    <col min="15618" max="15618" width="1.285156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28515625" style="1" customWidth="1"/>
    <col min="15626" max="15626" width="7" style="1" customWidth="1"/>
    <col min="15627" max="15627" width="6.710937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7109375" style="1" customWidth="1"/>
    <col min="15873" max="15873" width="15.42578125" style="1" customWidth="1"/>
    <col min="15874" max="15874" width="1.285156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28515625" style="1" customWidth="1"/>
    <col min="15882" max="15882" width="7" style="1" customWidth="1"/>
    <col min="15883" max="15883" width="6.710937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7109375" style="1" customWidth="1"/>
    <col min="16129" max="16129" width="15.42578125" style="1" customWidth="1"/>
    <col min="16130" max="16130" width="1.285156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28515625" style="1" customWidth="1"/>
    <col min="16138" max="16138" width="7" style="1" customWidth="1"/>
    <col min="16139" max="16139" width="6.710937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4" t="s">
        <v>19</v>
      </c>
    </row>
    <row r="3" spans="3:23" ht="15" customHeight="1">
      <c r="M3" s="33" t="str">
        <f>Indice!E3</f>
        <v>Febrero 2020</v>
      </c>
    </row>
    <row r="4" spans="3:23" ht="20.25" customHeight="1">
      <c r="C4" s="32" t="s">
        <v>46</v>
      </c>
    </row>
    <row r="5" spans="3:23" ht="12.75" customHeight="1"/>
    <row r="6" spans="3:23" ht="13.5" customHeight="1"/>
    <row r="7" spans="3:23" s="28" customFormat="1" ht="12.75" customHeight="1">
      <c r="C7" s="194" t="s">
        <v>18</v>
      </c>
      <c r="E7" s="31"/>
      <c r="F7" s="195" t="s">
        <v>17</v>
      </c>
      <c r="G7" s="196"/>
      <c r="H7" s="195" t="s">
        <v>16</v>
      </c>
      <c r="I7" s="196"/>
      <c r="J7" s="195" t="s">
        <v>15</v>
      </c>
      <c r="K7" s="196"/>
      <c r="L7" s="195" t="s">
        <v>14</v>
      </c>
      <c r="M7" s="196"/>
    </row>
    <row r="8" spans="3:23" s="28" customFormat="1" ht="12.75" customHeight="1">
      <c r="C8" s="194"/>
      <c r="E8" s="30"/>
      <c r="F8" s="29" t="s">
        <v>13</v>
      </c>
      <c r="G8" s="105" t="str">
        <f>CONCATENATE("% ",RIGHT(M3,2),"/",RIGHT(M3,2)-1)</f>
        <v>% 20/19</v>
      </c>
      <c r="H8" s="29" t="s">
        <v>13</v>
      </c>
      <c r="I8" s="105" t="str">
        <f>G8</f>
        <v>% 20/19</v>
      </c>
      <c r="J8" s="29" t="s">
        <v>13</v>
      </c>
      <c r="K8" s="105" t="str">
        <f>I8</f>
        <v>% 20/19</v>
      </c>
      <c r="L8" s="29" t="s">
        <v>13</v>
      </c>
      <c r="M8" s="105" t="str">
        <f>K8</f>
        <v>% 20/19</v>
      </c>
    </row>
    <row r="9" spans="3:23" s="27" customFormat="1" ht="12.75" customHeight="1">
      <c r="C9" s="23"/>
      <c r="E9" s="20" t="s">
        <v>12</v>
      </c>
      <c r="F9" s="153" t="s">
        <v>3</v>
      </c>
      <c r="G9" s="17" t="s">
        <v>3</v>
      </c>
      <c r="H9" s="17">
        <f>Dat_01!Z8/1000</f>
        <v>0.26768999999999998</v>
      </c>
      <c r="I9" s="17">
        <f>Dat_01!AB8*100</f>
        <v>0.99641952999999994</v>
      </c>
      <c r="J9" s="153" t="s">
        <v>3</v>
      </c>
      <c r="K9" s="17" t="s">
        <v>3</v>
      </c>
      <c r="L9" s="153" t="s">
        <v>3</v>
      </c>
      <c r="M9" s="17" t="s">
        <v>3</v>
      </c>
      <c r="N9" s="10"/>
      <c r="O9" s="10"/>
    </row>
    <row r="10" spans="3:23" s="2" customFormat="1" ht="12.75" customHeight="1">
      <c r="C10" s="21"/>
      <c r="E10" s="20" t="s">
        <v>6</v>
      </c>
      <c r="F10" s="153" t="s">
        <v>3</v>
      </c>
      <c r="G10" s="17" t="s">
        <v>3</v>
      </c>
      <c r="H10" s="153">
        <f>Dat_01!Z15/1000</f>
        <v>1.3385150000000001</v>
      </c>
      <c r="I10" s="17">
        <f>Dat_01!AB15*100</f>
        <v>37.630135369999998</v>
      </c>
      <c r="J10" s="153" t="s">
        <v>3</v>
      </c>
      <c r="K10" s="17" t="s">
        <v>3</v>
      </c>
      <c r="L10" s="153" t="s">
        <v>3</v>
      </c>
      <c r="M10" s="17" t="s">
        <v>3</v>
      </c>
      <c r="N10" s="10"/>
      <c r="O10" s="10"/>
    </row>
    <row r="11" spans="3:23" s="2" customFormat="1" ht="12.75" customHeight="1">
      <c r="C11" s="21"/>
      <c r="E11" s="20" t="s">
        <v>5</v>
      </c>
      <c r="F11" s="17">
        <f>Dat_01!R16/1000</f>
        <v>0.33927600000000002</v>
      </c>
      <c r="G11" s="17">
        <f>Dat_01!T16*100</f>
        <v>-32.053615949999994</v>
      </c>
      <c r="H11" s="153">
        <f>Dat_01!Z16/1000</f>
        <v>93.063980000000001</v>
      </c>
      <c r="I11" s="17">
        <f>Dat_01!AB16*100</f>
        <v>92.228059900000005</v>
      </c>
      <c r="J11" s="153" t="s">
        <v>3</v>
      </c>
      <c r="K11" s="17" t="s">
        <v>3</v>
      </c>
      <c r="L11" s="153" t="s">
        <v>3</v>
      </c>
      <c r="M11" s="17" t="s">
        <v>3</v>
      </c>
      <c r="N11" s="10"/>
      <c r="O11" s="10"/>
    </row>
    <row r="12" spans="3:23" s="2" customFormat="1" ht="12.75" customHeight="1">
      <c r="C12" s="13"/>
      <c r="E12" s="20" t="s">
        <v>4</v>
      </c>
      <c r="F12" s="153">
        <f>Dat_01!R17/1000</f>
        <v>8.7359240000000007</v>
      </c>
      <c r="G12" s="17">
        <f>Dat_01!T17*100</f>
        <v>-6.5996935600000004</v>
      </c>
      <c r="H12" s="153">
        <f>Dat_01!Z17/1000</f>
        <v>20.147513</v>
      </c>
      <c r="I12" s="17">
        <f>Dat_01!AB17*100</f>
        <v>-5.6893829</v>
      </c>
      <c r="J12" s="153" t="s">
        <v>3</v>
      </c>
      <c r="K12" s="17" t="s">
        <v>3</v>
      </c>
      <c r="L12" s="153">
        <f>Dat_01!J17/1000</f>
        <v>5.4099999999999999E-3</v>
      </c>
      <c r="M12" s="17">
        <f>IF(Dat_01!L17="-","-",Dat_01!L17*100)</f>
        <v>-2.0991675700000001</v>
      </c>
      <c r="N12" s="10"/>
      <c r="O12" s="10"/>
      <c r="P12" s="19"/>
    </row>
    <row r="13" spans="3:23" s="2" customFormat="1" ht="12.75" customHeight="1">
      <c r="C13" s="13"/>
      <c r="E13" s="18" t="s">
        <v>89</v>
      </c>
      <c r="F13" s="17">
        <f>Dat_01!R18/1000</f>
        <v>8.1622E-2</v>
      </c>
      <c r="G13" s="17">
        <f>Dat_01!T18*100</f>
        <v>-0.87921696000000005</v>
      </c>
      <c r="H13" s="153">
        <f>Dat_01!Z18/1000</f>
        <v>0.84570600000000007</v>
      </c>
      <c r="I13" s="17">
        <f>Dat_01!AB18*100</f>
        <v>2.7841584400000001</v>
      </c>
      <c r="J13" s="153" t="s">
        <v>3</v>
      </c>
      <c r="K13" s="17" t="s">
        <v>3</v>
      </c>
      <c r="L13" s="153" t="s">
        <v>3</v>
      </c>
      <c r="M13" s="17" t="s">
        <v>3</v>
      </c>
      <c r="N13" s="10"/>
      <c r="O13" s="10"/>
    </row>
    <row r="14" spans="3:23" s="2" customFormat="1" ht="12.75" customHeight="1">
      <c r="C14" s="13"/>
      <c r="E14" s="18" t="s">
        <v>54</v>
      </c>
      <c r="F14" s="153">
        <f>Dat_01!R21/1000</f>
        <v>6.0955330000000005</v>
      </c>
      <c r="G14" s="17">
        <f>Dat_01!T21*100</f>
        <v>-11.14421593</v>
      </c>
      <c r="H14" s="153" t="s">
        <v>3</v>
      </c>
      <c r="I14" s="17" t="s">
        <v>3</v>
      </c>
      <c r="J14" s="153" t="s">
        <v>3</v>
      </c>
      <c r="K14" s="17" t="s">
        <v>3</v>
      </c>
      <c r="L14" s="17">
        <f>Dat_01!J21/1000</f>
        <v>0.3943335</v>
      </c>
      <c r="M14" s="17">
        <f>Dat_01!L21*100</f>
        <v>-19.47398085</v>
      </c>
      <c r="N14" s="10"/>
      <c r="O14" s="10"/>
    </row>
    <row r="15" spans="3:23" s="2" customFormat="1" ht="12.75" customHeight="1">
      <c r="C15" s="13"/>
      <c r="E15" s="169" t="s">
        <v>86</v>
      </c>
      <c r="F15" s="172">
        <f>SUM(F9:F14)</f>
        <v>15.252355000000001</v>
      </c>
      <c r="G15" s="173">
        <f>((SUM(Dat_01!R8,Dat_01!R15:R18,Dat_01!R20)/SUM(Dat_01!S8,Dat_01!S15:S18,Dat_01!S20))-1)*100</f>
        <v>-9.1846658435800528</v>
      </c>
      <c r="H15" s="172">
        <f>SUM(H9:H14)</f>
        <v>115.66340400000001</v>
      </c>
      <c r="I15" s="173">
        <f>((SUM(Dat_01!Z8,Dat_01!Z15:Z18,Dat_01!Z20)/SUM(Dat_01!AA8,Dat_01!AA15:AA18,Dat_01!AA20))-1)*100</f>
        <v>61.008925793175692</v>
      </c>
      <c r="J15" s="172" t="s">
        <v>3</v>
      </c>
      <c r="K15" s="173" t="s">
        <v>3</v>
      </c>
      <c r="L15" s="173">
        <f>SUM(L9:L14)</f>
        <v>0.39974350000000003</v>
      </c>
      <c r="M15" s="173">
        <f>((SUM(Dat_01!J8,Dat_01!J15:J18,Dat_01!J21)/SUM(Dat_01!K8,Dat_01!K15:K18,Dat_01!K20))-1)*100</f>
        <v>-19.280102095419636</v>
      </c>
      <c r="N15" s="10"/>
      <c r="O15" s="10"/>
    </row>
    <row r="16" spans="3:23" s="7" customFormat="1" ht="12.75" customHeight="1">
      <c r="C16" s="23"/>
      <c r="E16" s="20" t="s">
        <v>11</v>
      </c>
      <c r="F16" s="153">
        <f>Dat_01!R9/1000</f>
        <v>-1.4407270000000001</v>
      </c>
      <c r="G16" s="17" t="str">
        <f>IF(Dat_01!T9="-","-",Dat_01!T9*100)</f>
        <v>-</v>
      </c>
      <c r="H16" s="153" t="s">
        <v>3</v>
      </c>
      <c r="I16" s="17" t="s">
        <v>3</v>
      </c>
      <c r="J16" s="153" t="s">
        <v>3</v>
      </c>
      <c r="K16" s="17" t="s">
        <v>3</v>
      </c>
      <c r="L16" s="153" t="s">
        <v>3</v>
      </c>
      <c r="M16" s="17" t="s">
        <v>3</v>
      </c>
      <c r="N16" s="10"/>
      <c r="O16" s="10"/>
      <c r="P16" s="9"/>
      <c r="Q16" s="9"/>
      <c r="R16" s="9"/>
      <c r="S16" s="9"/>
      <c r="T16" s="9"/>
      <c r="U16" s="9"/>
      <c r="V16" s="9"/>
      <c r="W16" s="9"/>
    </row>
    <row r="17" spans="3:23" s="7" customFormat="1" ht="12.75" customHeight="1">
      <c r="C17" s="23"/>
      <c r="E17" s="26" t="s">
        <v>10</v>
      </c>
      <c r="F17" s="154">
        <f>SUM(Dat_01!R10,Dat_01!R14)/1000</f>
        <v>20.211247</v>
      </c>
      <c r="G17" s="24">
        <f>((SUM(Dat_01!R10,Dat_01!R14)/SUM(Dat_01!S10,Dat_01!S14))-1)*100</f>
        <v>-23.951903845015643</v>
      </c>
      <c r="H17" s="154">
        <f>Dat_01!Z10/1000</f>
        <v>160.705896</v>
      </c>
      <c r="I17" s="24">
        <f>Dat_01!AB10*100</f>
        <v>5.1417733800000001</v>
      </c>
      <c r="J17" s="154">
        <f>Dat_01!B10/1000</f>
        <v>15.769247999999999</v>
      </c>
      <c r="K17" s="24">
        <f>Dat_01!D10*100</f>
        <v>-1.55817063</v>
      </c>
      <c r="L17" s="154">
        <f>Dat_01!J10/1000</f>
        <v>15.022058000000001</v>
      </c>
      <c r="M17" s="24">
        <f>Dat_01!L10*100</f>
        <v>0.29584555999999995</v>
      </c>
      <c r="N17" s="163"/>
      <c r="O17" s="162"/>
      <c r="Q17" s="9"/>
      <c r="R17" s="9"/>
      <c r="S17" s="9"/>
      <c r="T17" s="9"/>
      <c r="U17" s="9"/>
      <c r="V17" s="9"/>
      <c r="W17" s="9"/>
    </row>
    <row r="18" spans="3:23" s="7" customFormat="1" ht="12.75" customHeight="1">
      <c r="C18" s="23"/>
      <c r="E18" s="25" t="s">
        <v>9</v>
      </c>
      <c r="F18" s="154">
        <f>Dat_01!R11/1000</f>
        <v>17.386634999999998</v>
      </c>
      <c r="G18" s="24">
        <f>Dat_01!T11*100</f>
        <v>-23.070914120000001</v>
      </c>
      <c r="H18" s="154">
        <f>Dat_01!Z11/1000</f>
        <v>21.870190999999998</v>
      </c>
      <c r="I18" s="24">
        <f>Dat_01!AB11*100</f>
        <v>15.457081729999999</v>
      </c>
      <c r="J18" s="154">
        <f>Dat_01!B11/1000</f>
        <v>7.6300000000000001E-4</v>
      </c>
      <c r="K18" s="24">
        <f>Dat_01!D11*100</f>
        <v>12.536873160000001</v>
      </c>
      <c r="L18" s="154">
        <f>Dat_01!J11/1000</f>
        <v>1.165E-3</v>
      </c>
      <c r="M18" s="24">
        <f>Dat_01!L11*100</f>
        <v>127.09551657</v>
      </c>
      <c r="N18" s="163"/>
      <c r="O18" s="22"/>
      <c r="P18" s="9"/>
      <c r="Q18" s="9"/>
      <c r="R18" s="9"/>
      <c r="S18" s="9"/>
      <c r="T18" s="9"/>
      <c r="U18" s="9"/>
      <c r="V18" s="9"/>
      <c r="W18" s="9"/>
    </row>
    <row r="19" spans="3:23" s="7" customFormat="1" ht="12.75" customHeight="1">
      <c r="C19" s="23"/>
      <c r="E19" s="25" t="s">
        <v>8</v>
      </c>
      <c r="F19" s="154" t="s">
        <v>3</v>
      </c>
      <c r="G19" s="24" t="s">
        <v>3</v>
      </c>
      <c r="H19" s="154">
        <f>Dat_01!Z12/1000</f>
        <v>128.34914699999999</v>
      </c>
      <c r="I19" s="24">
        <f>Dat_01!AB12*100</f>
        <v>-39.737038390000002</v>
      </c>
      <c r="J19" s="154" t="s">
        <v>3</v>
      </c>
      <c r="K19" s="154" t="s">
        <v>3</v>
      </c>
      <c r="L19" s="154" t="s">
        <v>3</v>
      </c>
      <c r="M19" s="154" t="s">
        <v>3</v>
      </c>
      <c r="N19" s="163"/>
      <c r="O19" s="22"/>
      <c r="P19" s="9"/>
      <c r="Q19" s="9"/>
      <c r="R19" s="9"/>
      <c r="S19" s="9"/>
      <c r="T19" s="9"/>
      <c r="U19" s="9"/>
      <c r="V19" s="9"/>
      <c r="W19" s="9"/>
    </row>
    <row r="20" spans="3:23" s="7" customFormat="1" ht="12.75" customHeight="1">
      <c r="C20" s="23"/>
      <c r="E20" s="20" t="s">
        <v>7</v>
      </c>
      <c r="F20" s="153">
        <f>SUM(F17:F19)</f>
        <v>37.597881999999998</v>
      </c>
      <c r="G20" s="17">
        <f>((SUM(Dat_01!R10:R12,Dat_01!R14)/SUM(Dat_01!S10:S12,Dat_01!S14))-1)*100</f>
        <v>-23.547023374597963</v>
      </c>
      <c r="H20" s="153">
        <f>SUM(H17:H19)</f>
        <v>310.92523399999999</v>
      </c>
      <c r="I20" s="17">
        <f>(H20/(H17/(I17/100+1)+H18/(I18/100+1)+H19/(I19/100+1))-1)*100</f>
        <v>-19.19212079064032</v>
      </c>
      <c r="J20" s="153">
        <f>SUM(J17:J19)</f>
        <v>15.770010999999998</v>
      </c>
      <c r="K20" s="17">
        <f>(J20/(J17/(K17/100+1)+J18/(K18/100+1))-1)*100</f>
        <v>-1.5575740805707339</v>
      </c>
      <c r="L20" s="153">
        <f>SUM(L17:L19)</f>
        <v>15.023223000000002</v>
      </c>
      <c r="M20" s="17">
        <f>(L20/(L17/(M17/100+1)+L18/(M18/100+1))-1)*100</f>
        <v>0.30018840297545424</v>
      </c>
      <c r="N20" s="10"/>
      <c r="O20" s="10"/>
      <c r="P20" s="9"/>
      <c r="Q20" s="9"/>
      <c r="R20" s="9"/>
      <c r="S20" s="9"/>
      <c r="T20" s="9"/>
      <c r="U20" s="9"/>
      <c r="V20" s="9"/>
      <c r="W20" s="9"/>
    </row>
    <row r="21" spans="3:23" s="7" customFormat="1" ht="12.75" customHeight="1">
      <c r="C21" s="23"/>
      <c r="E21" s="20" t="s">
        <v>90</v>
      </c>
      <c r="F21" s="153">
        <f>Dat_01!R13/1000</f>
        <v>226.17381</v>
      </c>
      <c r="G21" s="17">
        <f>Dat_01!T13*100</f>
        <v>308.24013883999999</v>
      </c>
      <c r="H21" s="153">
        <f>Dat_01!Z13/1000</f>
        <v>279.07848200000001</v>
      </c>
      <c r="I21" s="17">
        <f>Dat_01!AB13*100</f>
        <v>25.730950619999998</v>
      </c>
      <c r="J21" s="153" t="s">
        <v>3</v>
      </c>
      <c r="K21" s="17" t="s">
        <v>3</v>
      </c>
      <c r="L21" s="153" t="s">
        <v>3</v>
      </c>
      <c r="M21" s="17" t="s">
        <v>3</v>
      </c>
      <c r="N21" s="10"/>
      <c r="O21" s="10"/>
      <c r="P21" s="9"/>
      <c r="Q21" s="9"/>
      <c r="R21" s="9"/>
      <c r="S21" s="9"/>
      <c r="T21" s="9"/>
      <c r="U21" s="9"/>
      <c r="V21" s="9"/>
      <c r="W21" s="9"/>
    </row>
    <row r="22" spans="3:23" s="2" customFormat="1" ht="12.75" customHeight="1">
      <c r="C22" s="13"/>
      <c r="E22" s="18" t="s">
        <v>23</v>
      </c>
      <c r="F22" s="153">
        <f>Dat_01!R19/1000</f>
        <v>3.7449910000000002</v>
      </c>
      <c r="G22" s="17">
        <f>Dat_01!T19*100</f>
        <v>7.5054484899999991</v>
      </c>
      <c r="H22" s="153">
        <f>Dat_01!Z19/1000</f>
        <v>0</v>
      </c>
      <c r="I22" s="17" t="s">
        <v>3</v>
      </c>
      <c r="J22" s="153" t="s">
        <v>3</v>
      </c>
      <c r="K22" s="17" t="s">
        <v>3</v>
      </c>
      <c r="L22" s="153" t="s">
        <v>3</v>
      </c>
      <c r="M22" s="17" t="s">
        <v>3</v>
      </c>
      <c r="N22" s="10"/>
      <c r="O22" s="10"/>
    </row>
    <row r="23" spans="3:23" s="2" customFormat="1" ht="12.75" customHeight="1">
      <c r="C23" s="13"/>
      <c r="E23" s="18" t="s">
        <v>55</v>
      </c>
      <c r="F23" s="153">
        <f>Dat_01!R20/1000</f>
        <v>6.0955330000000005</v>
      </c>
      <c r="G23" s="17">
        <f>Dat_01!T20*100</f>
        <v>-11.14421593</v>
      </c>
      <c r="H23" s="153" t="s">
        <v>3</v>
      </c>
      <c r="I23" s="17" t="s">
        <v>3</v>
      </c>
      <c r="J23" s="153" t="s">
        <v>3</v>
      </c>
      <c r="K23" s="17" t="s">
        <v>3</v>
      </c>
      <c r="L23" s="17">
        <f>Dat_01!J20/1000</f>
        <v>0.3943335</v>
      </c>
      <c r="M23" s="17">
        <f>Dat_01!L20*100</f>
        <v>-19.47398085</v>
      </c>
      <c r="N23" s="10"/>
      <c r="O23" s="10"/>
    </row>
    <row r="24" spans="3:23" s="2" customFormat="1" ht="12.75" customHeight="1">
      <c r="C24" s="13"/>
      <c r="E24" s="169" t="s">
        <v>87</v>
      </c>
      <c r="F24" s="155">
        <f>SUM(F16,F20:F23)</f>
        <v>272.17148900000001</v>
      </c>
      <c r="G24" s="173">
        <f>((SUM(Dat_01!R9:R14,Dat_01!R19,Dat_01!R21)/SUM(Dat_01!S9:S14,Dat_01!S19,Dat_01!S21))-1)*100</f>
        <v>-2.5613035541489415</v>
      </c>
      <c r="H24" s="155">
        <f>SUM(H16,H20:H23)</f>
        <v>590.00371599999994</v>
      </c>
      <c r="I24" s="173">
        <f>((SUM(Dat_01!Z9:Z14,Dat_01!Z19,Dat_01!Z21)/SUM(Dat_01!AA9:AA14,Dat_01!AA19,Dat_01!AA21))-1)*100</f>
        <v>-2.7577151542872658</v>
      </c>
      <c r="J24" s="155">
        <f>SUM(J16,J20:J23)</f>
        <v>15.770010999999998</v>
      </c>
      <c r="K24" s="173">
        <f>((SUM(Dat_01!B9:B14,Dat_01!B19,Dat_01!B21)/SUM(Dat_01!C9:C14,Dat_01!C19,Dat_01!C21))-1)*100</f>
        <v>-1.5575740781859526</v>
      </c>
      <c r="L24" s="155">
        <f>SUM(L16,L20:L23)</f>
        <v>15.417556500000002</v>
      </c>
      <c r="M24" s="173">
        <f>((SUM(Dat_01!J9:J14,Dat_01!J19,Dat_01!J21)/SUM(Dat_01!K9:K14,Dat_01!K19,Dat_01!K21))-1)*100</f>
        <v>-0.32583811811732755</v>
      </c>
      <c r="N24" s="10"/>
      <c r="O24" s="10"/>
    </row>
    <row r="25" spans="3:23" s="2" customFormat="1" ht="12.75" customHeight="1">
      <c r="C25" s="16"/>
      <c r="E25" s="15" t="s">
        <v>93</v>
      </c>
      <c r="F25" s="156">
        <f>Dat_01!R23/1000</f>
        <v>115.92849700000001</v>
      </c>
      <c r="G25" s="14">
        <f>Dat_01!T23*100</f>
        <v>-2.7638164499999998</v>
      </c>
      <c r="H25" s="156" t="s">
        <v>3</v>
      </c>
      <c r="I25" s="156" t="s">
        <v>3</v>
      </c>
      <c r="J25" s="156" t="s">
        <v>3</v>
      </c>
      <c r="K25" s="156" t="s">
        <v>3</v>
      </c>
      <c r="L25" s="156" t="s">
        <v>3</v>
      </c>
      <c r="M25" s="156" t="s">
        <v>3</v>
      </c>
      <c r="N25" s="10"/>
      <c r="O25" s="10"/>
    </row>
    <row r="26" spans="3:23" s="2" customFormat="1" ht="16.149999999999999" customHeight="1">
      <c r="C26" s="13"/>
      <c r="E26" s="12" t="s">
        <v>1</v>
      </c>
      <c r="F26" s="157">
        <f>Dat_01!R24/1000</f>
        <v>403.35234100000002</v>
      </c>
      <c r="G26" s="11">
        <f>Dat_01!T24*100</f>
        <v>-2.8872574000000002</v>
      </c>
      <c r="H26" s="157">
        <f>Dat_01!Z24/1000</f>
        <v>705.66711999999995</v>
      </c>
      <c r="I26" s="11">
        <f>Dat_01!AB24*100</f>
        <v>3.9929002399999995</v>
      </c>
      <c r="J26" s="157">
        <f>Dat_01!B24/1000</f>
        <v>15.770011</v>
      </c>
      <c r="K26" s="11">
        <f>Dat_01!D24*100</f>
        <v>-1.55757408</v>
      </c>
      <c r="L26" s="157">
        <f>Dat_01!J24/1000</f>
        <v>15.817299999999999</v>
      </c>
      <c r="M26" s="11">
        <f>Dat_01!L24*100</f>
        <v>-0.91385300000000003</v>
      </c>
      <c r="N26" s="10"/>
      <c r="O26" s="10"/>
    </row>
    <row r="27" spans="3:23" s="2" customFormat="1" ht="16.149999999999999" customHeight="1">
      <c r="C27" s="13"/>
      <c r="E27" s="200" t="s">
        <v>56</v>
      </c>
      <c r="F27" s="200"/>
      <c r="G27" s="200"/>
      <c r="H27" s="200"/>
      <c r="I27" s="200"/>
      <c r="J27" s="200"/>
      <c r="K27" s="200"/>
      <c r="L27" s="170"/>
      <c r="M27" s="171"/>
      <c r="N27" s="10"/>
      <c r="O27" s="10"/>
    </row>
    <row r="28" spans="3:23" s="2" customFormat="1" ht="33" customHeight="1">
      <c r="C28" s="13"/>
      <c r="E28" s="222" t="s">
        <v>127</v>
      </c>
      <c r="F28" s="222"/>
      <c r="G28" s="222"/>
      <c r="H28" s="222"/>
      <c r="I28" s="222"/>
      <c r="J28" s="222"/>
      <c r="K28" s="222"/>
      <c r="L28" s="222"/>
      <c r="M28" s="222"/>
      <c r="N28" s="10"/>
      <c r="O28" s="10"/>
    </row>
    <row r="29" spans="3:23" s="2" customFormat="1" ht="12.75" customHeight="1">
      <c r="C29" s="8"/>
      <c r="D29" s="8"/>
      <c r="E29" s="198" t="s">
        <v>0</v>
      </c>
      <c r="F29" s="198"/>
      <c r="G29" s="198"/>
      <c r="H29" s="198"/>
      <c r="I29" s="198"/>
      <c r="J29" s="198"/>
      <c r="K29" s="198"/>
      <c r="L29" s="198"/>
      <c r="M29" s="198"/>
      <c r="O29" s="9"/>
    </row>
    <row r="30" spans="3:23" s="7" customFormat="1" ht="12.75" customHeight="1">
      <c r="E30" s="199" t="s">
        <v>88</v>
      </c>
      <c r="F30" s="199"/>
      <c r="G30" s="199"/>
      <c r="H30" s="199"/>
      <c r="I30" s="199"/>
      <c r="J30" s="199"/>
      <c r="K30" s="199"/>
      <c r="L30" s="199"/>
      <c r="M30" s="199"/>
    </row>
    <row r="31" spans="3:23" s="2" customFormat="1" ht="12.75" customHeight="1">
      <c r="C31" s="8"/>
      <c r="D31" s="8"/>
      <c r="E31" s="199" t="s">
        <v>91</v>
      </c>
      <c r="F31" s="199"/>
      <c r="G31" s="199"/>
      <c r="H31" s="199"/>
      <c r="I31" s="199"/>
      <c r="J31" s="199"/>
      <c r="K31" s="199"/>
      <c r="L31" s="199"/>
      <c r="M31" s="199"/>
    </row>
    <row r="32" spans="3:23" ht="12.75" customHeight="1">
      <c r="C32" s="1"/>
      <c r="D32" s="1"/>
      <c r="E32" s="199" t="s">
        <v>92</v>
      </c>
      <c r="F32" s="199"/>
      <c r="G32" s="199"/>
      <c r="H32" s="199"/>
      <c r="I32" s="199"/>
      <c r="J32" s="199"/>
      <c r="K32" s="199"/>
      <c r="L32" s="199"/>
      <c r="M32" s="199"/>
    </row>
    <row r="33" spans="3:13" ht="12.75" customHeight="1">
      <c r="C33" s="1"/>
      <c r="D33" s="1"/>
      <c r="E33" s="197"/>
      <c r="F33" s="197"/>
      <c r="G33" s="197"/>
      <c r="H33" s="197"/>
      <c r="I33" s="197"/>
      <c r="J33" s="197"/>
      <c r="K33" s="197"/>
      <c r="L33" s="197"/>
      <c r="M33" s="197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I20 K20:L20 G24 I24 K2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G37" sqref="G37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Febrero 2020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1" t="s">
        <v>31</v>
      </c>
      <c r="D7" s="44"/>
      <c r="E7" s="48"/>
    </row>
    <row r="8" spans="2:12" s="38" customFormat="1" ht="12.75" customHeight="1">
      <c r="B8" s="46"/>
      <c r="C8" s="201"/>
      <c r="D8" s="44"/>
      <c r="E8" s="48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J10" s="37"/>
      <c r="K10" s="91"/>
      <c r="L10" s="88"/>
    </row>
    <row r="11" spans="2:12" s="38" customFormat="1" ht="12.75" customHeight="1">
      <c r="B11" s="46"/>
      <c r="D11" s="44"/>
      <c r="E11" s="44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J12" s="37"/>
      <c r="K12" s="91"/>
      <c r="L12" s="88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</row>
    <row r="15" spans="2:12" s="38" customFormat="1" ht="12.75" customHeight="1">
      <c r="B15" s="46"/>
      <c r="C15" s="47"/>
      <c r="D15" s="44"/>
      <c r="E15" s="44"/>
    </row>
    <row r="16" spans="2:12" s="38" customFormat="1" ht="12.75" customHeight="1">
      <c r="B16" s="46"/>
      <c r="D16" s="44"/>
      <c r="E16" s="44"/>
      <c r="J16" s="37"/>
      <c r="K16" s="37"/>
      <c r="L16" s="37"/>
    </row>
    <row r="17" spans="2:12" s="38" customFormat="1" ht="12.75" customHeight="1">
      <c r="B17" s="46"/>
      <c r="D17" s="44"/>
      <c r="E17" s="44"/>
      <c r="J17" s="37"/>
      <c r="K17" s="37"/>
      <c r="L17" s="37"/>
    </row>
    <row r="18" spans="2:12" s="38" customFormat="1" ht="12.75" customHeight="1">
      <c r="B18" s="46"/>
      <c r="D18" s="44"/>
      <c r="E18" s="44"/>
      <c r="F18" s="168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J20" s="37"/>
      <c r="K20" s="37"/>
      <c r="L20" s="37"/>
    </row>
    <row r="21" spans="2:12" s="38" customFormat="1" ht="12.75" customHeight="1">
      <c r="B21" s="46"/>
      <c r="C21" s="45"/>
      <c r="D21" s="44"/>
      <c r="E21" s="44"/>
      <c r="J21" s="183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>
      <c r="C24" s="201" t="s">
        <v>28</v>
      </c>
      <c r="E24" s="42"/>
      <c r="J24" s="38"/>
      <c r="K24" s="38"/>
    </row>
    <row r="25" spans="2:12">
      <c r="C25" s="201"/>
      <c r="E25" s="41"/>
      <c r="J25" s="37"/>
      <c r="K25" s="37"/>
    </row>
    <row r="26" spans="2:12" ht="12.75" customHeight="1">
      <c r="J26" s="89"/>
      <c r="K26" s="90"/>
    </row>
    <row r="27" spans="2:12">
      <c r="J27" s="91"/>
      <c r="K27" s="88"/>
    </row>
    <row r="28" spans="2:12">
      <c r="C28" s="40"/>
      <c r="J28" s="91"/>
      <c r="K28" s="88"/>
    </row>
    <row r="29" spans="2:12">
      <c r="C29" s="39"/>
      <c r="J29" s="91"/>
      <c r="K29" s="88"/>
    </row>
    <row r="30" spans="2:12">
      <c r="J30" s="37"/>
      <c r="K30" s="37"/>
    </row>
    <row r="31" spans="2:12" ht="12.75" customHeight="1">
      <c r="J31" s="38"/>
      <c r="K31" s="38"/>
    </row>
    <row r="32" spans="2:12">
      <c r="J32" s="38"/>
      <c r="K32" s="38"/>
    </row>
    <row r="33" spans="10:11">
      <c r="J33" s="37"/>
      <c r="K33" s="37"/>
    </row>
    <row r="34" spans="10:11">
      <c r="J34" s="37"/>
      <c r="K34" s="37"/>
    </row>
    <row r="35" spans="10:11">
      <c r="J35" s="37"/>
      <c r="K35" s="37"/>
    </row>
    <row r="36" spans="10:11">
      <c r="J36" s="37"/>
      <c r="K36" s="37"/>
    </row>
    <row r="37" spans="10:11">
      <c r="J37" s="37"/>
      <c r="K37" s="37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E27" sqref="E27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Febrero 2020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2" t="s">
        <v>32</v>
      </c>
      <c r="D7" s="64"/>
      <c r="E7" s="68"/>
    </row>
    <row r="8" spans="1:20" s="56" customFormat="1" ht="12.75" customHeight="1">
      <c r="A8" s="67"/>
      <c r="B8" s="66"/>
      <c r="C8" s="202"/>
      <c r="D8" s="64"/>
      <c r="E8" s="68"/>
      <c r="F8" s="63"/>
    </row>
    <row r="9" spans="1:20" s="56" customFormat="1" ht="12.75" customHeight="1">
      <c r="A9" s="67"/>
      <c r="B9" s="66"/>
      <c r="C9" s="202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13" s="56" customFormat="1" ht="12.75" customHeight="1">
      <c r="A17" s="67"/>
      <c r="B17" s="66"/>
      <c r="C17" s="65"/>
      <c r="D17" s="64"/>
      <c r="E17" s="64"/>
      <c r="F17" s="63"/>
    </row>
    <row r="18" spans="1:13" s="56" customFormat="1" ht="12.75" customHeight="1">
      <c r="A18" s="67"/>
      <c r="B18" s="66"/>
      <c r="C18" s="65"/>
      <c r="D18" s="64"/>
      <c r="E18" s="64"/>
      <c r="F18" s="166"/>
    </row>
    <row r="19" spans="1:13" s="56" customFormat="1" ht="12.75" customHeight="1">
      <c r="A19" s="67"/>
      <c r="B19" s="66"/>
      <c r="C19" s="65"/>
      <c r="D19" s="64"/>
      <c r="E19" s="64"/>
      <c r="F19" s="63"/>
    </row>
    <row r="20" spans="1:13" s="56" customFormat="1" ht="12.75" customHeight="1">
      <c r="A20" s="67"/>
      <c r="B20" s="66"/>
      <c r="C20" s="65"/>
      <c r="D20" s="64"/>
      <c r="E20" s="64"/>
      <c r="F20" s="63"/>
    </row>
    <row r="21" spans="1:13" s="56" customFormat="1" ht="12.75" customHeight="1">
      <c r="A21" s="67"/>
      <c r="B21" s="66"/>
      <c r="C21" s="65"/>
      <c r="D21" s="64"/>
      <c r="E21" s="64"/>
      <c r="F21" s="63"/>
    </row>
    <row r="22" spans="1:13" ht="12.75" customHeight="1"/>
    <row r="23" spans="1:13" ht="12.75" customHeight="1"/>
    <row r="24" spans="1:13" ht="12.75" customHeight="1">
      <c r="E24" s="60"/>
      <c r="F24" s="60"/>
      <c r="G24" s="60"/>
    </row>
    <row r="25" spans="1:13" ht="12.75" customHeight="1">
      <c r="E25" s="57" t="s">
        <v>95</v>
      </c>
      <c r="F25" s="62"/>
      <c r="G25" s="62"/>
    </row>
    <row r="26" spans="1:13" ht="12.75" customHeight="1">
      <c r="E26" s="57" t="s">
        <v>52</v>
      </c>
      <c r="F26" s="62"/>
      <c r="G26" s="62"/>
    </row>
    <row r="27" spans="1:13" ht="24.75" customHeight="1">
      <c r="E27" s="224" t="s">
        <v>127</v>
      </c>
      <c r="F27" s="223"/>
      <c r="G27" s="223"/>
      <c r="H27" s="223"/>
      <c r="I27" s="223"/>
      <c r="J27" s="223"/>
      <c r="K27" s="223"/>
      <c r="L27" s="223"/>
      <c r="M27" s="223"/>
    </row>
    <row r="28" spans="1:13" ht="12.75" customHeight="1">
      <c r="E28" s="61"/>
      <c r="F28" s="60"/>
      <c r="G28" s="60"/>
    </row>
    <row r="29" spans="1:13" ht="12.75" customHeight="1">
      <c r="F29" s="60"/>
      <c r="G29" s="60"/>
    </row>
    <row r="30" spans="1:13" ht="12.75" customHeight="1">
      <c r="F30" s="60"/>
      <c r="G30" s="60"/>
    </row>
    <row r="31" spans="1:13" ht="12.75" customHeight="1">
      <c r="E31" s="59"/>
    </row>
    <row r="32" spans="1:13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7"/>
    </row>
    <row r="48" spans="5:5">
      <c r="E48" s="58"/>
    </row>
    <row r="49" spans="5:5">
      <c r="E49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Febrero 2020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1" t="s">
        <v>35</v>
      </c>
      <c r="D7" s="44"/>
      <c r="E7" s="48"/>
    </row>
    <row r="8" spans="2:12" s="38" customFormat="1" ht="12.75" customHeight="1">
      <c r="B8" s="46"/>
      <c r="C8" s="201"/>
      <c r="D8" s="44"/>
      <c r="E8" s="48"/>
      <c r="F8" s="52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F9" s="52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F10" s="52"/>
      <c r="J10" s="37"/>
      <c r="K10" s="91"/>
      <c r="L10" s="88"/>
    </row>
    <row r="11" spans="2:12" s="38" customFormat="1" ht="12.75" customHeight="1">
      <c r="B11" s="46"/>
      <c r="D11" s="44"/>
      <c r="E11" s="44"/>
      <c r="F11" s="52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F12" s="52"/>
      <c r="J12" s="37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  <c r="F14" s="165"/>
    </row>
    <row r="15" spans="2:12" s="38" customFormat="1" ht="12.75" customHeight="1">
      <c r="B15" s="46"/>
      <c r="C15" s="47"/>
      <c r="D15" s="44"/>
      <c r="E15" s="44"/>
      <c r="F15" s="52"/>
    </row>
    <row r="16" spans="2:12" s="38" customFormat="1" ht="12.75" customHeight="1">
      <c r="B16" s="46"/>
      <c r="D16" s="44"/>
      <c r="E16" s="44"/>
      <c r="F16" s="52"/>
      <c r="J16" s="37"/>
      <c r="K16" s="37"/>
      <c r="L16" s="37"/>
    </row>
    <row r="17" spans="2:12" s="38" customFormat="1" ht="12.75" customHeight="1">
      <c r="B17" s="46"/>
      <c r="D17" s="44"/>
      <c r="E17" s="44"/>
      <c r="F17" s="52"/>
      <c r="J17" s="37"/>
      <c r="K17" s="37"/>
      <c r="L17" s="37"/>
    </row>
    <row r="18" spans="2:12" s="38" customFormat="1" ht="12.75" customHeight="1">
      <c r="B18" s="46"/>
      <c r="D18" s="44"/>
      <c r="E18" s="44"/>
      <c r="F18" s="167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F19" s="52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F20" s="52"/>
      <c r="J20" s="37"/>
      <c r="K20" s="37"/>
    </row>
    <row r="21" spans="2:12" s="38" customFormat="1" ht="12.75" customHeight="1">
      <c r="B21" s="46"/>
      <c r="C21" s="45"/>
      <c r="D21" s="44"/>
      <c r="E21" s="44"/>
      <c r="F21" s="52"/>
      <c r="J21" s="37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 ht="12.75" customHeight="1">
      <c r="C24" s="201" t="s">
        <v>49</v>
      </c>
      <c r="E24" s="42"/>
      <c r="J24" s="38"/>
      <c r="K24" s="38"/>
    </row>
    <row r="25" spans="2:12">
      <c r="C25" s="201"/>
      <c r="E25" s="41"/>
      <c r="J25" s="37"/>
      <c r="K25" s="37"/>
    </row>
    <row r="26" spans="2:12" ht="12.75" customHeight="1">
      <c r="C26" s="40"/>
      <c r="J26" s="89"/>
      <c r="K26" s="90"/>
    </row>
    <row r="27" spans="2:12">
      <c r="C27" s="74"/>
      <c r="J27" s="91"/>
      <c r="K27" s="88"/>
    </row>
    <row r="28" spans="2:12">
      <c r="C28" s="74"/>
      <c r="F28" s="52"/>
      <c r="J28" s="91"/>
      <c r="K28" s="88"/>
    </row>
    <row r="29" spans="2:12">
      <c r="C29" s="39"/>
      <c r="F29" s="52"/>
      <c r="J29" s="38"/>
      <c r="K29" s="38"/>
    </row>
    <row r="30" spans="2:12">
      <c r="F30" s="52"/>
      <c r="J30" s="37"/>
      <c r="K30" s="37"/>
    </row>
    <row r="31" spans="2:12">
      <c r="F31" s="52"/>
      <c r="J31" s="38"/>
      <c r="K31" s="38"/>
    </row>
    <row r="32" spans="2:12">
      <c r="F32" s="52"/>
      <c r="J32" s="38"/>
      <c r="K32" s="38"/>
    </row>
    <row r="33" spans="6:11">
      <c r="F33" s="52"/>
      <c r="J33" s="37"/>
      <c r="K33" s="37"/>
    </row>
    <row r="34" spans="6:11">
      <c r="F34" s="52"/>
      <c r="J34" s="37"/>
      <c r="K34" s="37"/>
    </row>
    <row r="35" spans="6:11">
      <c r="F35" s="52"/>
      <c r="J35" s="37"/>
      <c r="K35" s="37"/>
    </row>
    <row r="36" spans="6:11">
      <c r="F36" s="52"/>
      <c r="J36" s="37"/>
      <c r="K36" s="37"/>
    </row>
    <row r="37" spans="6:11">
      <c r="F37" s="52"/>
    </row>
    <row r="38" spans="6:11">
      <c r="F38" s="52"/>
    </row>
    <row r="39" spans="6:11">
      <c r="F39" s="5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E27" sqref="E27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Febrero 2020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2" t="s">
        <v>36</v>
      </c>
      <c r="D7" s="64"/>
      <c r="E7" s="68"/>
    </row>
    <row r="8" spans="1:20" s="56" customFormat="1" ht="12.75" customHeight="1">
      <c r="A8" s="67"/>
      <c r="B8" s="66"/>
      <c r="C8" s="202"/>
      <c r="D8" s="64"/>
      <c r="E8" s="68"/>
      <c r="F8" s="63"/>
    </row>
    <row r="9" spans="1:20" s="56" customFormat="1" ht="12.75" customHeight="1">
      <c r="A9" s="67"/>
      <c r="B9" s="66"/>
      <c r="C9" s="202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13" s="56" customFormat="1" ht="12.75" customHeight="1">
      <c r="A17" s="67"/>
      <c r="B17" s="66"/>
      <c r="C17" s="65"/>
      <c r="D17" s="64"/>
      <c r="E17" s="64"/>
      <c r="F17" s="63"/>
    </row>
    <row r="18" spans="1:13" s="56" customFormat="1" ht="12.75" customHeight="1">
      <c r="A18" s="67"/>
      <c r="B18" s="66"/>
      <c r="C18" s="65"/>
      <c r="D18" s="64"/>
      <c r="E18" s="64"/>
      <c r="F18" s="166"/>
    </row>
    <row r="19" spans="1:13" s="56" customFormat="1" ht="12.75" customHeight="1">
      <c r="A19" s="67"/>
      <c r="B19" s="66"/>
      <c r="C19" s="65"/>
      <c r="D19" s="64"/>
      <c r="E19" s="64"/>
      <c r="F19" s="63"/>
    </row>
    <row r="20" spans="1:13" s="56" customFormat="1" ht="12.75" customHeight="1">
      <c r="A20" s="67"/>
      <c r="B20" s="66"/>
      <c r="C20" s="65"/>
      <c r="D20" s="64"/>
      <c r="E20" s="64"/>
      <c r="F20" s="63"/>
    </row>
    <row r="21" spans="1:13" ht="12.75" customHeight="1"/>
    <row r="22" spans="1:13" ht="12.75" customHeight="1"/>
    <row r="23" spans="1:13" ht="12.75" customHeight="1"/>
    <row r="24" spans="1:13" ht="12.75" customHeight="1">
      <c r="E24" s="60"/>
      <c r="F24" s="60"/>
      <c r="G24" s="60"/>
    </row>
    <row r="25" spans="1:13" ht="12.75" customHeight="1">
      <c r="E25" s="57" t="s">
        <v>96</v>
      </c>
      <c r="F25" s="62"/>
      <c r="G25" s="62"/>
    </row>
    <row r="26" spans="1:13" ht="12.75" customHeight="1">
      <c r="E26" s="57" t="s">
        <v>52</v>
      </c>
      <c r="F26" s="62"/>
      <c r="G26" s="62"/>
    </row>
    <row r="27" spans="1:13" ht="24" customHeight="1">
      <c r="E27" s="224" t="s">
        <v>127</v>
      </c>
      <c r="F27" s="225"/>
      <c r="G27" s="225"/>
      <c r="H27" s="225"/>
      <c r="I27" s="225"/>
      <c r="J27" s="225"/>
      <c r="K27" s="225"/>
      <c r="L27" s="225"/>
      <c r="M27" s="225"/>
    </row>
    <row r="28" spans="1:13" ht="12.75" customHeight="1">
      <c r="E28" s="61"/>
      <c r="F28" s="60"/>
      <c r="G28" s="60"/>
    </row>
    <row r="29" spans="1:13" ht="12.75" customHeight="1">
      <c r="F29" s="60"/>
      <c r="G29" s="60"/>
    </row>
    <row r="30" spans="1:13" ht="12.75" customHeight="1">
      <c r="F30" s="60"/>
      <c r="G30" s="60"/>
    </row>
    <row r="31" spans="1:13" ht="12.75" customHeight="1">
      <c r="E31" s="59"/>
    </row>
    <row r="32" spans="1:13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7"/>
    </row>
    <row r="46" spans="5:5">
      <c r="E46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58"/>
  <sheetViews>
    <sheetView zoomScaleNormal="100" workbookViewId="0">
      <pane xSplit="1" ySplit="1" topLeftCell="J113" activePane="bottomRight" state="frozen"/>
      <selection pane="topRight" activeCell="B1" sqref="B1"/>
      <selection pane="bottomLeft" activeCell="A2" sqref="A2"/>
      <selection pane="bottomRight" activeCell="N119" sqref="N119:O119"/>
    </sheetView>
  </sheetViews>
  <sheetFormatPr baseColWidth="10" defaultColWidth="11.42578125" defaultRowHeight="12"/>
  <cols>
    <col min="1" max="1" width="10.28515625" style="111" bestFit="1" customWidth="1"/>
    <col min="2" max="2" width="14.5703125" style="111" bestFit="1" customWidth="1"/>
    <col min="3" max="3" width="26.5703125" style="111" bestFit="1" customWidth="1"/>
    <col min="4" max="4" width="22.42578125" style="111" bestFit="1" customWidth="1"/>
    <col min="5" max="5" width="23.5703125" style="111" bestFit="1" customWidth="1"/>
    <col min="6" max="6" width="36.140625" style="111" bestFit="1" customWidth="1"/>
    <col min="7" max="7" width="26.140625" style="111" bestFit="1" customWidth="1"/>
    <col min="8" max="8" width="22.140625" style="111" bestFit="1" customWidth="1"/>
    <col min="9" max="9" width="23.28515625" style="111" bestFit="1" customWidth="1"/>
    <col min="10" max="10" width="31.140625" style="111" bestFit="1" customWidth="1"/>
    <col min="11" max="11" width="30.85546875" style="111" bestFit="1" customWidth="1"/>
    <col min="12" max="12" width="26.85546875" style="111" bestFit="1" customWidth="1"/>
    <col min="13" max="13" width="28" style="111" bestFit="1" customWidth="1"/>
    <col min="14" max="14" width="35.85546875" style="111" bestFit="1" customWidth="1"/>
    <col min="15" max="33" width="14.7109375" style="111" customWidth="1"/>
    <col min="34" max="16384" width="11.42578125" style="111"/>
  </cols>
  <sheetData>
    <row r="1" spans="1:33">
      <c r="A1" s="143" t="s">
        <v>67</v>
      </c>
      <c r="B1" s="143" t="s">
        <v>71</v>
      </c>
    </row>
    <row r="2" spans="1:33">
      <c r="A2" s="144" t="s">
        <v>117</v>
      </c>
      <c r="B2" s="144" t="s">
        <v>119</v>
      </c>
    </row>
    <row r="4" spans="1:33" ht="15">
      <c r="A4" s="145" t="s">
        <v>67</v>
      </c>
      <c r="B4" s="203" t="s">
        <v>117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</row>
    <row r="5" spans="1:33" ht="15">
      <c r="A5" s="145" t="s">
        <v>68</v>
      </c>
      <c r="B5" s="219" t="s">
        <v>15</v>
      </c>
      <c r="C5" s="220"/>
      <c r="D5" s="220"/>
      <c r="E5" s="220"/>
      <c r="F5" s="220"/>
      <c r="G5" s="220"/>
      <c r="H5" s="220"/>
      <c r="I5" s="221"/>
      <c r="J5" s="219" t="s">
        <v>14</v>
      </c>
      <c r="K5" s="220"/>
      <c r="L5" s="220"/>
      <c r="M5" s="220"/>
      <c r="N5" s="220"/>
      <c r="O5" s="220"/>
      <c r="P5" s="220"/>
      <c r="Q5" s="221"/>
      <c r="R5" s="219" t="s">
        <v>57</v>
      </c>
      <c r="S5" s="220"/>
      <c r="T5" s="220"/>
      <c r="U5" s="220"/>
      <c r="V5" s="220"/>
      <c r="W5" s="220"/>
      <c r="X5" s="220"/>
      <c r="Y5" s="221"/>
      <c r="Z5" s="219" t="s">
        <v>58</v>
      </c>
      <c r="AA5" s="220"/>
      <c r="AB5" s="220"/>
      <c r="AC5" s="220"/>
      <c r="AD5" s="220"/>
      <c r="AE5" s="220"/>
      <c r="AF5" s="220"/>
      <c r="AG5" s="220"/>
    </row>
    <row r="6" spans="1:33">
      <c r="A6" s="145" t="s">
        <v>69</v>
      </c>
      <c r="B6" s="188" t="s">
        <v>59</v>
      </c>
      <c r="C6" s="188" t="s">
        <v>60</v>
      </c>
      <c r="D6" s="188" t="s">
        <v>61</v>
      </c>
      <c r="E6" s="188" t="s">
        <v>62</v>
      </c>
      <c r="F6" s="188" t="s">
        <v>63</v>
      </c>
      <c r="G6" s="188" t="s">
        <v>64</v>
      </c>
      <c r="H6" s="188" t="s">
        <v>65</v>
      </c>
      <c r="I6" s="188" t="s">
        <v>66</v>
      </c>
      <c r="J6" s="188" t="s">
        <v>59</v>
      </c>
      <c r="K6" s="188" t="s">
        <v>60</v>
      </c>
      <c r="L6" s="188" t="s">
        <v>61</v>
      </c>
      <c r="M6" s="188" t="s">
        <v>62</v>
      </c>
      <c r="N6" s="188" t="s">
        <v>63</v>
      </c>
      <c r="O6" s="188" t="s">
        <v>64</v>
      </c>
      <c r="P6" s="188" t="s">
        <v>65</v>
      </c>
      <c r="Q6" s="188" t="s">
        <v>66</v>
      </c>
      <c r="R6" s="188" t="s">
        <v>59</v>
      </c>
      <c r="S6" s="188" t="s">
        <v>60</v>
      </c>
      <c r="T6" s="188" t="s">
        <v>61</v>
      </c>
      <c r="U6" s="188" t="s">
        <v>62</v>
      </c>
      <c r="V6" s="188" t="s">
        <v>63</v>
      </c>
      <c r="W6" s="188" t="s">
        <v>64</v>
      </c>
      <c r="X6" s="188" t="s">
        <v>65</v>
      </c>
      <c r="Y6" s="188" t="s">
        <v>66</v>
      </c>
      <c r="Z6" s="188" t="s">
        <v>59</v>
      </c>
      <c r="AA6" s="188" t="s">
        <v>60</v>
      </c>
      <c r="AB6" s="188" t="s">
        <v>61</v>
      </c>
      <c r="AC6" s="188" t="s">
        <v>62</v>
      </c>
      <c r="AD6" s="188" t="s">
        <v>63</v>
      </c>
      <c r="AE6" s="188" t="s">
        <v>64</v>
      </c>
      <c r="AF6" s="188" t="s">
        <v>65</v>
      </c>
      <c r="AG6" s="188" t="s">
        <v>66</v>
      </c>
    </row>
    <row r="7" spans="1:33">
      <c r="A7" s="145" t="s">
        <v>70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</row>
    <row r="8" spans="1:33">
      <c r="A8" s="144" t="s">
        <v>12</v>
      </c>
      <c r="B8" s="158">
        <v>0</v>
      </c>
      <c r="C8" s="158">
        <v>0</v>
      </c>
      <c r="D8" s="151">
        <v>0</v>
      </c>
      <c r="E8" s="158">
        <v>0</v>
      </c>
      <c r="F8" s="158">
        <v>0</v>
      </c>
      <c r="G8" s="151">
        <v>0</v>
      </c>
      <c r="H8" s="158">
        <v>0</v>
      </c>
      <c r="I8" s="151">
        <v>0</v>
      </c>
      <c r="J8" s="158">
        <v>0</v>
      </c>
      <c r="K8" s="158">
        <v>0</v>
      </c>
      <c r="L8" s="151">
        <v>0</v>
      </c>
      <c r="M8" s="158">
        <v>0</v>
      </c>
      <c r="N8" s="158">
        <v>0</v>
      </c>
      <c r="O8" s="151">
        <v>0</v>
      </c>
      <c r="P8" s="158">
        <v>0</v>
      </c>
      <c r="Q8" s="151">
        <v>0</v>
      </c>
      <c r="R8" s="158">
        <v>0</v>
      </c>
      <c r="S8" s="158">
        <v>0</v>
      </c>
      <c r="T8" s="151">
        <v>0</v>
      </c>
      <c r="U8" s="158">
        <v>0</v>
      </c>
      <c r="V8" s="158">
        <v>0</v>
      </c>
      <c r="W8" s="151">
        <v>0</v>
      </c>
      <c r="X8" s="158">
        <v>0</v>
      </c>
      <c r="Y8" s="151">
        <v>0</v>
      </c>
      <c r="Z8" s="158">
        <v>267.69</v>
      </c>
      <c r="AA8" s="158">
        <v>265.04899999999998</v>
      </c>
      <c r="AB8" s="151">
        <v>9.9641952999999991E-3</v>
      </c>
      <c r="AC8" s="158">
        <v>572.00400000000002</v>
      </c>
      <c r="AD8" s="158">
        <v>557.96500000000003</v>
      </c>
      <c r="AE8" s="151">
        <v>2.5161076399999999E-2</v>
      </c>
      <c r="AF8" s="158">
        <v>3523.2840000000001</v>
      </c>
      <c r="AG8" s="151">
        <v>5.1455749999999997E-4</v>
      </c>
    </row>
    <row r="9" spans="1:33">
      <c r="A9" s="144" t="s">
        <v>11</v>
      </c>
      <c r="B9" s="158">
        <v>0</v>
      </c>
      <c r="C9" s="158">
        <v>0</v>
      </c>
      <c r="D9" s="151">
        <v>0</v>
      </c>
      <c r="E9" s="158">
        <v>0</v>
      </c>
      <c r="F9" s="158">
        <v>0</v>
      </c>
      <c r="G9" s="151">
        <v>0</v>
      </c>
      <c r="H9" s="158">
        <v>0</v>
      </c>
      <c r="I9" s="151">
        <v>0</v>
      </c>
      <c r="J9" s="158">
        <v>0</v>
      </c>
      <c r="K9" s="158">
        <v>0</v>
      </c>
      <c r="L9" s="151">
        <v>0</v>
      </c>
      <c r="M9" s="158">
        <v>0</v>
      </c>
      <c r="N9" s="158">
        <v>0</v>
      </c>
      <c r="O9" s="151">
        <v>0</v>
      </c>
      <c r="P9" s="158">
        <v>0</v>
      </c>
      <c r="Q9" s="151">
        <v>0</v>
      </c>
      <c r="R9" s="158">
        <v>-1440.7270000000001</v>
      </c>
      <c r="S9" s="158">
        <v>164402.37100000001</v>
      </c>
      <c r="T9" s="151" t="s">
        <v>3</v>
      </c>
      <c r="U9" s="158">
        <v>-4618.0749999999998</v>
      </c>
      <c r="V9" s="158">
        <v>382127.65700000001</v>
      </c>
      <c r="W9" s="151">
        <v>-1.0120851629000001</v>
      </c>
      <c r="X9" s="158">
        <v>1612388.656</v>
      </c>
      <c r="Y9" s="151">
        <v>-0.32438474579999999</v>
      </c>
      <c r="Z9" s="158">
        <v>0</v>
      </c>
      <c r="AA9" s="158">
        <v>0</v>
      </c>
      <c r="AB9" s="151">
        <v>0</v>
      </c>
      <c r="AC9" s="158">
        <v>0</v>
      </c>
      <c r="AD9" s="158">
        <v>0</v>
      </c>
      <c r="AE9" s="151">
        <v>0</v>
      </c>
      <c r="AF9" s="158">
        <v>0</v>
      </c>
      <c r="AG9" s="151">
        <v>0</v>
      </c>
    </row>
    <row r="10" spans="1:33">
      <c r="A10" s="144" t="s">
        <v>78</v>
      </c>
      <c r="B10" s="158">
        <v>15769.248</v>
      </c>
      <c r="C10" s="158">
        <v>16018.849</v>
      </c>
      <c r="D10" s="151">
        <v>-1.55817063E-2</v>
      </c>
      <c r="E10" s="158">
        <v>33603.046999999999</v>
      </c>
      <c r="F10" s="158">
        <v>33848.728999999999</v>
      </c>
      <c r="G10" s="151">
        <v>-7.2582341000000002E-3</v>
      </c>
      <c r="H10" s="158">
        <v>205718.54399999999</v>
      </c>
      <c r="I10" s="151">
        <v>1.3185403000000001E-3</v>
      </c>
      <c r="J10" s="158">
        <v>15022.058000000001</v>
      </c>
      <c r="K10" s="158">
        <v>14977.746999999999</v>
      </c>
      <c r="L10" s="151">
        <v>2.9584555999999998E-3</v>
      </c>
      <c r="M10" s="158">
        <v>32620.29</v>
      </c>
      <c r="N10" s="158">
        <v>32403.471000000001</v>
      </c>
      <c r="O10" s="151">
        <v>6.6912276000000003E-3</v>
      </c>
      <c r="P10" s="158">
        <v>200226.06700000001</v>
      </c>
      <c r="Q10" s="151">
        <v>-5.7088173999999998E-3</v>
      </c>
      <c r="R10" s="158">
        <v>20211.246999999999</v>
      </c>
      <c r="S10" s="158">
        <v>26576.927</v>
      </c>
      <c r="T10" s="151">
        <v>-0.2395190385</v>
      </c>
      <c r="U10" s="158">
        <v>45374.571000000004</v>
      </c>
      <c r="V10" s="158">
        <v>61789.175000000003</v>
      </c>
      <c r="W10" s="151">
        <v>-0.26565501159999999</v>
      </c>
      <c r="X10" s="158">
        <v>446824.304</v>
      </c>
      <c r="Y10" s="151">
        <v>-0.28234841230000002</v>
      </c>
      <c r="Z10" s="158">
        <v>160705.89600000001</v>
      </c>
      <c r="AA10" s="158">
        <v>152846.85699999999</v>
      </c>
      <c r="AB10" s="151">
        <v>5.1417733799999997E-2</v>
      </c>
      <c r="AC10" s="158">
        <v>336529.48599999998</v>
      </c>
      <c r="AD10" s="158">
        <v>327111.12900000002</v>
      </c>
      <c r="AE10" s="151">
        <v>2.879253E-2</v>
      </c>
      <c r="AF10" s="158">
        <v>1959363.473</v>
      </c>
      <c r="AG10" s="151">
        <v>-6.6194362100000001E-2</v>
      </c>
    </row>
    <row r="11" spans="1:33">
      <c r="A11" s="144" t="s">
        <v>9</v>
      </c>
      <c r="B11" s="158">
        <v>0.76300000000000001</v>
      </c>
      <c r="C11" s="158">
        <v>0.67800000000000005</v>
      </c>
      <c r="D11" s="151">
        <v>0.12536873160000001</v>
      </c>
      <c r="E11" s="158">
        <v>2.077</v>
      </c>
      <c r="F11" s="158">
        <v>1.0369999999999999</v>
      </c>
      <c r="G11" s="151">
        <v>1.0028929605000001</v>
      </c>
      <c r="H11" s="158">
        <v>85.054000000000002</v>
      </c>
      <c r="I11" s="151">
        <v>-0.26174811209999999</v>
      </c>
      <c r="J11" s="158">
        <v>1.165</v>
      </c>
      <c r="K11" s="158">
        <v>0.51300000000000001</v>
      </c>
      <c r="L11" s="151">
        <v>1.2709551657</v>
      </c>
      <c r="M11" s="158">
        <v>1.962</v>
      </c>
      <c r="N11" s="158">
        <v>1.0740000000000001</v>
      </c>
      <c r="O11" s="151">
        <v>0.82681564249999995</v>
      </c>
      <c r="P11" s="158">
        <v>21.895</v>
      </c>
      <c r="Q11" s="151">
        <v>0.43970278800000001</v>
      </c>
      <c r="R11" s="158">
        <v>17386.634999999998</v>
      </c>
      <c r="S11" s="158">
        <v>22600.86</v>
      </c>
      <c r="T11" s="151">
        <v>-0.2307091412</v>
      </c>
      <c r="U11" s="158">
        <v>39211.722999999998</v>
      </c>
      <c r="V11" s="158">
        <v>45125.347999999998</v>
      </c>
      <c r="W11" s="151">
        <v>-0.13104885090000001</v>
      </c>
      <c r="X11" s="158">
        <v>435576.73200000002</v>
      </c>
      <c r="Y11" s="151">
        <v>-0.36908554980000002</v>
      </c>
      <c r="Z11" s="158">
        <v>21870.190999999999</v>
      </c>
      <c r="AA11" s="158">
        <v>18942.269</v>
      </c>
      <c r="AB11" s="151">
        <v>0.1545708173</v>
      </c>
      <c r="AC11" s="158">
        <v>38975.281000000003</v>
      </c>
      <c r="AD11" s="158">
        <v>40887.896999999997</v>
      </c>
      <c r="AE11" s="151">
        <v>-4.6777069499999997E-2</v>
      </c>
      <c r="AF11" s="158">
        <v>227574.228</v>
      </c>
      <c r="AG11" s="151">
        <v>-0.16633430860000001</v>
      </c>
    </row>
    <row r="12" spans="1:33">
      <c r="A12" s="144" t="s">
        <v>8</v>
      </c>
      <c r="B12" s="158">
        <v>0</v>
      </c>
      <c r="C12" s="158">
        <v>0</v>
      </c>
      <c r="D12" s="151">
        <v>0</v>
      </c>
      <c r="E12" s="158">
        <v>0</v>
      </c>
      <c r="F12" s="158">
        <v>0</v>
      </c>
      <c r="G12" s="151">
        <v>0</v>
      </c>
      <c r="H12" s="158">
        <v>0</v>
      </c>
      <c r="I12" s="151">
        <v>0</v>
      </c>
      <c r="J12" s="158">
        <v>0</v>
      </c>
      <c r="K12" s="158">
        <v>0</v>
      </c>
      <c r="L12" s="151">
        <v>0</v>
      </c>
      <c r="M12" s="158">
        <v>0</v>
      </c>
      <c r="N12" s="158">
        <v>0</v>
      </c>
      <c r="O12" s="151">
        <v>0</v>
      </c>
      <c r="P12" s="158">
        <v>0</v>
      </c>
      <c r="Q12" s="151">
        <v>0</v>
      </c>
      <c r="R12" s="158">
        <v>0</v>
      </c>
      <c r="S12" s="158">
        <v>0</v>
      </c>
      <c r="T12" s="151">
        <v>0</v>
      </c>
      <c r="U12" s="158">
        <v>0</v>
      </c>
      <c r="V12" s="158">
        <v>0</v>
      </c>
      <c r="W12" s="151">
        <v>0</v>
      </c>
      <c r="X12" s="158">
        <v>0</v>
      </c>
      <c r="Y12" s="151">
        <v>0</v>
      </c>
      <c r="Z12" s="158">
        <v>128349.147</v>
      </c>
      <c r="AA12" s="158">
        <v>212981.81099999999</v>
      </c>
      <c r="AB12" s="151">
        <v>-0.39737038390000001</v>
      </c>
      <c r="AC12" s="158">
        <v>275267.66499999998</v>
      </c>
      <c r="AD12" s="158">
        <v>431632.42300000001</v>
      </c>
      <c r="AE12" s="151">
        <v>-0.36226369860000002</v>
      </c>
      <c r="AF12" s="158">
        <v>2032645.91</v>
      </c>
      <c r="AG12" s="151">
        <v>-0.1690838435</v>
      </c>
    </row>
    <row r="13" spans="1:33">
      <c r="A13" s="144" t="s">
        <v>25</v>
      </c>
      <c r="B13" s="158">
        <v>0</v>
      </c>
      <c r="C13" s="158">
        <v>0</v>
      </c>
      <c r="D13" s="151">
        <v>0</v>
      </c>
      <c r="E13" s="158">
        <v>0</v>
      </c>
      <c r="F13" s="158">
        <v>0</v>
      </c>
      <c r="G13" s="151">
        <v>0</v>
      </c>
      <c r="H13" s="158">
        <v>0</v>
      </c>
      <c r="I13" s="151">
        <v>0</v>
      </c>
      <c r="J13" s="158">
        <v>0</v>
      </c>
      <c r="K13" s="158">
        <v>0</v>
      </c>
      <c r="L13" s="151">
        <v>0</v>
      </c>
      <c r="M13" s="158">
        <v>0</v>
      </c>
      <c r="N13" s="158">
        <v>0</v>
      </c>
      <c r="O13" s="151">
        <v>0</v>
      </c>
      <c r="P13" s="158">
        <v>0</v>
      </c>
      <c r="Q13" s="151">
        <v>0</v>
      </c>
      <c r="R13" s="158">
        <v>226173.81</v>
      </c>
      <c r="S13" s="158">
        <v>55402.148999999998</v>
      </c>
      <c r="T13" s="151">
        <v>3.0824013884000001</v>
      </c>
      <c r="U13" s="158">
        <v>473602.266</v>
      </c>
      <c r="V13" s="158">
        <v>89814.285000000003</v>
      </c>
      <c r="W13" s="151">
        <v>4.2731285007000004</v>
      </c>
      <c r="X13" s="158">
        <v>1428979.558</v>
      </c>
      <c r="Y13" s="151">
        <v>1.3776650702</v>
      </c>
      <c r="Z13" s="158">
        <v>279078.48200000002</v>
      </c>
      <c r="AA13" s="158">
        <v>221964.823</v>
      </c>
      <c r="AB13" s="151">
        <v>0.25730950619999998</v>
      </c>
      <c r="AC13" s="158">
        <v>615490.17799999996</v>
      </c>
      <c r="AD13" s="158">
        <v>486472.09600000002</v>
      </c>
      <c r="AE13" s="151">
        <v>0.26521168029999997</v>
      </c>
      <c r="AF13" s="158">
        <v>3182535.6320000002</v>
      </c>
      <c r="AG13" s="151">
        <v>3.04886277E-2</v>
      </c>
    </row>
    <row r="14" spans="1:33">
      <c r="A14" s="144" t="s">
        <v>24</v>
      </c>
      <c r="B14" s="158">
        <v>0</v>
      </c>
      <c r="C14" s="158">
        <v>0</v>
      </c>
      <c r="D14" s="151">
        <v>0</v>
      </c>
      <c r="E14" s="158">
        <v>0</v>
      </c>
      <c r="F14" s="158">
        <v>0</v>
      </c>
      <c r="G14" s="151">
        <v>0</v>
      </c>
      <c r="H14" s="158">
        <v>0</v>
      </c>
      <c r="I14" s="151">
        <v>0</v>
      </c>
      <c r="J14" s="158">
        <v>0</v>
      </c>
      <c r="K14" s="158">
        <v>0</v>
      </c>
      <c r="L14" s="151">
        <v>0</v>
      </c>
      <c r="M14" s="158">
        <v>0</v>
      </c>
      <c r="N14" s="158">
        <v>0</v>
      </c>
      <c r="O14" s="151">
        <v>0</v>
      </c>
      <c r="P14" s="158">
        <v>0</v>
      </c>
      <c r="Q14" s="151">
        <v>0</v>
      </c>
      <c r="R14" s="158">
        <v>0</v>
      </c>
      <c r="S14" s="158">
        <v>0</v>
      </c>
      <c r="T14" s="151">
        <v>0</v>
      </c>
      <c r="U14" s="158">
        <v>0</v>
      </c>
      <c r="V14" s="158">
        <v>0</v>
      </c>
      <c r="W14" s="151">
        <v>0</v>
      </c>
      <c r="X14" s="158">
        <v>16827.499</v>
      </c>
      <c r="Y14" s="151">
        <v>0.31324031949999998</v>
      </c>
      <c r="Z14" s="158">
        <v>0</v>
      </c>
      <c r="AA14" s="158">
        <v>0</v>
      </c>
      <c r="AB14" s="151">
        <v>0</v>
      </c>
      <c r="AC14" s="158">
        <v>0</v>
      </c>
      <c r="AD14" s="158">
        <v>0</v>
      </c>
      <c r="AE14" s="151">
        <v>0</v>
      </c>
      <c r="AF14" s="158">
        <v>0</v>
      </c>
      <c r="AG14" s="151">
        <v>0</v>
      </c>
    </row>
    <row r="15" spans="1:33">
      <c r="A15" s="144" t="s">
        <v>6</v>
      </c>
      <c r="B15" s="158">
        <v>0</v>
      </c>
      <c r="C15" s="158">
        <v>0</v>
      </c>
      <c r="D15" s="151">
        <v>0</v>
      </c>
      <c r="E15" s="158">
        <v>0</v>
      </c>
      <c r="F15" s="158">
        <v>0</v>
      </c>
      <c r="G15" s="151">
        <v>0</v>
      </c>
      <c r="H15" s="158">
        <v>0</v>
      </c>
      <c r="I15" s="151">
        <v>0</v>
      </c>
      <c r="J15" s="158">
        <v>0</v>
      </c>
      <c r="K15" s="158">
        <v>0</v>
      </c>
      <c r="L15" s="151">
        <v>0</v>
      </c>
      <c r="M15" s="158">
        <v>0</v>
      </c>
      <c r="N15" s="158">
        <v>0</v>
      </c>
      <c r="O15" s="151">
        <v>0</v>
      </c>
      <c r="P15" s="158">
        <v>0</v>
      </c>
      <c r="Q15" s="151">
        <v>0</v>
      </c>
      <c r="R15" s="158">
        <v>0</v>
      </c>
      <c r="S15" s="158">
        <v>0</v>
      </c>
      <c r="T15" s="151">
        <v>0</v>
      </c>
      <c r="U15" s="158">
        <v>0</v>
      </c>
      <c r="V15" s="158">
        <v>0</v>
      </c>
      <c r="W15" s="151">
        <v>0</v>
      </c>
      <c r="X15" s="158">
        <v>0</v>
      </c>
      <c r="Y15" s="151">
        <v>0</v>
      </c>
      <c r="Z15" s="158">
        <v>1338.5150000000001</v>
      </c>
      <c r="AA15" s="158">
        <v>972.54499999999996</v>
      </c>
      <c r="AB15" s="151">
        <v>0.37630135370000001</v>
      </c>
      <c r="AC15" s="158">
        <v>2163.0650000000001</v>
      </c>
      <c r="AD15" s="158">
        <v>2082.201</v>
      </c>
      <c r="AE15" s="151">
        <v>3.8835828000000003E-2</v>
      </c>
      <c r="AF15" s="158">
        <v>23329.581999999999</v>
      </c>
      <c r="AG15" s="151">
        <v>7.3825515100000003E-2</v>
      </c>
    </row>
    <row r="16" spans="1:33">
      <c r="A16" s="144" t="s">
        <v>5</v>
      </c>
      <c r="B16" s="158">
        <v>0</v>
      </c>
      <c r="C16" s="158">
        <v>0</v>
      </c>
      <c r="D16" s="151">
        <v>0</v>
      </c>
      <c r="E16" s="158">
        <v>0</v>
      </c>
      <c r="F16" s="158">
        <v>0</v>
      </c>
      <c r="G16" s="151">
        <v>0</v>
      </c>
      <c r="H16" s="158">
        <v>0</v>
      </c>
      <c r="I16" s="151">
        <v>0</v>
      </c>
      <c r="J16" s="158">
        <v>0</v>
      </c>
      <c r="K16" s="158">
        <v>0</v>
      </c>
      <c r="L16" s="151">
        <v>0</v>
      </c>
      <c r="M16" s="158">
        <v>0</v>
      </c>
      <c r="N16" s="158">
        <v>0</v>
      </c>
      <c r="O16" s="151">
        <v>0</v>
      </c>
      <c r="P16" s="158">
        <v>0</v>
      </c>
      <c r="Q16" s="151">
        <v>0</v>
      </c>
      <c r="R16" s="158">
        <v>339.27600000000001</v>
      </c>
      <c r="S16" s="158">
        <v>499.32900000000001</v>
      </c>
      <c r="T16" s="151">
        <v>-0.32053615949999997</v>
      </c>
      <c r="U16" s="158">
        <v>710.10199999999998</v>
      </c>
      <c r="V16" s="158">
        <v>1304.7560000000001</v>
      </c>
      <c r="W16" s="151">
        <v>-0.45575877790000002</v>
      </c>
      <c r="X16" s="158">
        <v>5490.1660000000002</v>
      </c>
      <c r="Y16" s="151">
        <v>0.22404222709999999</v>
      </c>
      <c r="Z16" s="158">
        <v>93063.98</v>
      </c>
      <c r="AA16" s="158">
        <v>48413.317000000003</v>
      </c>
      <c r="AB16" s="151">
        <v>0.92228059900000003</v>
      </c>
      <c r="AC16" s="158">
        <v>152121.041</v>
      </c>
      <c r="AD16" s="158">
        <v>104129.363</v>
      </c>
      <c r="AE16" s="151">
        <v>0.46088515880000003</v>
      </c>
      <c r="AF16" s="158">
        <v>1186269.58</v>
      </c>
      <c r="AG16" s="151">
        <v>0.90399139679999996</v>
      </c>
    </row>
    <row r="17" spans="1:33">
      <c r="A17" s="144" t="s">
        <v>4</v>
      </c>
      <c r="B17" s="158">
        <v>0</v>
      </c>
      <c r="C17" s="158">
        <v>0</v>
      </c>
      <c r="D17" s="151">
        <v>0</v>
      </c>
      <c r="E17" s="158">
        <v>0</v>
      </c>
      <c r="F17" s="158">
        <v>0</v>
      </c>
      <c r="G17" s="151">
        <v>0</v>
      </c>
      <c r="H17" s="158">
        <v>0</v>
      </c>
      <c r="I17" s="151">
        <v>0</v>
      </c>
      <c r="J17" s="158">
        <v>5.41</v>
      </c>
      <c r="K17" s="158">
        <v>5.5259999999999998</v>
      </c>
      <c r="L17" s="151">
        <v>-2.09916757E-2</v>
      </c>
      <c r="M17" s="158">
        <v>10.119</v>
      </c>
      <c r="N17" s="158">
        <v>10.579000000000001</v>
      </c>
      <c r="O17" s="151">
        <v>-4.3482370700000002E-2</v>
      </c>
      <c r="P17" s="158">
        <v>79.912999999999997</v>
      </c>
      <c r="Q17" s="151">
        <v>6.3932047199999995E-2</v>
      </c>
      <c r="R17" s="158">
        <v>8735.9240000000009</v>
      </c>
      <c r="S17" s="158">
        <v>9353.2070000000003</v>
      </c>
      <c r="T17" s="151">
        <v>-6.5996935600000001E-2</v>
      </c>
      <c r="U17" s="158">
        <v>14666.974</v>
      </c>
      <c r="V17" s="158">
        <v>16644.058000000001</v>
      </c>
      <c r="W17" s="151">
        <v>-0.1187861758</v>
      </c>
      <c r="X17" s="158">
        <v>118826.356</v>
      </c>
      <c r="Y17" s="151">
        <v>9.1838118999999999E-3</v>
      </c>
      <c r="Z17" s="158">
        <v>20147.512999999999</v>
      </c>
      <c r="AA17" s="158">
        <v>21362.932000000001</v>
      </c>
      <c r="AB17" s="151">
        <v>-5.6893829E-2</v>
      </c>
      <c r="AC17" s="158">
        <v>38520.222000000002</v>
      </c>
      <c r="AD17" s="158">
        <v>39262.544000000002</v>
      </c>
      <c r="AE17" s="151">
        <v>-1.8906619999999999E-2</v>
      </c>
      <c r="AF17" s="158">
        <v>277162.761</v>
      </c>
      <c r="AG17" s="151">
        <v>1.0156067600000001E-2</v>
      </c>
    </row>
    <row r="18" spans="1:33">
      <c r="A18" s="144" t="s">
        <v>22</v>
      </c>
      <c r="B18" s="158">
        <v>0</v>
      </c>
      <c r="C18" s="158">
        <v>0</v>
      </c>
      <c r="D18" s="151">
        <v>0</v>
      </c>
      <c r="E18" s="158">
        <v>0</v>
      </c>
      <c r="F18" s="158">
        <v>0</v>
      </c>
      <c r="G18" s="151">
        <v>0</v>
      </c>
      <c r="H18" s="158">
        <v>0</v>
      </c>
      <c r="I18" s="151">
        <v>0</v>
      </c>
      <c r="J18" s="158">
        <v>0</v>
      </c>
      <c r="K18" s="158">
        <v>0</v>
      </c>
      <c r="L18" s="151">
        <v>0</v>
      </c>
      <c r="M18" s="158">
        <v>0</v>
      </c>
      <c r="N18" s="158">
        <v>0</v>
      </c>
      <c r="O18" s="151">
        <v>0</v>
      </c>
      <c r="P18" s="158">
        <v>0</v>
      </c>
      <c r="Q18" s="151">
        <v>0</v>
      </c>
      <c r="R18" s="158">
        <v>81.622</v>
      </c>
      <c r="S18" s="158">
        <v>82.346000000000004</v>
      </c>
      <c r="T18" s="151">
        <v>-8.7921696000000001E-3</v>
      </c>
      <c r="U18" s="158">
        <v>283.096</v>
      </c>
      <c r="V18" s="158">
        <v>189.989</v>
      </c>
      <c r="W18" s="151">
        <v>0.4900652143</v>
      </c>
      <c r="X18" s="158">
        <v>1232.4739999999999</v>
      </c>
      <c r="Y18" s="151">
        <v>8.3988210899999999E-2</v>
      </c>
      <c r="Z18" s="158">
        <v>845.70600000000002</v>
      </c>
      <c r="AA18" s="158">
        <v>822.798</v>
      </c>
      <c r="AB18" s="151">
        <v>2.7841584400000001E-2</v>
      </c>
      <c r="AC18" s="158">
        <v>1721.9860000000001</v>
      </c>
      <c r="AD18" s="158">
        <v>1786.127</v>
      </c>
      <c r="AE18" s="151">
        <v>-3.5910660300000001E-2</v>
      </c>
      <c r="AF18" s="158">
        <v>9709.4279999999999</v>
      </c>
      <c r="AG18" s="151">
        <v>4.3045623399999997E-2</v>
      </c>
    </row>
    <row r="19" spans="1:33">
      <c r="A19" s="144" t="s">
        <v>23</v>
      </c>
      <c r="B19" s="158">
        <v>0</v>
      </c>
      <c r="C19" s="158">
        <v>0</v>
      </c>
      <c r="D19" s="151">
        <v>0</v>
      </c>
      <c r="E19" s="158">
        <v>0</v>
      </c>
      <c r="F19" s="158">
        <v>0</v>
      </c>
      <c r="G19" s="151">
        <v>0</v>
      </c>
      <c r="H19" s="158">
        <v>0</v>
      </c>
      <c r="I19" s="151">
        <v>0</v>
      </c>
      <c r="J19" s="158">
        <v>0</v>
      </c>
      <c r="K19" s="158">
        <v>0</v>
      </c>
      <c r="L19" s="151">
        <v>0</v>
      </c>
      <c r="M19" s="158">
        <v>0</v>
      </c>
      <c r="N19" s="158">
        <v>0</v>
      </c>
      <c r="O19" s="151">
        <v>0</v>
      </c>
      <c r="P19" s="158">
        <v>0</v>
      </c>
      <c r="Q19" s="151">
        <v>0</v>
      </c>
      <c r="R19" s="158">
        <v>3744.991</v>
      </c>
      <c r="S19" s="158">
        <v>3483.5360000000001</v>
      </c>
      <c r="T19" s="151">
        <v>7.5054484899999996E-2</v>
      </c>
      <c r="U19" s="158">
        <v>7783.0879999999997</v>
      </c>
      <c r="V19" s="158">
        <v>6825.0829999999996</v>
      </c>
      <c r="W19" s="151">
        <v>0.14036532600000001</v>
      </c>
      <c r="X19" s="158">
        <v>35383.89</v>
      </c>
      <c r="Y19" s="151">
        <v>-4.1932419999999998E-3</v>
      </c>
      <c r="Z19" s="158">
        <v>0</v>
      </c>
      <c r="AA19" s="158">
        <v>0</v>
      </c>
      <c r="AB19" s="151">
        <v>0</v>
      </c>
      <c r="AC19" s="158">
        <v>0</v>
      </c>
      <c r="AD19" s="158">
        <v>0</v>
      </c>
      <c r="AE19" s="151">
        <v>0</v>
      </c>
      <c r="AF19" s="158">
        <v>0</v>
      </c>
      <c r="AG19" s="151">
        <v>0</v>
      </c>
    </row>
    <row r="20" spans="1:33">
      <c r="A20" s="144" t="s">
        <v>54</v>
      </c>
      <c r="B20" s="158">
        <v>0</v>
      </c>
      <c r="C20" s="158">
        <v>0</v>
      </c>
      <c r="D20" s="151">
        <v>0</v>
      </c>
      <c r="E20" s="158">
        <v>0</v>
      </c>
      <c r="F20" s="158">
        <v>0</v>
      </c>
      <c r="G20" s="151">
        <v>0</v>
      </c>
      <c r="H20" s="158">
        <v>0</v>
      </c>
      <c r="I20" s="151">
        <v>0</v>
      </c>
      <c r="J20" s="158">
        <v>394.33350000000002</v>
      </c>
      <c r="K20" s="158">
        <v>489.697</v>
      </c>
      <c r="L20" s="151">
        <v>-0.1947398085</v>
      </c>
      <c r="M20" s="158">
        <v>498.81349999999998</v>
      </c>
      <c r="N20" s="158">
        <v>1039.1210000000001</v>
      </c>
      <c r="O20" s="151">
        <v>-0.51996591349999999</v>
      </c>
      <c r="P20" s="158">
        <v>4856.6909999999998</v>
      </c>
      <c r="Q20" s="151">
        <v>-9.7337114500000002E-2</v>
      </c>
      <c r="R20" s="158">
        <v>6095.5330000000004</v>
      </c>
      <c r="S20" s="158">
        <v>6860.0294999999996</v>
      </c>
      <c r="T20" s="151">
        <v>-0.1114421593</v>
      </c>
      <c r="U20" s="158">
        <v>15357.456</v>
      </c>
      <c r="V20" s="158">
        <v>16420.569</v>
      </c>
      <c r="W20" s="151">
        <v>-6.4742762600000003E-2</v>
      </c>
      <c r="X20" s="158">
        <v>144400.14799999999</v>
      </c>
      <c r="Y20" s="151">
        <v>2.9657628200000001E-2</v>
      </c>
      <c r="Z20" s="158">
        <v>0</v>
      </c>
      <c r="AA20" s="158">
        <v>0</v>
      </c>
      <c r="AB20" s="151">
        <v>0</v>
      </c>
      <c r="AC20" s="158">
        <v>0</v>
      </c>
      <c r="AD20" s="158">
        <v>0</v>
      </c>
      <c r="AE20" s="151">
        <v>0</v>
      </c>
      <c r="AF20" s="158">
        <v>0</v>
      </c>
      <c r="AG20" s="151">
        <v>0</v>
      </c>
    </row>
    <row r="21" spans="1:33">
      <c r="A21" s="144" t="s">
        <v>55</v>
      </c>
      <c r="B21" s="158">
        <v>0</v>
      </c>
      <c r="C21" s="158">
        <v>0</v>
      </c>
      <c r="D21" s="151">
        <v>0</v>
      </c>
      <c r="E21" s="158">
        <v>0</v>
      </c>
      <c r="F21" s="158">
        <v>0</v>
      </c>
      <c r="G21" s="151">
        <v>0</v>
      </c>
      <c r="H21" s="158">
        <v>0</v>
      </c>
      <c r="I21" s="151">
        <v>0</v>
      </c>
      <c r="J21" s="158">
        <v>394.33350000000002</v>
      </c>
      <c r="K21" s="158">
        <v>489.697</v>
      </c>
      <c r="L21" s="151">
        <v>-0.1947398085</v>
      </c>
      <c r="M21" s="158">
        <v>498.81349999999998</v>
      </c>
      <c r="N21" s="158">
        <v>1039.1210000000001</v>
      </c>
      <c r="O21" s="151">
        <v>-0.51996591349999999</v>
      </c>
      <c r="P21" s="158">
        <v>4856.6909999999998</v>
      </c>
      <c r="Q21" s="151">
        <v>-9.7337114500000002E-2</v>
      </c>
      <c r="R21" s="158">
        <v>6095.5330000000004</v>
      </c>
      <c r="S21" s="158">
        <v>6860.0294999999996</v>
      </c>
      <c r="T21" s="151">
        <v>-0.1114421593</v>
      </c>
      <c r="U21" s="158">
        <v>15357.456</v>
      </c>
      <c r="V21" s="158">
        <v>16420.569</v>
      </c>
      <c r="W21" s="151">
        <v>-6.4742762600000003E-2</v>
      </c>
      <c r="X21" s="158">
        <v>144400.14799999999</v>
      </c>
      <c r="Y21" s="151">
        <v>2.9657628200000001E-2</v>
      </c>
      <c r="Z21" s="158">
        <v>0</v>
      </c>
      <c r="AA21" s="158">
        <v>0</v>
      </c>
      <c r="AB21" s="151">
        <v>0</v>
      </c>
      <c r="AC21" s="158">
        <v>0</v>
      </c>
      <c r="AD21" s="158">
        <v>0</v>
      </c>
      <c r="AE21" s="151">
        <v>0</v>
      </c>
      <c r="AF21" s="158">
        <v>0</v>
      </c>
      <c r="AG21" s="151">
        <v>0</v>
      </c>
    </row>
    <row r="22" spans="1:33">
      <c r="A22" s="149" t="s">
        <v>2</v>
      </c>
      <c r="B22" s="159">
        <v>15770.011</v>
      </c>
      <c r="C22" s="159">
        <v>16019.527</v>
      </c>
      <c r="D22" s="152">
        <v>-1.55757408E-2</v>
      </c>
      <c r="E22" s="159">
        <v>33605.124000000003</v>
      </c>
      <c r="F22" s="159">
        <v>33849.766000000003</v>
      </c>
      <c r="G22" s="152">
        <v>-7.2272878E-3</v>
      </c>
      <c r="H22" s="159">
        <v>205803.598</v>
      </c>
      <c r="I22" s="152">
        <v>1.1711015999999999E-3</v>
      </c>
      <c r="J22" s="159">
        <v>15817.3</v>
      </c>
      <c r="K22" s="159">
        <v>15963.18</v>
      </c>
      <c r="L22" s="152">
        <v>-9.1385300000000006E-3</v>
      </c>
      <c r="M22" s="159">
        <v>33629.998</v>
      </c>
      <c r="N22" s="159">
        <v>34493.366000000002</v>
      </c>
      <c r="O22" s="152">
        <v>-2.5029972399999999E-2</v>
      </c>
      <c r="P22" s="159">
        <v>210041.25700000001</v>
      </c>
      <c r="Q22" s="152">
        <v>-1.02981993E-2</v>
      </c>
      <c r="R22" s="159">
        <v>287423.84399999998</v>
      </c>
      <c r="S22" s="159">
        <v>296120.78399999999</v>
      </c>
      <c r="T22" s="152">
        <v>-2.9369569700000001E-2</v>
      </c>
      <c r="U22" s="159">
        <v>607728.65700000001</v>
      </c>
      <c r="V22" s="159">
        <v>636661.48899999994</v>
      </c>
      <c r="W22" s="152">
        <v>-4.5444608300000001E-2</v>
      </c>
      <c r="X22" s="159">
        <v>4390329.9309999999</v>
      </c>
      <c r="Y22" s="152">
        <v>-7.6255825400000005E-2</v>
      </c>
      <c r="Z22" s="159">
        <v>705667.12</v>
      </c>
      <c r="AA22" s="159">
        <v>678572.40099999995</v>
      </c>
      <c r="AB22" s="152">
        <v>3.9929002399999997E-2</v>
      </c>
      <c r="AC22" s="159">
        <v>1461360.9280000001</v>
      </c>
      <c r="AD22" s="159">
        <v>1433921.7450000001</v>
      </c>
      <c r="AE22" s="152">
        <v>1.91357604E-2</v>
      </c>
      <c r="AF22" s="159">
        <v>8902113.8780000005</v>
      </c>
      <c r="AG22" s="152">
        <v>7.2705149000000004E-3</v>
      </c>
    </row>
    <row r="23" spans="1:33">
      <c r="A23" s="144" t="s">
        <v>21</v>
      </c>
      <c r="B23" s="158">
        <v>0</v>
      </c>
      <c r="C23" s="158">
        <v>0</v>
      </c>
      <c r="D23" s="151">
        <v>0</v>
      </c>
      <c r="E23" s="158">
        <v>0</v>
      </c>
      <c r="F23" s="158">
        <v>0</v>
      </c>
      <c r="G23" s="151">
        <v>0</v>
      </c>
      <c r="H23" s="158">
        <v>0</v>
      </c>
      <c r="I23" s="151">
        <v>0</v>
      </c>
      <c r="J23" s="158">
        <v>0</v>
      </c>
      <c r="K23" s="158">
        <v>0</v>
      </c>
      <c r="L23" s="151">
        <v>0</v>
      </c>
      <c r="M23" s="158">
        <v>0</v>
      </c>
      <c r="N23" s="158">
        <v>0</v>
      </c>
      <c r="O23" s="151">
        <v>0</v>
      </c>
      <c r="P23" s="158">
        <v>0</v>
      </c>
      <c r="Q23" s="151">
        <v>0</v>
      </c>
      <c r="R23" s="158">
        <v>115928.497</v>
      </c>
      <c r="S23" s="158">
        <v>119223.61900000001</v>
      </c>
      <c r="T23" s="151">
        <v>-2.76381645E-2</v>
      </c>
      <c r="U23" s="158">
        <v>252084.39799999999</v>
      </c>
      <c r="V23" s="158">
        <v>256478.617</v>
      </c>
      <c r="W23" s="151">
        <v>-1.7132886399999998E-2</v>
      </c>
      <c r="X23" s="158">
        <v>1690446.3030000001</v>
      </c>
      <c r="Y23" s="151">
        <v>0.29671298149999997</v>
      </c>
      <c r="Z23" s="158">
        <v>0</v>
      </c>
      <c r="AA23" s="158">
        <v>0</v>
      </c>
      <c r="AB23" s="151">
        <v>0</v>
      </c>
      <c r="AC23" s="158">
        <v>0</v>
      </c>
      <c r="AD23" s="158">
        <v>0</v>
      </c>
      <c r="AE23" s="151">
        <v>0</v>
      </c>
      <c r="AF23" s="158">
        <v>0</v>
      </c>
      <c r="AG23" s="151">
        <v>0</v>
      </c>
    </row>
    <row r="24" spans="1:33">
      <c r="A24" s="149" t="s">
        <v>79</v>
      </c>
      <c r="B24" s="159">
        <v>15770.011</v>
      </c>
      <c r="C24" s="159">
        <v>16019.527</v>
      </c>
      <c r="D24" s="152">
        <v>-1.55757408E-2</v>
      </c>
      <c r="E24" s="159">
        <v>33605.124000000003</v>
      </c>
      <c r="F24" s="159">
        <v>33849.766000000003</v>
      </c>
      <c r="G24" s="152">
        <v>-7.2272878E-3</v>
      </c>
      <c r="H24" s="159">
        <v>205803.598</v>
      </c>
      <c r="I24" s="152">
        <v>1.1711015999999999E-3</v>
      </c>
      <c r="J24" s="159">
        <v>15817.3</v>
      </c>
      <c r="K24" s="159">
        <v>15963.18</v>
      </c>
      <c r="L24" s="152">
        <v>-9.1385300000000006E-3</v>
      </c>
      <c r="M24" s="159">
        <v>33629.998</v>
      </c>
      <c r="N24" s="159">
        <v>34493.366000000002</v>
      </c>
      <c r="O24" s="152">
        <v>-2.5029972399999999E-2</v>
      </c>
      <c r="P24" s="159">
        <v>210041.25700000001</v>
      </c>
      <c r="Q24" s="152">
        <v>-1.02981993E-2</v>
      </c>
      <c r="R24" s="159">
        <v>403352.34100000001</v>
      </c>
      <c r="S24" s="159">
        <v>415344.40299999999</v>
      </c>
      <c r="T24" s="152">
        <v>-2.8872574000000002E-2</v>
      </c>
      <c r="U24" s="159">
        <v>859813.05500000005</v>
      </c>
      <c r="V24" s="159">
        <v>893140.10600000003</v>
      </c>
      <c r="W24" s="152">
        <v>-3.7314471500000002E-2</v>
      </c>
      <c r="X24" s="159">
        <v>6080776.2340000002</v>
      </c>
      <c r="Y24" s="152">
        <v>4.0257449999999998E-3</v>
      </c>
      <c r="Z24" s="159">
        <v>705667.12</v>
      </c>
      <c r="AA24" s="159">
        <v>678572.40099999995</v>
      </c>
      <c r="AB24" s="152">
        <v>3.9929002399999997E-2</v>
      </c>
      <c r="AC24" s="159">
        <v>1461360.9280000001</v>
      </c>
      <c r="AD24" s="159">
        <v>1433921.7450000001</v>
      </c>
      <c r="AE24" s="152">
        <v>1.91357604E-2</v>
      </c>
      <c r="AF24" s="159">
        <v>8902113.8780000005</v>
      </c>
      <c r="AG24" s="152">
        <v>7.2705149000000004E-3</v>
      </c>
    </row>
    <row r="26" spans="1:33">
      <c r="A26" s="111" t="s">
        <v>114</v>
      </c>
      <c r="B26" s="181">
        <f>SUM(B24,J24,R24,Z24)</f>
        <v>1140606.7719999999</v>
      </c>
      <c r="C26" s="181">
        <f>SUM(C24,K24,S24,AA24)</f>
        <v>1125899.5109999999</v>
      </c>
      <c r="D26" s="182">
        <f>((B26/C26)-1)*100</f>
        <v>1.3062676425658282</v>
      </c>
    </row>
    <row r="29" spans="1:33" ht="15">
      <c r="A29" s="145" t="s">
        <v>67</v>
      </c>
      <c r="B29" s="203" t="str">
        <f>A2</f>
        <v>Febrero 2020</v>
      </c>
      <c r="C29" s="204"/>
    </row>
    <row r="30" spans="1:33" ht="15">
      <c r="A30" s="145" t="s">
        <v>69</v>
      </c>
      <c r="B30" s="215" t="s">
        <v>72</v>
      </c>
      <c r="C30" s="216"/>
    </row>
    <row r="31" spans="1:33">
      <c r="A31" s="143" t="s">
        <v>68</v>
      </c>
      <c r="B31" s="179" t="s">
        <v>57</v>
      </c>
      <c r="C31" s="179" t="s">
        <v>58</v>
      </c>
    </row>
    <row r="32" spans="1:33">
      <c r="A32" s="145" t="s">
        <v>70</v>
      </c>
      <c r="B32" s="146"/>
      <c r="C32" s="146"/>
    </row>
    <row r="33" spans="1:3">
      <c r="A33" s="144" t="s">
        <v>12</v>
      </c>
      <c r="B33" s="147"/>
      <c r="C33" s="147">
        <v>2.02</v>
      </c>
    </row>
    <row r="34" spans="1:3">
      <c r="A34" s="144" t="s">
        <v>11</v>
      </c>
      <c r="B34" s="147">
        <v>241.19999999999996</v>
      </c>
      <c r="C34" s="147"/>
    </row>
    <row r="35" spans="1:3">
      <c r="A35" s="144" t="s">
        <v>78</v>
      </c>
      <c r="B35" s="147">
        <v>139.4</v>
      </c>
      <c r="C35" s="147">
        <v>495.92</v>
      </c>
    </row>
    <row r="36" spans="1:3">
      <c r="A36" s="144" t="s">
        <v>9</v>
      </c>
      <c r="B36" s="147">
        <v>605.4</v>
      </c>
      <c r="C36" s="147">
        <v>557.1400000000001</v>
      </c>
    </row>
    <row r="37" spans="1:3">
      <c r="A37" s="144" t="s">
        <v>8</v>
      </c>
      <c r="B37" s="147"/>
      <c r="C37" s="147">
        <v>482.64</v>
      </c>
    </row>
    <row r="38" spans="1:3">
      <c r="A38" s="144" t="s">
        <v>25</v>
      </c>
      <c r="B38" s="147">
        <v>857.95</v>
      </c>
      <c r="C38" s="147">
        <v>864.2</v>
      </c>
    </row>
    <row r="39" spans="1:3">
      <c r="A39" s="144" t="s">
        <v>24</v>
      </c>
      <c r="B39" s="147"/>
      <c r="C39" s="147"/>
    </row>
    <row r="40" spans="1:3">
      <c r="A40" s="144" t="s">
        <v>6</v>
      </c>
      <c r="B40" s="147"/>
      <c r="C40" s="147">
        <v>11.39</v>
      </c>
    </row>
    <row r="41" spans="1:3">
      <c r="A41" s="144" t="s">
        <v>5</v>
      </c>
      <c r="B41" s="147">
        <v>3.6374999999999909</v>
      </c>
      <c r="C41" s="147">
        <v>428.71499999999997</v>
      </c>
    </row>
    <row r="42" spans="1:3">
      <c r="A42" s="144" t="s">
        <v>4</v>
      </c>
      <c r="B42" s="147">
        <v>80.871014999999844</v>
      </c>
      <c r="C42" s="147">
        <v>166.65714499999967</v>
      </c>
    </row>
    <row r="43" spans="1:3">
      <c r="A43" s="144" t="s">
        <v>22</v>
      </c>
      <c r="B43" s="147">
        <v>2.13</v>
      </c>
      <c r="C43" s="147">
        <v>3.6960000000000002</v>
      </c>
    </row>
    <row r="44" spans="1:3">
      <c r="A44" s="144" t="s">
        <v>23</v>
      </c>
      <c r="B44" s="147">
        <v>10.486999999999998</v>
      </c>
      <c r="C44" s="147"/>
    </row>
    <row r="45" spans="1:3">
      <c r="A45" s="144" t="s">
        <v>54</v>
      </c>
      <c r="B45" s="147">
        <v>37.400000000000006</v>
      </c>
      <c r="C45" s="147"/>
    </row>
    <row r="46" spans="1:3">
      <c r="A46" s="144" t="s">
        <v>55</v>
      </c>
      <c r="B46" s="147">
        <v>37.400000000000006</v>
      </c>
      <c r="C46" s="147"/>
    </row>
    <row r="47" spans="1:3">
      <c r="A47" s="149" t="s">
        <v>2</v>
      </c>
      <c r="B47" s="150">
        <f>SUM(B33:B46)</f>
        <v>2015.8755150000004</v>
      </c>
      <c r="C47" s="180">
        <f>SUM(C33:C46)</f>
        <v>3012.3781449999997</v>
      </c>
    </row>
    <row r="48" spans="1:3" ht="15">
      <c r="A48"/>
      <c r="B48"/>
      <c r="C48"/>
    </row>
    <row r="49" spans="1:8" ht="15">
      <c r="A49"/>
      <c r="B49"/>
      <c r="C49"/>
    </row>
    <row r="50" spans="1:8">
      <c r="A50" s="109" t="s">
        <v>30</v>
      </c>
      <c r="B50" s="110"/>
      <c r="C50" s="110"/>
      <c r="F50" s="109" t="s">
        <v>34</v>
      </c>
      <c r="G50" s="110"/>
      <c r="H50" s="110"/>
    </row>
    <row r="51" spans="1:8">
      <c r="A51" s="112"/>
      <c r="B51" s="113" t="s">
        <v>29</v>
      </c>
      <c r="C51" s="113" t="s">
        <v>26</v>
      </c>
      <c r="F51" s="112"/>
      <c r="G51" s="113" t="s">
        <v>29</v>
      </c>
      <c r="H51" s="113" t="s">
        <v>26</v>
      </c>
    </row>
    <row r="52" spans="1:8">
      <c r="A52" s="114" t="s">
        <v>11</v>
      </c>
      <c r="B52" s="115">
        <f>B34</f>
        <v>241.19999999999996</v>
      </c>
      <c r="C52" s="116">
        <f>100-SUM(C53:C62)</f>
        <v>11.899999999999991</v>
      </c>
      <c r="F52" s="114" t="s">
        <v>10</v>
      </c>
      <c r="G52" s="115">
        <f>C35</f>
        <v>495.92</v>
      </c>
      <c r="H52" s="116">
        <f>ROUND(G52/$G$62*100,1)</f>
        <v>16.5</v>
      </c>
    </row>
    <row r="53" spans="1:8">
      <c r="A53" s="114" t="s">
        <v>10</v>
      </c>
      <c r="B53" s="115">
        <f t="shared" ref="B53:B54" si="0">B35</f>
        <v>139.4</v>
      </c>
      <c r="C53" s="116">
        <f>ROUND(B53/$B$63*100,1)</f>
        <v>6.9</v>
      </c>
      <c r="F53" s="114" t="s">
        <v>9</v>
      </c>
      <c r="G53" s="115">
        <f>C36</f>
        <v>557.1400000000001</v>
      </c>
      <c r="H53" s="116">
        <f>ROUND(G53/$G$62*100,1)</f>
        <v>18.5</v>
      </c>
    </row>
    <row r="54" spans="1:8">
      <c r="A54" s="114" t="s">
        <v>9</v>
      </c>
      <c r="B54" s="115">
        <f t="shared" si="0"/>
        <v>605.4</v>
      </c>
      <c r="C54" s="116">
        <f t="shared" ref="C54:C62" si="1">ROUND(B54/$B$63*100,1)</f>
        <v>30</v>
      </c>
      <c r="F54" s="114" t="s">
        <v>8</v>
      </c>
      <c r="G54" s="115">
        <f>C37</f>
        <v>482.64</v>
      </c>
      <c r="H54" s="116">
        <f>ROUND(G54/$G$62*100,1)</f>
        <v>16</v>
      </c>
    </row>
    <row r="55" spans="1:8">
      <c r="A55" s="114" t="s">
        <v>25</v>
      </c>
      <c r="B55" s="115">
        <f>B38</f>
        <v>857.95</v>
      </c>
      <c r="C55" s="116">
        <f t="shared" si="1"/>
        <v>42.6</v>
      </c>
      <c r="F55" s="114" t="s">
        <v>25</v>
      </c>
      <c r="G55" s="115">
        <f>C38</f>
        <v>864.2</v>
      </c>
      <c r="H55" s="116">
        <f>100-SUM(H52:H54,H56:H61)</f>
        <v>28.700000000000003</v>
      </c>
    </row>
    <row r="56" spans="1:8">
      <c r="A56" s="114"/>
      <c r="B56" s="115"/>
      <c r="C56" s="116"/>
      <c r="F56" s="114" t="s">
        <v>23</v>
      </c>
      <c r="G56" s="115">
        <f>C44</f>
        <v>0</v>
      </c>
      <c r="H56" s="116">
        <f t="shared" ref="H56:H61" si="2">ROUND(G56/$G$62*100,1)</f>
        <v>0</v>
      </c>
    </row>
    <row r="57" spans="1:8">
      <c r="A57" s="114" t="s">
        <v>23</v>
      </c>
      <c r="B57" s="115">
        <f>B44</f>
        <v>10.486999999999998</v>
      </c>
      <c r="C57" s="116">
        <f t="shared" si="1"/>
        <v>0.5</v>
      </c>
      <c r="F57" s="114" t="s">
        <v>12</v>
      </c>
      <c r="G57" s="116">
        <f>C33</f>
        <v>2.02</v>
      </c>
      <c r="H57" s="116">
        <f t="shared" si="2"/>
        <v>0.1</v>
      </c>
    </row>
    <row r="58" spans="1:8">
      <c r="A58" s="114" t="s">
        <v>55</v>
      </c>
      <c r="B58" s="115">
        <f>B46</f>
        <v>37.400000000000006</v>
      </c>
      <c r="C58" s="116">
        <f t="shared" si="1"/>
        <v>1.9</v>
      </c>
      <c r="F58" s="114" t="s">
        <v>6</v>
      </c>
      <c r="G58" s="115">
        <f>C40</f>
        <v>11.39</v>
      </c>
      <c r="H58" s="116">
        <f t="shared" si="2"/>
        <v>0.4</v>
      </c>
    </row>
    <row r="59" spans="1:8">
      <c r="A59" s="114" t="s">
        <v>54</v>
      </c>
      <c r="B59" s="115">
        <f>B45</f>
        <v>37.400000000000006</v>
      </c>
      <c r="C59" s="116">
        <f t="shared" si="1"/>
        <v>1.9</v>
      </c>
      <c r="F59" s="114" t="s">
        <v>5</v>
      </c>
      <c r="G59" s="115">
        <f>C41</f>
        <v>428.71499999999997</v>
      </c>
      <c r="H59" s="116">
        <f t="shared" si="2"/>
        <v>14.2</v>
      </c>
    </row>
    <row r="60" spans="1:8">
      <c r="A60" s="114" t="s">
        <v>5</v>
      </c>
      <c r="B60" s="115">
        <f>B41</f>
        <v>3.6374999999999909</v>
      </c>
      <c r="C60" s="116">
        <f t="shared" si="1"/>
        <v>0.2</v>
      </c>
      <c r="F60" s="114" t="s">
        <v>4</v>
      </c>
      <c r="G60" s="115">
        <f>C42</f>
        <v>166.65714499999967</v>
      </c>
      <c r="H60" s="116">
        <f t="shared" si="2"/>
        <v>5.5</v>
      </c>
    </row>
    <row r="61" spans="1:8">
      <c r="A61" s="114" t="s">
        <v>4</v>
      </c>
      <c r="B61" s="115">
        <f>B42</f>
        <v>80.871014999999844</v>
      </c>
      <c r="C61" s="116">
        <f t="shared" si="1"/>
        <v>4</v>
      </c>
      <c r="F61" s="114" t="s">
        <v>22</v>
      </c>
      <c r="G61" s="115">
        <f>C43</f>
        <v>3.6960000000000002</v>
      </c>
      <c r="H61" s="116">
        <f t="shared" si="2"/>
        <v>0.1</v>
      </c>
    </row>
    <row r="62" spans="1:8">
      <c r="A62" s="114" t="s">
        <v>22</v>
      </c>
      <c r="B62" s="115">
        <f>B43</f>
        <v>2.13</v>
      </c>
      <c r="C62" s="116">
        <f t="shared" si="1"/>
        <v>0.1</v>
      </c>
      <c r="F62" s="117" t="s">
        <v>20</v>
      </c>
      <c r="G62" s="118">
        <f>SUM(G52:G61)</f>
        <v>3012.3781450000001</v>
      </c>
      <c r="H62" s="119">
        <f>SUM(H52:H61)</f>
        <v>100</v>
      </c>
    </row>
    <row r="63" spans="1:8">
      <c r="A63" s="117" t="s">
        <v>20</v>
      </c>
      <c r="B63" s="118">
        <f>SUM(B52:B62)</f>
        <v>2015.8755150000004</v>
      </c>
      <c r="C63" s="119">
        <f>SUM(C52:C62)</f>
        <v>100</v>
      </c>
    </row>
    <row r="66" spans="1:7">
      <c r="A66" s="109" t="s">
        <v>27</v>
      </c>
      <c r="B66" s="110"/>
      <c r="F66" s="109" t="s">
        <v>33</v>
      </c>
      <c r="G66" s="110"/>
    </row>
    <row r="67" spans="1:7">
      <c r="A67" s="112"/>
      <c r="B67" s="113" t="s">
        <v>26</v>
      </c>
      <c r="C67" s="113" t="s">
        <v>118</v>
      </c>
      <c r="F67" s="112"/>
      <c r="G67" s="113" t="s">
        <v>26</v>
      </c>
    </row>
    <row r="68" spans="1:7">
      <c r="A68" s="114" t="s">
        <v>11</v>
      </c>
      <c r="B68" s="116">
        <f>ROUND((C68/$C$80)*100,1)</f>
        <v>0</v>
      </c>
      <c r="C68" s="115">
        <f>IF(R9&lt;0,0)</f>
        <v>0</v>
      </c>
      <c r="D68" s="184">
        <f>ROUND((C68/SUM($C$68:$C$78))*100,1)</f>
        <v>0</v>
      </c>
      <c r="F68" s="114" t="s">
        <v>10</v>
      </c>
      <c r="G68" s="116">
        <f>ROUND((Z10/Z$24)*100,1)</f>
        <v>22.8</v>
      </c>
    </row>
    <row r="69" spans="1:7">
      <c r="A69" s="114" t="s">
        <v>10</v>
      </c>
      <c r="B69" s="116">
        <f t="shared" ref="B69:B70" si="3">ROUND((C69/$C$80)*100,1)</f>
        <v>5</v>
      </c>
      <c r="C69" s="115">
        <f>R10</f>
        <v>20211.246999999999</v>
      </c>
      <c r="D69" s="184">
        <f t="shared" ref="D69:D70" si="4">ROUND((C69/SUM($C$68:$C$78))*100,1)</f>
        <v>7</v>
      </c>
      <c r="F69" s="114" t="s">
        <v>9</v>
      </c>
      <c r="G69" s="116">
        <f>ROUND((Z11/Z$24)*100,1)</f>
        <v>3.1</v>
      </c>
    </row>
    <row r="70" spans="1:7">
      <c r="A70" s="114" t="s">
        <v>9</v>
      </c>
      <c r="B70" s="116">
        <f t="shared" si="3"/>
        <v>4.3</v>
      </c>
      <c r="C70" s="115">
        <f>R11</f>
        <v>17386.634999999998</v>
      </c>
      <c r="D70" s="184">
        <f t="shared" si="4"/>
        <v>6</v>
      </c>
      <c r="F70" s="114" t="s">
        <v>8</v>
      </c>
      <c r="G70" s="116">
        <f>ROUND((Z12/Z$24)*100,1)</f>
        <v>18.2</v>
      </c>
    </row>
    <row r="71" spans="1:7">
      <c r="A71" s="114" t="s">
        <v>25</v>
      </c>
      <c r="B71" s="116">
        <f>100-SUM(B68:B70,B73:B79)</f>
        <v>55.9</v>
      </c>
      <c r="C71" s="115">
        <f>R13</f>
        <v>226173.81</v>
      </c>
      <c r="D71" s="184">
        <f>100-SUM(D68:D70,D73:D78)</f>
        <v>78.399999999999991</v>
      </c>
      <c r="F71" s="114" t="s">
        <v>25</v>
      </c>
      <c r="G71" s="116">
        <f>100-SUM(G68:G70,G72:G77)</f>
        <v>39.5</v>
      </c>
    </row>
    <row r="72" spans="1:7">
      <c r="A72" s="114"/>
      <c r="B72" s="116"/>
      <c r="C72" s="115"/>
      <c r="D72" s="185"/>
      <c r="F72" s="114" t="s">
        <v>23</v>
      </c>
      <c r="G72" s="116">
        <f>ROUND((Z19/Z$24)*100,1)</f>
        <v>0</v>
      </c>
    </row>
    <row r="73" spans="1:7">
      <c r="A73" s="114" t="s">
        <v>23</v>
      </c>
      <c r="B73" s="116">
        <f>ROUND((C73/$C$80)*100,1)</f>
        <v>0.9</v>
      </c>
      <c r="C73" s="115">
        <f>R19</f>
        <v>3744.991</v>
      </c>
      <c r="D73" s="184">
        <f>ROUND((C73/SUM($C$68:$C$78))*100,1)</f>
        <v>1.3</v>
      </c>
      <c r="F73" s="114" t="s">
        <v>12</v>
      </c>
      <c r="G73" s="116">
        <f>ROUND((Z8/Z$24)*100,1)</f>
        <v>0</v>
      </c>
    </row>
    <row r="74" spans="1:7">
      <c r="A74" s="114" t="s">
        <v>55</v>
      </c>
      <c r="B74" s="116">
        <f t="shared" ref="B74:B79" si="5">ROUND((C74/$C$80)*100,1)</f>
        <v>1.5</v>
      </c>
      <c r="C74" s="115">
        <f>R21</f>
        <v>6095.5330000000004</v>
      </c>
      <c r="D74" s="184">
        <f t="shared" ref="D74:D78" si="6">ROUND((C74/SUM($C$68:$C$78))*100,1)</f>
        <v>2.1</v>
      </c>
      <c r="F74" s="114" t="s">
        <v>6</v>
      </c>
      <c r="G74" s="116">
        <f>ROUND((Z15/Z$24)*100,1)</f>
        <v>0.2</v>
      </c>
    </row>
    <row r="75" spans="1:7">
      <c r="A75" s="114" t="s">
        <v>54</v>
      </c>
      <c r="B75" s="116">
        <f t="shared" si="5"/>
        <v>1.5</v>
      </c>
      <c r="C75" s="115">
        <f>R20</f>
        <v>6095.5330000000004</v>
      </c>
      <c r="D75" s="184">
        <f t="shared" si="6"/>
        <v>2.1</v>
      </c>
      <c r="F75" s="114" t="s">
        <v>5</v>
      </c>
      <c r="G75" s="116">
        <f>ROUND((Z16/Z$24)*100,1)</f>
        <v>13.2</v>
      </c>
    </row>
    <row r="76" spans="1:7">
      <c r="A76" s="114" t="s">
        <v>5</v>
      </c>
      <c r="B76" s="116">
        <f t="shared" si="5"/>
        <v>0.1</v>
      </c>
      <c r="C76" s="115">
        <f>R16</f>
        <v>339.27600000000001</v>
      </c>
      <c r="D76" s="184">
        <f t="shared" si="6"/>
        <v>0.1</v>
      </c>
      <c r="F76" s="114" t="s">
        <v>4</v>
      </c>
      <c r="G76" s="116">
        <f>ROUND((Z17/Z$24)*100,1)</f>
        <v>2.9</v>
      </c>
    </row>
    <row r="77" spans="1:7">
      <c r="A77" s="114" t="s">
        <v>4</v>
      </c>
      <c r="B77" s="116">
        <f t="shared" si="5"/>
        <v>2.2000000000000002</v>
      </c>
      <c r="C77" s="115">
        <f>R17</f>
        <v>8735.9240000000009</v>
      </c>
      <c r="D77" s="184">
        <f t="shared" si="6"/>
        <v>3</v>
      </c>
      <c r="F77" s="114" t="s">
        <v>22</v>
      </c>
      <c r="G77" s="116">
        <f>ROUND((Z18/Z$24)*100,1)</f>
        <v>0.1</v>
      </c>
    </row>
    <row r="78" spans="1:7">
      <c r="A78" s="114" t="s">
        <v>22</v>
      </c>
      <c r="B78" s="116">
        <f t="shared" si="5"/>
        <v>0</v>
      </c>
      <c r="C78" s="115">
        <f>R18</f>
        <v>81.622</v>
      </c>
      <c r="D78" s="184">
        <f t="shared" si="6"/>
        <v>0</v>
      </c>
      <c r="F78" s="117" t="s">
        <v>20</v>
      </c>
      <c r="G78" s="119">
        <f>SUM(G68:G77)</f>
        <v>100</v>
      </c>
    </row>
    <row r="79" spans="1:7">
      <c r="A79" s="114" t="s">
        <v>21</v>
      </c>
      <c r="B79" s="116">
        <f t="shared" si="5"/>
        <v>28.6</v>
      </c>
      <c r="C79" s="115">
        <f>R23</f>
        <v>115928.497</v>
      </c>
    </row>
    <row r="80" spans="1:7">
      <c r="A80" s="117" t="s">
        <v>20</v>
      </c>
      <c r="B80" s="119">
        <f>SUM(B68:B79)</f>
        <v>100</v>
      </c>
      <c r="C80" s="118">
        <f>SUM(C68:C79)</f>
        <v>404793.06799999997</v>
      </c>
    </row>
    <row r="85" spans="1:26" ht="15">
      <c r="A85" s="145"/>
      <c r="B85" s="145" t="s">
        <v>69</v>
      </c>
      <c r="C85" s="217" t="s">
        <v>13</v>
      </c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/>
      <c r="S85"/>
      <c r="T85"/>
      <c r="U85"/>
      <c r="V85"/>
      <c r="W85"/>
      <c r="X85"/>
      <c r="Y85"/>
      <c r="Z85"/>
    </row>
    <row r="86" spans="1:26" ht="15">
      <c r="A86" s="145"/>
      <c r="B86" s="143" t="s">
        <v>67</v>
      </c>
      <c r="C86" s="186" t="s">
        <v>80</v>
      </c>
      <c r="D86" s="186" t="s">
        <v>81</v>
      </c>
      <c r="E86" s="186" t="s">
        <v>82</v>
      </c>
      <c r="F86" s="186" t="s">
        <v>83</v>
      </c>
      <c r="G86" s="186" t="s">
        <v>84</v>
      </c>
      <c r="H86" s="186" t="s">
        <v>85</v>
      </c>
      <c r="I86" s="186" t="s">
        <v>94</v>
      </c>
      <c r="J86" s="186" t="s">
        <v>97</v>
      </c>
      <c r="K86" s="186" t="s">
        <v>98</v>
      </c>
      <c r="L86" s="186" t="s">
        <v>112</v>
      </c>
      <c r="M86" s="186" t="s">
        <v>113</v>
      </c>
      <c r="N86" s="186" t="s">
        <v>115</v>
      </c>
      <c r="O86" s="186" t="s">
        <v>116</v>
      </c>
      <c r="P86" s="186" t="s">
        <v>117</v>
      </c>
      <c r="Q86" s="186" t="s">
        <v>122</v>
      </c>
      <c r="R86"/>
      <c r="S86"/>
      <c r="T86"/>
      <c r="U86"/>
      <c r="V86"/>
      <c r="W86"/>
      <c r="X86"/>
      <c r="Y86"/>
      <c r="Z86"/>
    </row>
    <row r="87" spans="1:26" ht="15">
      <c r="A87" s="145" t="s">
        <v>68</v>
      </c>
      <c r="B87" s="145" t="s">
        <v>70</v>
      </c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/>
      <c r="S87"/>
      <c r="T87"/>
      <c r="U87"/>
      <c r="V87"/>
      <c r="W87"/>
      <c r="X87"/>
      <c r="Y87"/>
      <c r="Z87"/>
    </row>
    <row r="88" spans="1:26" ht="15">
      <c r="A88" s="214" t="s">
        <v>57</v>
      </c>
      <c r="B88" s="144" t="s">
        <v>11</v>
      </c>
      <c r="C88" s="147">
        <v>217.72528600000001</v>
      </c>
      <c r="D88" s="147">
        <v>164.40237099999999</v>
      </c>
      <c r="E88" s="147">
        <v>141.74739099999999</v>
      </c>
      <c r="F88" s="147">
        <v>127.06355499999999</v>
      </c>
      <c r="G88" s="147">
        <v>121.49093499999999</v>
      </c>
      <c r="H88" s="147">
        <v>98.710933999999995</v>
      </c>
      <c r="I88" s="147">
        <v>173.44610299999999</v>
      </c>
      <c r="J88" s="147">
        <v>257.56122599999998</v>
      </c>
      <c r="K88" s="147">
        <v>239.89604299999999</v>
      </c>
      <c r="L88" s="147">
        <v>190.859296</v>
      </c>
      <c r="M88" s="147">
        <v>128.513947</v>
      </c>
      <c r="N88" s="147">
        <v>137.71730099999999</v>
      </c>
      <c r="O88" s="147">
        <v>-3.1773479999999998</v>
      </c>
      <c r="P88" s="147">
        <v>-1.4407270000000001</v>
      </c>
      <c r="Q88" s="147">
        <v>0</v>
      </c>
      <c r="R88"/>
      <c r="S88"/>
      <c r="T88"/>
      <c r="U88"/>
      <c r="V88"/>
      <c r="W88"/>
      <c r="X88"/>
      <c r="Y88"/>
      <c r="Z88"/>
    </row>
    <row r="89" spans="1:26" ht="15">
      <c r="A89" s="212"/>
      <c r="B89" s="144" t="s">
        <v>78</v>
      </c>
      <c r="C89" s="147">
        <v>35.212248000000002</v>
      </c>
      <c r="D89" s="147">
        <v>26.576927000000001</v>
      </c>
      <c r="E89" s="147">
        <v>16.635784999999998</v>
      </c>
      <c r="F89" s="147">
        <v>30.202653000000002</v>
      </c>
      <c r="G89" s="147">
        <v>38.207940999999998</v>
      </c>
      <c r="H89" s="147">
        <v>49.833764000000002</v>
      </c>
      <c r="I89" s="147">
        <v>64.359393999999995</v>
      </c>
      <c r="J89" s="147">
        <v>64.194573000000005</v>
      </c>
      <c r="K89" s="147">
        <v>50.613649000000002</v>
      </c>
      <c r="L89" s="147">
        <v>40.788257999999999</v>
      </c>
      <c r="M89" s="147">
        <v>27.174427999999999</v>
      </c>
      <c r="N89" s="147">
        <v>19.439288000000001</v>
      </c>
      <c r="O89" s="147">
        <v>25.163323999999999</v>
      </c>
      <c r="P89" s="147">
        <v>20.211247</v>
      </c>
      <c r="Q89" s="147">
        <v>5.4775349999999996</v>
      </c>
      <c r="R89"/>
      <c r="S89"/>
      <c r="T89"/>
      <c r="U89"/>
      <c r="V89"/>
      <c r="W89"/>
      <c r="X89"/>
      <c r="Y89"/>
      <c r="Z89"/>
    </row>
    <row r="90" spans="1:26" ht="15">
      <c r="A90" s="212"/>
      <c r="B90" s="144" t="s">
        <v>9</v>
      </c>
      <c r="C90" s="147">
        <v>22.524488000000002</v>
      </c>
      <c r="D90" s="147">
        <v>22.600860000000001</v>
      </c>
      <c r="E90" s="147">
        <v>34.548490999999999</v>
      </c>
      <c r="F90" s="147">
        <v>30.171469999999999</v>
      </c>
      <c r="G90" s="147">
        <v>27.505562000000001</v>
      </c>
      <c r="H90" s="147">
        <v>38.491146999999998</v>
      </c>
      <c r="I90" s="147">
        <v>72.469969000000006</v>
      </c>
      <c r="J90" s="147">
        <v>70.419168999999997</v>
      </c>
      <c r="K90" s="147">
        <v>45.651693999999999</v>
      </c>
      <c r="L90" s="147">
        <v>27.935912999999999</v>
      </c>
      <c r="M90" s="147">
        <v>28.760522000000002</v>
      </c>
      <c r="N90" s="147">
        <v>20.411072000000001</v>
      </c>
      <c r="O90" s="147">
        <v>21.825088000000001</v>
      </c>
      <c r="P90" s="147">
        <v>17.386634999999998</v>
      </c>
      <c r="Q90" s="147">
        <v>5.9713640000000003</v>
      </c>
      <c r="R90"/>
      <c r="S90"/>
      <c r="T90"/>
      <c r="U90"/>
      <c r="V90"/>
      <c r="W90"/>
      <c r="X90"/>
      <c r="Y90"/>
      <c r="Z90"/>
    </row>
    <row r="91" spans="1:26" ht="15">
      <c r="A91" s="212"/>
      <c r="B91" s="144" t="s">
        <v>25</v>
      </c>
      <c r="C91" s="147">
        <v>34.412135999999997</v>
      </c>
      <c r="D91" s="147">
        <v>55.402149000000001</v>
      </c>
      <c r="E91" s="147">
        <v>83.928335000000004</v>
      </c>
      <c r="F91" s="147">
        <v>93.323053000000002</v>
      </c>
      <c r="G91" s="147">
        <v>103.560644</v>
      </c>
      <c r="H91" s="147">
        <v>148.873491</v>
      </c>
      <c r="I91" s="147">
        <v>160.980031</v>
      </c>
      <c r="J91" s="147">
        <v>81.694967000000005</v>
      </c>
      <c r="K91" s="147">
        <v>37.844405000000002</v>
      </c>
      <c r="L91" s="147">
        <v>49.054825999999998</v>
      </c>
      <c r="M91" s="147">
        <v>98.891853999999995</v>
      </c>
      <c r="N91" s="147">
        <v>97.225685999999996</v>
      </c>
      <c r="O91" s="147">
        <v>247.42845600000001</v>
      </c>
      <c r="P91" s="147">
        <v>226.17381</v>
      </c>
      <c r="Q91" s="147">
        <v>78.335824000000002</v>
      </c>
      <c r="R91"/>
      <c r="S91"/>
      <c r="T91"/>
      <c r="U91"/>
      <c r="V91"/>
      <c r="W91"/>
      <c r="X91"/>
      <c r="Y91"/>
      <c r="Z91"/>
    </row>
    <row r="92" spans="1:26" ht="15">
      <c r="A92" s="212"/>
      <c r="B92" s="144" t="s">
        <v>24</v>
      </c>
      <c r="C92" s="147">
        <v>0</v>
      </c>
      <c r="D92" s="147">
        <v>0</v>
      </c>
      <c r="E92" s="147">
        <v>0</v>
      </c>
      <c r="F92" s="147">
        <v>0</v>
      </c>
      <c r="G92" s="147">
        <v>0.182169</v>
      </c>
      <c r="H92" s="147">
        <v>1.4050560000000001</v>
      </c>
      <c r="I92" s="147">
        <v>4.1422929999999996</v>
      </c>
      <c r="J92" s="147">
        <v>4.8096079999999999</v>
      </c>
      <c r="K92" s="147">
        <v>4.5895020000000004</v>
      </c>
      <c r="L92" s="147">
        <v>1.7684709999999999</v>
      </c>
      <c r="M92" s="147">
        <v>0</v>
      </c>
      <c r="N92" s="147">
        <v>-6.9599999999999995E-2</v>
      </c>
      <c r="O92" s="147">
        <v>0</v>
      </c>
      <c r="P92" s="147">
        <v>0</v>
      </c>
      <c r="Q92" s="147">
        <v>0</v>
      </c>
      <c r="R92"/>
      <c r="S92"/>
      <c r="T92"/>
      <c r="U92"/>
      <c r="V92"/>
      <c r="W92"/>
      <c r="X92"/>
      <c r="Y92"/>
      <c r="Z92"/>
    </row>
    <row r="93" spans="1:26" ht="15">
      <c r="A93" s="212"/>
      <c r="B93" s="144" t="s">
        <v>5</v>
      </c>
      <c r="C93" s="147">
        <v>0.805427</v>
      </c>
      <c r="D93" s="147">
        <v>0.49932900000000002</v>
      </c>
      <c r="E93" s="147">
        <v>0.70238800000000001</v>
      </c>
      <c r="F93" s="147">
        <v>0.63947100000000001</v>
      </c>
      <c r="G93" s="147">
        <v>0.653721</v>
      </c>
      <c r="H93" s="147">
        <v>0.34985300000000003</v>
      </c>
      <c r="I93" s="147">
        <v>0.23036599999999999</v>
      </c>
      <c r="J93" s="147">
        <v>0.347945</v>
      </c>
      <c r="K93" s="147">
        <v>0.51373500000000005</v>
      </c>
      <c r="L93" s="147">
        <v>0.402117</v>
      </c>
      <c r="M93" s="147">
        <v>0.49518299999999998</v>
      </c>
      <c r="N93" s="147">
        <v>0.44528499999999999</v>
      </c>
      <c r="O93" s="147">
        <v>0.37082599999999999</v>
      </c>
      <c r="P93" s="147">
        <v>0.33927600000000002</v>
      </c>
      <c r="Q93" s="147">
        <v>0.23691999999999999</v>
      </c>
      <c r="R93"/>
      <c r="S93"/>
      <c r="T93"/>
      <c r="U93"/>
      <c r="V93"/>
      <c r="W93"/>
      <c r="X93"/>
      <c r="Y93"/>
      <c r="Z93"/>
    </row>
    <row r="94" spans="1:26" ht="15">
      <c r="A94" s="212"/>
      <c r="B94" s="144" t="s">
        <v>4</v>
      </c>
      <c r="C94" s="147">
        <v>7.290851</v>
      </c>
      <c r="D94" s="147">
        <v>9.3532069999999994</v>
      </c>
      <c r="E94" s="147">
        <v>11.373048000000001</v>
      </c>
      <c r="F94" s="147">
        <v>10.651503999999999</v>
      </c>
      <c r="G94" s="147">
        <v>12.918941999999999</v>
      </c>
      <c r="H94" s="147">
        <v>13.270170999999999</v>
      </c>
      <c r="I94" s="147">
        <v>12.470931</v>
      </c>
      <c r="J94" s="147">
        <v>12.245136</v>
      </c>
      <c r="K94" s="147">
        <v>10.044699</v>
      </c>
      <c r="L94" s="147">
        <v>9.0470970000000008</v>
      </c>
      <c r="M94" s="147">
        <v>6.240507</v>
      </c>
      <c r="N94" s="147">
        <v>5.8973469999999999</v>
      </c>
      <c r="O94" s="147">
        <v>5.9310499999999999</v>
      </c>
      <c r="P94" s="147">
        <v>8.7359240000000007</v>
      </c>
      <c r="Q94" s="147">
        <v>3.0208699999999999</v>
      </c>
      <c r="R94"/>
      <c r="S94"/>
      <c r="T94"/>
      <c r="U94"/>
      <c r="V94"/>
      <c r="W94"/>
      <c r="X94"/>
      <c r="Y94"/>
      <c r="Z94"/>
    </row>
    <row r="95" spans="1:26" ht="15">
      <c r="A95" s="212"/>
      <c r="B95" s="144" t="s">
        <v>22</v>
      </c>
      <c r="C95" s="147">
        <v>0.107643</v>
      </c>
      <c r="D95" s="147">
        <v>8.2346000000000003E-2</v>
      </c>
      <c r="E95" s="147">
        <v>0.111343</v>
      </c>
      <c r="F95" s="147">
        <v>8.9931999999999998E-2</v>
      </c>
      <c r="G95" s="147">
        <v>5.4199999999999998E-2</v>
      </c>
      <c r="H95" s="147">
        <v>0.12551699999999999</v>
      </c>
      <c r="I95" s="147">
        <v>9.8985000000000004E-2</v>
      </c>
      <c r="J95" s="147">
        <v>8.3479999999999999E-2</v>
      </c>
      <c r="K95" s="147">
        <v>1.2656000000000001E-2</v>
      </c>
      <c r="L95" s="147">
        <v>9.9426E-2</v>
      </c>
      <c r="M95" s="147">
        <v>9.2591999999999994E-2</v>
      </c>
      <c r="N95" s="147">
        <v>0.18124699999999999</v>
      </c>
      <c r="O95" s="147">
        <v>0.20147399999999999</v>
      </c>
      <c r="P95" s="147">
        <v>8.1622E-2</v>
      </c>
      <c r="Q95" s="147">
        <v>6.4960000000000004E-2</v>
      </c>
      <c r="R95"/>
      <c r="S95"/>
      <c r="T95"/>
      <c r="U95"/>
      <c r="V95"/>
      <c r="W95"/>
      <c r="X95"/>
      <c r="Y95"/>
      <c r="Z95"/>
    </row>
    <row r="96" spans="1:26" ht="15">
      <c r="A96" s="212"/>
      <c r="B96" s="144" t="s">
        <v>23</v>
      </c>
      <c r="C96" s="147">
        <v>3.3415469999999998</v>
      </c>
      <c r="D96" s="147">
        <v>3.483536</v>
      </c>
      <c r="E96" s="147">
        <v>3.2674569999999998</v>
      </c>
      <c r="F96" s="147">
        <v>2.9153180000000001</v>
      </c>
      <c r="G96" s="147">
        <v>2.2857509999999999</v>
      </c>
      <c r="H96" s="147">
        <v>2.3003499999999999</v>
      </c>
      <c r="I96" s="147">
        <v>1.194464</v>
      </c>
      <c r="J96" s="147">
        <v>2.848757</v>
      </c>
      <c r="K96" s="147">
        <v>2.8740579999999998</v>
      </c>
      <c r="L96" s="147">
        <v>2.8082799999999999</v>
      </c>
      <c r="M96" s="147">
        <v>3.3302809999999998</v>
      </c>
      <c r="N96" s="147">
        <v>3.7760859999999998</v>
      </c>
      <c r="O96" s="147">
        <v>4.0380969999999996</v>
      </c>
      <c r="P96" s="147">
        <v>3.7449910000000002</v>
      </c>
      <c r="Q96" s="147">
        <v>1.1897200000000001</v>
      </c>
      <c r="R96"/>
      <c r="S96"/>
      <c r="T96"/>
      <c r="U96"/>
      <c r="V96"/>
      <c r="W96"/>
      <c r="X96"/>
      <c r="Y96"/>
      <c r="Z96"/>
    </row>
    <row r="97" spans="1:26" ht="15">
      <c r="A97" s="212"/>
      <c r="B97" s="144" t="s">
        <v>54</v>
      </c>
      <c r="C97" s="147">
        <v>9.5605395000000009</v>
      </c>
      <c r="D97" s="147">
        <v>6.8600294999999996</v>
      </c>
      <c r="E97" s="147">
        <v>11.083662500000001</v>
      </c>
      <c r="F97" s="147">
        <v>13.4563305</v>
      </c>
      <c r="G97" s="147">
        <v>13.087209</v>
      </c>
      <c r="H97" s="147">
        <v>13.341946</v>
      </c>
      <c r="I97" s="147">
        <v>14.4424645</v>
      </c>
      <c r="J97" s="147">
        <v>12.562136000000001</v>
      </c>
      <c r="K97" s="147">
        <v>13.691565000000001</v>
      </c>
      <c r="L97" s="147">
        <v>14.954476</v>
      </c>
      <c r="M97" s="147">
        <v>13.874806</v>
      </c>
      <c r="N97" s="147">
        <v>8.5480964999999998</v>
      </c>
      <c r="O97" s="147">
        <v>9.2619229999999995</v>
      </c>
      <c r="P97" s="147">
        <v>6.0955329999999996</v>
      </c>
      <c r="Q97" s="147">
        <v>2.4459</v>
      </c>
      <c r="R97"/>
      <c r="S97"/>
      <c r="T97"/>
      <c r="U97"/>
      <c r="V97"/>
      <c r="W97"/>
      <c r="X97"/>
      <c r="Y97"/>
      <c r="Z97"/>
    </row>
    <row r="98" spans="1:26" ht="15">
      <c r="A98" s="212"/>
      <c r="B98" s="144" t="s">
        <v>55</v>
      </c>
      <c r="C98" s="147">
        <v>9.5605395000000009</v>
      </c>
      <c r="D98" s="147">
        <v>6.8600294999999996</v>
      </c>
      <c r="E98" s="147">
        <v>11.083662500000001</v>
      </c>
      <c r="F98" s="147">
        <v>13.4563305</v>
      </c>
      <c r="G98" s="147">
        <v>13.087209</v>
      </c>
      <c r="H98" s="147">
        <v>13.341946</v>
      </c>
      <c r="I98" s="147">
        <v>14.4424645</v>
      </c>
      <c r="J98" s="147">
        <v>12.562136000000001</v>
      </c>
      <c r="K98" s="147">
        <v>13.691565000000001</v>
      </c>
      <c r="L98" s="147">
        <v>14.954476</v>
      </c>
      <c r="M98" s="147">
        <v>13.874806</v>
      </c>
      <c r="N98" s="147">
        <v>8.5480964999999998</v>
      </c>
      <c r="O98" s="147">
        <v>9.2619229999999995</v>
      </c>
      <c r="P98" s="147">
        <v>6.0955329999999996</v>
      </c>
      <c r="Q98" s="147">
        <v>2.4459</v>
      </c>
      <c r="R98"/>
      <c r="S98"/>
      <c r="T98"/>
      <c r="U98"/>
      <c r="V98"/>
      <c r="W98"/>
      <c r="X98"/>
      <c r="Y98"/>
      <c r="Z98"/>
    </row>
    <row r="99" spans="1:26" ht="15">
      <c r="A99" s="212"/>
      <c r="B99" s="149" t="s">
        <v>2</v>
      </c>
      <c r="C99" s="150">
        <v>340.540705</v>
      </c>
      <c r="D99" s="150">
        <v>296.12078400000001</v>
      </c>
      <c r="E99" s="150">
        <v>314.48156299999999</v>
      </c>
      <c r="F99" s="150">
        <v>321.96961700000003</v>
      </c>
      <c r="G99" s="150">
        <v>333.03428300000002</v>
      </c>
      <c r="H99" s="150">
        <v>380.044175</v>
      </c>
      <c r="I99" s="150">
        <v>518.27746500000001</v>
      </c>
      <c r="J99" s="150">
        <v>519.32913299999996</v>
      </c>
      <c r="K99" s="150">
        <v>419.42357099999998</v>
      </c>
      <c r="L99" s="150">
        <v>352.67263600000001</v>
      </c>
      <c r="M99" s="150">
        <v>321.24892599999998</v>
      </c>
      <c r="N99" s="150">
        <v>302.11990500000002</v>
      </c>
      <c r="O99" s="150">
        <v>320.30481300000002</v>
      </c>
      <c r="P99" s="150">
        <v>287.42384399999997</v>
      </c>
      <c r="Q99" s="150">
        <v>99.188992999999996</v>
      </c>
      <c r="R99"/>
      <c r="S99"/>
      <c r="T99"/>
      <c r="U99"/>
      <c r="V99"/>
      <c r="W99"/>
      <c r="X99"/>
      <c r="Y99"/>
      <c r="Z99"/>
    </row>
    <row r="100" spans="1:26" ht="15">
      <c r="A100" s="212"/>
      <c r="B100" s="144" t="s">
        <v>21</v>
      </c>
      <c r="C100" s="147">
        <v>137.254998</v>
      </c>
      <c r="D100" s="147">
        <v>119.223619</v>
      </c>
      <c r="E100" s="147">
        <v>122.32533599999999</v>
      </c>
      <c r="F100" s="147">
        <v>124.430774</v>
      </c>
      <c r="G100" s="147">
        <v>143.16130000000001</v>
      </c>
      <c r="H100" s="147">
        <v>159.634671</v>
      </c>
      <c r="I100" s="147">
        <v>201.16611399999999</v>
      </c>
      <c r="J100" s="147">
        <v>185.76976199999999</v>
      </c>
      <c r="K100" s="147">
        <v>153.19726600000001</v>
      </c>
      <c r="L100" s="147">
        <v>137.66557</v>
      </c>
      <c r="M100" s="147">
        <v>91.396833999999998</v>
      </c>
      <c r="N100" s="147">
        <v>119.614278</v>
      </c>
      <c r="O100" s="147">
        <v>136.155901</v>
      </c>
      <c r="P100" s="147">
        <v>115.92849699999999</v>
      </c>
      <c r="Q100" s="147">
        <v>38.804000000000002</v>
      </c>
      <c r="R100"/>
      <c r="S100"/>
      <c r="T100"/>
      <c r="U100"/>
      <c r="V100"/>
      <c r="W100"/>
      <c r="X100"/>
      <c r="Y100"/>
      <c r="Z100"/>
    </row>
    <row r="101" spans="1:26" ht="15">
      <c r="A101" s="213"/>
      <c r="B101" s="149" t="s">
        <v>79</v>
      </c>
      <c r="C101" s="150">
        <v>477.795703</v>
      </c>
      <c r="D101" s="150">
        <v>415.344403</v>
      </c>
      <c r="E101" s="150">
        <v>436.80689899999999</v>
      </c>
      <c r="F101" s="150">
        <v>446.40039100000001</v>
      </c>
      <c r="G101" s="150">
        <v>476.195583</v>
      </c>
      <c r="H101" s="150">
        <v>539.67884600000002</v>
      </c>
      <c r="I101" s="150">
        <v>719.443579</v>
      </c>
      <c r="J101" s="150">
        <v>705.09889499999997</v>
      </c>
      <c r="K101" s="150">
        <v>572.62083700000005</v>
      </c>
      <c r="L101" s="150">
        <v>490.33820600000001</v>
      </c>
      <c r="M101" s="150">
        <v>412.64576</v>
      </c>
      <c r="N101" s="150">
        <v>421.73418299999997</v>
      </c>
      <c r="O101" s="150">
        <v>456.460714</v>
      </c>
      <c r="P101" s="150">
        <v>403.35234100000002</v>
      </c>
      <c r="Q101" s="150">
        <v>137.99299300000001</v>
      </c>
      <c r="R101"/>
      <c r="S101"/>
      <c r="T101"/>
      <c r="U101"/>
      <c r="V101"/>
      <c r="W101"/>
      <c r="X101"/>
      <c r="Y101"/>
      <c r="Z101"/>
    </row>
    <row r="102" spans="1:26" ht="15">
      <c r="A102" s="211" t="s">
        <v>58</v>
      </c>
      <c r="B102" s="144" t="s">
        <v>12</v>
      </c>
      <c r="C102" s="147">
        <v>0.29291600000000001</v>
      </c>
      <c r="D102" s="147">
        <v>0.26504899999999998</v>
      </c>
      <c r="E102" s="147">
        <v>0.298315</v>
      </c>
      <c r="F102" s="147">
        <v>0.29675299999999999</v>
      </c>
      <c r="G102" s="147">
        <v>0.30594199999999999</v>
      </c>
      <c r="H102" s="147">
        <v>0.27668100000000001</v>
      </c>
      <c r="I102" s="147">
        <v>0.29841899999999999</v>
      </c>
      <c r="J102" s="147">
        <v>0.29929</v>
      </c>
      <c r="K102" s="147">
        <v>0.28253899999999998</v>
      </c>
      <c r="L102" s="147">
        <v>0.297543</v>
      </c>
      <c r="M102" s="147">
        <v>0.29656300000000002</v>
      </c>
      <c r="N102" s="147">
        <v>0.29923499999999997</v>
      </c>
      <c r="O102" s="147">
        <v>0.30431399999999997</v>
      </c>
      <c r="P102" s="147">
        <v>0.26768999999999998</v>
      </c>
      <c r="Q102" s="147">
        <v>4.9542000000000003E-2</v>
      </c>
      <c r="R102"/>
      <c r="S102"/>
      <c r="T102"/>
      <c r="U102"/>
      <c r="V102"/>
      <c r="W102"/>
      <c r="X102"/>
      <c r="Y102"/>
      <c r="Z102"/>
    </row>
    <row r="103" spans="1:26" ht="15">
      <c r="A103" s="212"/>
      <c r="B103" s="144" t="s">
        <v>78</v>
      </c>
      <c r="C103" s="147">
        <v>174.26427200000001</v>
      </c>
      <c r="D103" s="147">
        <v>152.846857</v>
      </c>
      <c r="E103" s="147">
        <v>161.02722900000001</v>
      </c>
      <c r="F103" s="147">
        <v>157.061271</v>
      </c>
      <c r="G103" s="147">
        <v>150.35795200000001</v>
      </c>
      <c r="H103" s="147">
        <v>167.34978899999999</v>
      </c>
      <c r="I103" s="147">
        <v>155.88908699999999</v>
      </c>
      <c r="J103" s="147">
        <v>173.50264200000001</v>
      </c>
      <c r="K103" s="147">
        <v>167.04003</v>
      </c>
      <c r="L103" s="147">
        <v>168.13456400000001</v>
      </c>
      <c r="M103" s="147">
        <v>151.11739399999999</v>
      </c>
      <c r="N103" s="147">
        <v>171.354029</v>
      </c>
      <c r="O103" s="147">
        <v>175.82359</v>
      </c>
      <c r="P103" s="147">
        <v>160.705896</v>
      </c>
      <c r="Q103" s="147">
        <v>48.496408000000002</v>
      </c>
      <c r="R103"/>
      <c r="S103"/>
      <c r="T103"/>
      <c r="U103"/>
      <c r="V103"/>
      <c r="W103"/>
      <c r="X103"/>
      <c r="Y103"/>
      <c r="Z103"/>
    </row>
    <row r="104" spans="1:26" ht="15">
      <c r="A104" s="212"/>
      <c r="B104" s="144" t="s">
        <v>9</v>
      </c>
      <c r="C104" s="147">
        <v>21.945627999999999</v>
      </c>
      <c r="D104" s="147">
        <v>18.942269</v>
      </c>
      <c r="E104" s="147">
        <v>19.360040999999999</v>
      </c>
      <c r="F104" s="147">
        <v>20.277031000000001</v>
      </c>
      <c r="G104" s="147">
        <v>23.358886999999999</v>
      </c>
      <c r="H104" s="147">
        <v>14.744834000000001</v>
      </c>
      <c r="I104" s="147">
        <v>16.517122000000001</v>
      </c>
      <c r="J104" s="147">
        <v>17.472964999999999</v>
      </c>
      <c r="K104" s="147">
        <v>24.793182999999999</v>
      </c>
      <c r="L104" s="147">
        <v>16.664884000000001</v>
      </c>
      <c r="M104" s="147">
        <v>18.703745999999999</v>
      </c>
      <c r="N104" s="147">
        <v>16.706254000000001</v>
      </c>
      <c r="O104" s="147">
        <v>17.105090000000001</v>
      </c>
      <c r="P104" s="147">
        <v>21.870190999999998</v>
      </c>
      <c r="Q104" s="147">
        <v>6.02135</v>
      </c>
      <c r="R104"/>
      <c r="S104"/>
      <c r="T104"/>
      <c r="U104"/>
      <c r="V104"/>
      <c r="W104"/>
      <c r="X104"/>
      <c r="Y104"/>
      <c r="Z104"/>
    </row>
    <row r="105" spans="1:26" ht="15">
      <c r="A105" s="212"/>
      <c r="B105" s="144" t="s">
        <v>8</v>
      </c>
      <c r="C105" s="147">
        <v>218.650612</v>
      </c>
      <c r="D105" s="147">
        <v>212.98181099999999</v>
      </c>
      <c r="E105" s="147">
        <v>209.06030999999999</v>
      </c>
      <c r="F105" s="147">
        <v>199.95457400000001</v>
      </c>
      <c r="G105" s="147">
        <v>201.71434600000001</v>
      </c>
      <c r="H105" s="147">
        <v>209.91055800000001</v>
      </c>
      <c r="I105" s="147">
        <v>137.955038</v>
      </c>
      <c r="J105" s="147">
        <v>116.694829</v>
      </c>
      <c r="K105" s="147">
        <v>157.50902600000001</v>
      </c>
      <c r="L105" s="147">
        <v>170.575942</v>
      </c>
      <c r="M105" s="147">
        <v>184.81552300000001</v>
      </c>
      <c r="N105" s="147">
        <v>169.18809899999999</v>
      </c>
      <c r="O105" s="147">
        <v>146.91851800000001</v>
      </c>
      <c r="P105" s="147">
        <v>128.34914699999999</v>
      </c>
      <c r="Q105" s="147">
        <v>38.426169999999999</v>
      </c>
      <c r="R105"/>
      <c r="S105"/>
      <c r="T105"/>
      <c r="U105"/>
      <c r="V105"/>
      <c r="W105"/>
      <c r="X105"/>
      <c r="Y105"/>
      <c r="Z105"/>
    </row>
    <row r="106" spans="1:26" ht="15">
      <c r="A106" s="212"/>
      <c r="B106" s="144" t="s">
        <v>25</v>
      </c>
      <c r="C106" s="147">
        <v>264.507273</v>
      </c>
      <c r="D106" s="147">
        <v>221.964823</v>
      </c>
      <c r="E106" s="147">
        <v>224.52281400000001</v>
      </c>
      <c r="F106" s="147">
        <v>229.693647</v>
      </c>
      <c r="G106" s="147">
        <v>220.83250000000001</v>
      </c>
      <c r="H106" s="147">
        <v>222.51747599999999</v>
      </c>
      <c r="I106" s="147">
        <v>262.048877</v>
      </c>
      <c r="J106" s="147">
        <v>290.23648900000001</v>
      </c>
      <c r="K106" s="147">
        <v>276.37973799999997</v>
      </c>
      <c r="L106" s="147">
        <v>305.83225499999998</v>
      </c>
      <c r="M106" s="147">
        <v>233.08126999999999</v>
      </c>
      <c r="N106" s="147">
        <v>301.90038800000002</v>
      </c>
      <c r="O106" s="147">
        <v>336.41169600000001</v>
      </c>
      <c r="P106" s="147">
        <v>279.07848200000001</v>
      </c>
      <c r="Q106" s="147">
        <v>94.609537000000003</v>
      </c>
      <c r="R106"/>
      <c r="S106"/>
      <c r="T106"/>
      <c r="U106"/>
      <c r="V106"/>
      <c r="W106"/>
      <c r="X106"/>
      <c r="Y106"/>
      <c r="Z106"/>
    </row>
    <row r="107" spans="1:26" ht="15">
      <c r="A107" s="212"/>
      <c r="B107" s="144" t="s">
        <v>6</v>
      </c>
      <c r="C107" s="147">
        <v>1.109656</v>
      </c>
      <c r="D107" s="147">
        <v>0.97254499999999999</v>
      </c>
      <c r="E107" s="147">
        <v>1.955158</v>
      </c>
      <c r="F107" s="147">
        <v>1.5483690000000001</v>
      </c>
      <c r="G107" s="147">
        <v>2.031012</v>
      </c>
      <c r="H107" s="147">
        <v>1.3721410000000001</v>
      </c>
      <c r="I107" s="147">
        <v>3.727338</v>
      </c>
      <c r="J107" s="147">
        <v>3.4751189999999998</v>
      </c>
      <c r="K107" s="147">
        <v>2.2183510000000002</v>
      </c>
      <c r="L107" s="147">
        <v>1.582837</v>
      </c>
      <c r="M107" s="147">
        <v>2.0965220000000002</v>
      </c>
      <c r="N107" s="147">
        <v>1.15967</v>
      </c>
      <c r="O107" s="147">
        <v>0.82455000000000001</v>
      </c>
      <c r="P107" s="147">
        <v>1.3385149999999999</v>
      </c>
      <c r="Q107" s="147">
        <v>0.75859299999999996</v>
      </c>
      <c r="R107"/>
      <c r="S107"/>
      <c r="T107"/>
      <c r="U107"/>
      <c r="V107"/>
      <c r="W107"/>
      <c r="X107"/>
      <c r="Y107"/>
      <c r="Z107"/>
    </row>
    <row r="108" spans="1:26" ht="15">
      <c r="A108" s="212"/>
      <c r="B108" s="144" t="s">
        <v>5</v>
      </c>
      <c r="C108" s="147">
        <v>55.716045999999999</v>
      </c>
      <c r="D108" s="147">
        <v>48.413316999999999</v>
      </c>
      <c r="E108" s="147">
        <v>96.846602000000004</v>
      </c>
      <c r="F108" s="147">
        <v>67.107826000000003</v>
      </c>
      <c r="G108" s="147">
        <v>95.422933999999998</v>
      </c>
      <c r="H108" s="147">
        <v>74.330708999999999</v>
      </c>
      <c r="I108" s="147">
        <v>158.183166</v>
      </c>
      <c r="J108" s="147">
        <v>158.502759</v>
      </c>
      <c r="K108" s="147">
        <v>100.47458899999999</v>
      </c>
      <c r="L108" s="147">
        <v>89.262077000000005</v>
      </c>
      <c r="M108" s="147">
        <v>125.115903</v>
      </c>
      <c r="N108" s="147">
        <v>68.901973999999996</v>
      </c>
      <c r="O108" s="147">
        <v>59.057060999999997</v>
      </c>
      <c r="P108" s="147">
        <v>93.063980000000001</v>
      </c>
      <c r="Q108" s="147">
        <v>46.913182999999997</v>
      </c>
      <c r="R108"/>
      <c r="S108"/>
      <c r="T108"/>
      <c r="U108"/>
      <c r="V108"/>
      <c r="W108"/>
      <c r="X108"/>
      <c r="Y108"/>
      <c r="Z108"/>
    </row>
    <row r="109" spans="1:26" ht="15">
      <c r="A109" s="212"/>
      <c r="B109" s="144" t="s">
        <v>4</v>
      </c>
      <c r="C109" s="147">
        <v>17.899612000000001</v>
      </c>
      <c r="D109" s="147">
        <v>21.362932000000001</v>
      </c>
      <c r="E109" s="147">
        <v>24.910511</v>
      </c>
      <c r="F109" s="147">
        <v>24.555713999999998</v>
      </c>
      <c r="G109" s="147">
        <v>29.454840999999998</v>
      </c>
      <c r="H109" s="147">
        <v>23.327897</v>
      </c>
      <c r="I109" s="147">
        <v>29.517797000000002</v>
      </c>
      <c r="J109" s="147">
        <v>27.648233000000001</v>
      </c>
      <c r="K109" s="147">
        <v>23.467742000000001</v>
      </c>
      <c r="L109" s="147">
        <v>20.507878000000002</v>
      </c>
      <c r="M109" s="147">
        <v>18.206491</v>
      </c>
      <c r="N109" s="147">
        <v>17.045435000000001</v>
      </c>
      <c r="O109" s="147">
        <v>18.372709</v>
      </c>
      <c r="P109" s="147">
        <v>20.147513</v>
      </c>
      <c r="Q109" s="147">
        <v>5.7665540000000002</v>
      </c>
      <c r="R109"/>
      <c r="S109"/>
      <c r="T109"/>
      <c r="U109"/>
      <c r="V109"/>
      <c r="W109"/>
      <c r="X109"/>
      <c r="Y109"/>
      <c r="Z109"/>
    </row>
    <row r="110" spans="1:26" ht="15">
      <c r="A110" s="212"/>
      <c r="B110" s="144" t="s">
        <v>22</v>
      </c>
      <c r="C110" s="147">
        <v>0.96332899999999999</v>
      </c>
      <c r="D110" s="147">
        <v>0.82279800000000003</v>
      </c>
      <c r="E110" s="147">
        <v>0.90107099999999996</v>
      </c>
      <c r="F110" s="147">
        <v>0.89633300000000005</v>
      </c>
      <c r="G110" s="147">
        <v>0.94455500000000003</v>
      </c>
      <c r="H110" s="147">
        <v>0.82330000000000003</v>
      </c>
      <c r="I110" s="147">
        <v>0.917458</v>
      </c>
      <c r="J110" s="147">
        <v>0.71267199999999997</v>
      </c>
      <c r="K110" s="147">
        <v>0.43661899999999998</v>
      </c>
      <c r="L110" s="147">
        <v>0.57729399999999997</v>
      </c>
      <c r="M110" s="147">
        <v>0.87303399999999998</v>
      </c>
      <c r="N110" s="147">
        <v>0.90510599999999997</v>
      </c>
      <c r="O110" s="147">
        <v>0.87627999999999995</v>
      </c>
      <c r="P110" s="147">
        <v>0.84570599999999996</v>
      </c>
      <c r="Q110" s="147">
        <v>0.13366400000000001</v>
      </c>
      <c r="R110"/>
      <c r="S110"/>
      <c r="T110"/>
      <c r="U110"/>
      <c r="V110"/>
      <c r="W110"/>
      <c r="X110"/>
      <c r="Y110"/>
      <c r="Z110"/>
    </row>
    <row r="111" spans="1:26" ht="15">
      <c r="A111" s="212"/>
      <c r="B111" s="149" t="s">
        <v>2</v>
      </c>
      <c r="C111" s="150">
        <v>755.34934399999997</v>
      </c>
      <c r="D111" s="150">
        <v>678.57240100000001</v>
      </c>
      <c r="E111" s="150">
        <v>738.88205100000005</v>
      </c>
      <c r="F111" s="150">
        <v>701.39151800000002</v>
      </c>
      <c r="G111" s="150">
        <v>724.42296899999997</v>
      </c>
      <c r="H111" s="150">
        <v>714.65338499999996</v>
      </c>
      <c r="I111" s="150">
        <v>765.05430200000001</v>
      </c>
      <c r="J111" s="150">
        <v>788.54499799999996</v>
      </c>
      <c r="K111" s="150">
        <v>752.60181699999998</v>
      </c>
      <c r="L111" s="150">
        <v>773.43527400000005</v>
      </c>
      <c r="M111" s="150">
        <v>734.30644600000005</v>
      </c>
      <c r="N111" s="150">
        <v>747.46019000000001</v>
      </c>
      <c r="O111" s="150">
        <v>755.69380799999999</v>
      </c>
      <c r="P111" s="150">
        <v>705.66711999999995</v>
      </c>
      <c r="Q111" s="150">
        <v>241.17500100000001</v>
      </c>
      <c r="R111"/>
      <c r="S111"/>
      <c r="T111"/>
      <c r="U111"/>
      <c r="V111"/>
      <c r="W111"/>
      <c r="X111"/>
      <c r="Y111"/>
      <c r="Z111"/>
    </row>
    <row r="112" spans="1:26" ht="15">
      <c r="A112" s="213"/>
      <c r="B112" s="149" t="s">
        <v>79</v>
      </c>
      <c r="C112" s="150">
        <v>755.34934399999997</v>
      </c>
      <c r="D112" s="150">
        <v>678.57240100000001</v>
      </c>
      <c r="E112" s="150">
        <v>738.88205100000005</v>
      </c>
      <c r="F112" s="150">
        <v>701.39151800000002</v>
      </c>
      <c r="G112" s="150">
        <v>724.42296899999997</v>
      </c>
      <c r="H112" s="150">
        <v>714.65338499999996</v>
      </c>
      <c r="I112" s="150">
        <v>765.05430200000001</v>
      </c>
      <c r="J112" s="150">
        <v>788.54499799999996</v>
      </c>
      <c r="K112" s="150">
        <v>752.60181699999998</v>
      </c>
      <c r="L112" s="150">
        <v>773.43527400000005</v>
      </c>
      <c r="M112" s="150">
        <v>734.30644600000005</v>
      </c>
      <c r="N112" s="150">
        <v>747.46019000000001</v>
      </c>
      <c r="O112" s="150">
        <v>755.69380799999999</v>
      </c>
      <c r="P112" s="150">
        <v>705.66711999999995</v>
      </c>
      <c r="Q112" s="150">
        <v>241.17500100000001</v>
      </c>
      <c r="R112"/>
      <c r="S112"/>
      <c r="T112"/>
      <c r="U112"/>
      <c r="V112"/>
      <c r="W112"/>
      <c r="X112"/>
      <c r="Y112"/>
      <c r="Z112"/>
    </row>
    <row r="113" spans="1:19" ht="12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19">
      <c r="B117" s="209" t="s">
        <v>73</v>
      </c>
      <c r="C117" s="120" t="str">
        <f>TEXT(EDATE(D117,-1),"mmmm aaaa")</f>
        <v>febrero 2019</v>
      </c>
      <c r="D117" s="120" t="str">
        <f t="shared" ref="D117:M117" si="7">TEXT(EDATE(E117,-1),"mmmm aaaa")</f>
        <v>marzo 2019</v>
      </c>
      <c r="E117" s="120" t="str">
        <f t="shared" si="7"/>
        <v>abril 2019</v>
      </c>
      <c r="F117" s="120" t="str">
        <f t="shared" si="7"/>
        <v>mayo 2019</v>
      </c>
      <c r="G117" s="120" t="str">
        <f t="shared" si="7"/>
        <v>junio 2019</v>
      </c>
      <c r="H117" s="120" t="str">
        <f t="shared" si="7"/>
        <v>julio 2019</v>
      </c>
      <c r="I117" s="120" t="str">
        <f t="shared" si="7"/>
        <v>agosto 2019</v>
      </c>
      <c r="J117" s="120" t="str">
        <f t="shared" si="7"/>
        <v>septiembre 2019</v>
      </c>
      <c r="K117" s="120" t="str">
        <f t="shared" si="7"/>
        <v>octubre 2019</v>
      </c>
      <c r="L117" s="120" t="str">
        <f t="shared" si="7"/>
        <v>noviembre 2019</v>
      </c>
      <c r="M117" s="120" t="str">
        <f t="shared" si="7"/>
        <v>diciembre 2019</v>
      </c>
      <c r="N117" s="120" t="str">
        <f>TEXT(EDATE(O117,-1),"mmmm aaaa")</f>
        <v>enero 2020</v>
      </c>
      <c r="O117" s="121" t="str">
        <f>A2</f>
        <v>Febrero 2020</v>
      </c>
    </row>
    <row r="118" spans="1:19">
      <c r="B118" s="210"/>
      <c r="C118" s="131" t="str">
        <f>TEXT(EDATE($A$2,-12),"mmm")&amp;".-"&amp;TEXT(EDATE($A$2,-12),"aa")</f>
        <v>feb.-19</v>
      </c>
      <c r="D118" s="131" t="str">
        <f>TEXT(EDATE($A$2,-11),"mmm")&amp;".-"&amp;TEXT(EDATE($A$2,-11),"aa")</f>
        <v>mar.-19</v>
      </c>
      <c r="E118" s="131" t="str">
        <f>TEXT(EDATE($A$2,-10),"mmm")&amp;".-"&amp;TEXT(EDATE($A$2,-10),"aa")</f>
        <v>abr.-19</v>
      </c>
      <c r="F118" s="131" t="str">
        <f>TEXT(EDATE($A$2,-9),"mmm")&amp;".-"&amp;TEXT(EDATE($A$2,-9),"aa")</f>
        <v>may.-19</v>
      </c>
      <c r="G118" s="131" t="str">
        <f>TEXT(EDATE($A$2,-8),"mmm")&amp;".-"&amp;TEXT(EDATE($A$2,-8),"aa")</f>
        <v>jun.-19</v>
      </c>
      <c r="H118" s="131" t="str">
        <f>TEXT(EDATE($A$2,-7),"mmm")&amp;".-"&amp;TEXT(EDATE($A$2,-7),"aa")</f>
        <v>jul.-19</v>
      </c>
      <c r="I118" s="131" t="str">
        <f>TEXT(EDATE($A$2,-6),"mmm")&amp;".-"&amp;TEXT(EDATE($A$2,-6),"aa")</f>
        <v>ago.-19</v>
      </c>
      <c r="J118" s="131" t="str">
        <f>TEXT(EDATE($A$2,-5),"mmm")&amp;".-"&amp;TEXT(EDATE($A$2,-5),"aa")</f>
        <v>sep.-19</v>
      </c>
      <c r="K118" s="131" t="str">
        <f>TEXT(EDATE($A$2,-4),"mmm")&amp;".-"&amp;TEXT(EDATE($A$2,-4),"aa")</f>
        <v>oct.-19</v>
      </c>
      <c r="L118" s="131" t="str">
        <f>TEXT(EDATE($A$2,-3),"mmm")&amp;".-"&amp;TEXT(EDATE($A$2,-3),"aa")</f>
        <v>nov.-19</v>
      </c>
      <c r="M118" s="131" t="str">
        <f>TEXT(EDATE($A$2,-2),"mmm")&amp;".-"&amp;TEXT(EDATE($A$2,-2),"aa")</f>
        <v>dic.-19</v>
      </c>
      <c r="N118" s="131" t="str">
        <f>TEXT(EDATE($A$2,-1),"mmm")&amp;".-"&amp;TEXT(EDATE($A$2,-1),"aa")</f>
        <v>ene.-20</v>
      </c>
      <c r="O118" s="160" t="str">
        <f>TEXT($A$2,"mmm")&amp;".-"&amp;TEXT($A$2,"aa")</f>
        <v>feb.-20</v>
      </c>
    </row>
    <row r="119" spans="1:19">
      <c r="A119" s="206" t="s">
        <v>76</v>
      </c>
      <c r="B119" s="132" t="s">
        <v>11</v>
      </c>
      <c r="C119" s="133">
        <f>HLOOKUP(C$117,$86:$101,3,FALSE)</f>
        <v>164.40237099999999</v>
      </c>
      <c r="D119" s="133">
        <f t="shared" ref="D119:N119" si="8">HLOOKUP(D$117,$86:$101,3,FALSE)</f>
        <v>141.74739099999999</v>
      </c>
      <c r="E119" s="133">
        <f t="shared" si="8"/>
        <v>127.06355499999999</v>
      </c>
      <c r="F119" s="133">
        <f t="shared" si="8"/>
        <v>121.49093499999999</v>
      </c>
      <c r="G119" s="133">
        <f t="shared" si="8"/>
        <v>98.710933999999995</v>
      </c>
      <c r="H119" s="133">
        <f t="shared" si="8"/>
        <v>173.44610299999999</v>
      </c>
      <c r="I119" s="133">
        <f t="shared" si="8"/>
        <v>257.56122599999998</v>
      </c>
      <c r="J119" s="133">
        <f t="shared" si="8"/>
        <v>239.89604299999999</v>
      </c>
      <c r="K119" s="133">
        <f t="shared" si="8"/>
        <v>190.859296</v>
      </c>
      <c r="L119" s="133">
        <f t="shared" si="8"/>
        <v>128.513947</v>
      </c>
      <c r="M119" s="133">
        <f t="shared" si="8"/>
        <v>137.71730099999999</v>
      </c>
      <c r="N119" s="133">
        <f t="shared" si="8"/>
        <v>-3.1773479999999998</v>
      </c>
      <c r="O119" s="134">
        <f>HLOOKUP(O$117,$86:$101,3,FALSE)</f>
        <v>-1.4407270000000001</v>
      </c>
    </row>
    <row r="120" spans="1:19">
      <c r="A120" s="207"/>
      <c r="B120" s="122" t="s">
        <v>10</v>
      </c>
      <c r="C120" s="116">
        <f>HLOOKUP(C$117,$86:$101,4,FALSE)</f>
        <v>26.576927000000001</v>
      </c>
      <c r="D120" s="116">
        <f t="shared" ref="D120:O120" si="9">HLOOKUP(D$117,$86:$101,4,FALSE)</f>
        <v>16.635784999999998</v>
      </c>
      <c r="E120" s="116">
        <f t="shared" si="9"/>
        <v>30.202653000000002</v>
      </c>
      <c r="F120" s="116">
        <f t="shared" si="9"/>
        <v>38.207940999999998</v>
      </c>
      <c r="G120" s="116">
        <f t="shared" si="9"/>
        <v>49.833764000000002</v>
      </c>
      <c r="H120" s="116">
        <f t="shared" si="9"/>
        <v>64.359393999999995</v>
      </c>
      <c r="I120" s="116">
        <f t="shared" si="9"/>
        <v>64.194573000000005</v>
      </c>
      <c r="J120" s="116">
        <f t="shared" si="9"/>
        <v>50.613649000000002</v>
      </c>
      <c r="K120" s="116">
        <f t="shared" si="9"/>
        <v>40.788257999999999</v>
      </c>
      <c r="L120" s="116">
        <f t="shared" si="9"/>
        <v>27.174427999999999</v>
      </c>
      <c r="M120" s="116">
        <f t="shared" si="9"/>
        <v>19.439288000000001</v>
      </c>
      <c r="N120" s="116">
        <f t="shared" si="9"/>
        <v>25.163323999999999</v>
      </c>
      <c r="O120" s="134">
        <f t="shared" si="9"/>
        <v>20.211247</v>
      </c>
    </row>
    <row r="121" spans="1:19">
      <c r="A121" s="207"/>
      <c r="B121" s="122" t="s">
        <v>9</v>
      </c>
      <c r="C121" s="116">
        <f>HLOOKUP(C$117,$86:$101,5,FALSE)</f>
        <v>22.600860000000001</v>
      </c>
      <c r="D121" s="116">
        <f t="shared" ref="D121:O121" si="10">HLOOKUP(D$117,$86:$101,5,FALSE)</f>
        <v>34.548490999999999</v>
      </c>
      <c r="E121" s="116">
        <f t="shared" si="10"/>
        <v>30.171469999999999</v>
      </c>
      <c r="F121" s="116">
        <f t="shared" si="10"/>
        <v>27.505562000000001</v>
      </c>
      <c r="G121" s="116">
        <f t="shared" si="10"/>
        <v>38.491146999999998</v>
      </c>
      <c r="H121" s="116">
        <f t="shared" si="10"/>
        <v>72.469969000000006</v>
      </c>
      <c r="I121" s="116">
        <f t="shared" si="10"/>
        <v>70.419168999999997</v>
      </c>
      <c r="J121" s="116">
        <f t="shared" si="10"/>
        <v>45.651693999999999</v>
      </c>
      <c r="K121" s="116">
        <f t="shared" si="10"/>
        <v>27.935912999999999</v>
      </c>
      <c r="L121" s="116">
        <f t="shared" si="10"/>
        <v>28.760522000000002</v>
      </c>
      <c r="M121" s="116">
        <f t="shared" si="10"/>
        <v>20.411072000000001</v>
      </c>
      <c r="N121" s="116">
        <f t="shared" si="10"/>
        <v>21.825088000000001</v>
      </c>
      <c r="O121" s="134">
        <f t="shared" si="10"/>
        <v>17.386634999999998</v>
      </c>
    </row>
    <row r="122" spans="1:19" ht="14.25">
      <c r="A122" s="207"/>
      <c r="B122" s="122" t="s">
        <v>74</v>
      </c>
      <c r="C122" s="116">
        <f>HLOOKUP(C$117,$86:$101,6,FALSE)</f>
        <v>55.402149000000001</v>
      </c>
      <c r="D122" s="116">
        <f t="shared" ref="D122:O122" si="11">HLOOKUP(D$117,$86:$101,6,FALSE)</f>
        <v>83.928335000000004</v>
      </c>
      <c r="E122" s="116">
        <f t="shared" si="11"/>
        <v>93.323053000000002</v>
      </c>
      <c r="F122" s="116">
        <f t="shared" si="11"/>
        <v>103.560644</v>
      </c>
      <c r="G122" s="116">
        <f t="shared" si="11"/>
        <v>148.873491</v>
      </c>
      <c r="H122" s="116">
        <f t="shared" si="11"/>
        <v>160.980031</v>
      </c>
      <c r="I122" s="116">
        <f t="shared" si="11"/>
        <v>81.694967000000005</v>
      </c>
      <c r="J122" s="116">
        <f t="shared" si="11"/>
        <v>37.844405000000002</v>
      </c>
      <c r="K122" s="116">
        <f t="shared" si="11"/>
        <v>49.054825999999998</v>
      </c>
      <c r="L122" s="116">
        <f t="shared" si="11"/>
        <v>98.891853999999995</v>
      </c>
      <c r="M122" s="116">
        <f t="shared" si="11"/>
        <v>97.225685999999996</v>
      </c>
      <c r="N122" s="116">
        <f t="shared" si="11"/>
        <v>247.42845600000001</v>
      </c>
      <c r="O122" s="134">
        <f t="shared" si="11"/>
        <v>226.17381</v>
      </c>
    </row>
    <row r="123" spans="1:19">
      <c r="A123" s="207"/>
      <c r="B123" s="122" t="s">
        <v>24</v>
      </c>
      <c r="C123" s="116">
        <f>HLOOKUP(C$117,$86:$101,7,FALSE)</f>
        <v>0</v>
      </c>
      <c r="D123" s="116">
        <f t="shared" ref="D123:O123" si="12">HLOOKUP(D$117,$86:$101,7,FALSE)</f>
        <v>0</v>
      </c>
      <c r="E123" s="116">
        <f t="shared" si="12"/>
        <v>0</v>
      </c>
      <c r="F123" s="116">
        <f t="shared" si="12"/>
        <v>0.182169</v>
      </c>
      <c r="G123" s="116">
        <f t="shared" si="12"/>
        <v>1.4050560000000001</v>
      </c>
      <c r="H123" s="116">
        <f t="shared" si="12"/>
        <v>4.1422929999999996</v>
      </c>
      <c r="I123" s="116">
        <f t="shared" si="12"/>
        <v>4.8096079999999999</v>
      </c>
      <c r="J123" s="116">
        <f t="shared" si="12"/>
        <v>4.5895020000000004</v>
      </c>
      <c r="K123" s="116">
        <f t="shared" si="12"/>
        <v>1.7684709999999999</v>
      </c>
      <c r="L123" s="116">
        <f t="shared" si="12"/>
        <v>0</v>
      </c>
      <c r="M123" s="116">
        <f t="shared" si="12"/>
        <v>-6.9599999999999995E-2</v>
      </c>
      <c r="N123" s="116">
        <f t="shared" si="12"/>
        <v>0</v>
      </c>
      <c r="O123" s="134">
        <f t="shared" si="12"/>
        <v>0</v>
      </c>
    </row>
    <row r="124" spans="1:19">
      <c r="A124" s="207"/>
      <c r="B124" s="122" t="s">
        <v>5</v>
      </c>
      <c r="C124" s="116">
        <f>HLOOKUP(C$117,$86:$102,8,FALSE)</f>
        <v>0.49932900000000002</v>
      </c>
      <c r="D124" s="116">
        <f t="shared" ref="D124:O124" si="13">HLOOKUP(D$117,$86:$102,8,FALSE)</f>
        <v>0.70238800000000001</v>
      </c>
      <c r="E124" s="116">
        <f t="shared" si="13"/>
        <v>0.63947100000000001</v>
      </c>
      <c r="F124" s="116">
        <f t="shared" si="13"/>
        <v>0.653721</v>
      </c>
      <c r="G124" s="116">
        <f t="shared" si="13"/>
        <v>0.34985300000000003</v>
      </c>
      <c r="H124" s="116">
        <f t="shared" si="13"/>
        <v>0.23036599999999999</v>
      </c>
      <c r="I124" s="116">
        <f t="shared" si="13"/>
        <v>0.347945</v>
      </c>
      <c r="J124" s="116">
        <f t="shared" si="13"/>
        <v>0.51373500000000005</v>
      </c>
      <c r="K124" s="116">
        <f t="shared" si="13"/>
        <v>0.402117</v>
      </c>
      <c r="L124" s="116">
        <f t="shared" si="13"/>
        <v>0.49518299999999998</v>
      </c>
      <c r="M124" s="116">
        <f t="shared" si="13"/>
        <v>0.44528499999999999</v>
      </c>
      <c r="N124" s="116">
        <f t="shared" si="13"/>
        <v>0.37082599999999999</v>
      </c>
      <c r="O124" s="134">
        <f t="shared" si="13"/>
        <v>0.33927600000000002</v>
      </c>
    </row>
    <row r="125" spans="1:19">
      <c r="A125" s="207"/>
      <c r="B125" s="122" t="s">
        <v>4</v>
      </c>
      <c r="C125" s="116">
        <f>HLOOKUP(C$117,$86:$102,9,FALSE)</f>
        <v>9.3532069999999994</v>
      </c>
      <c r="D125" s="116">
        <f t="shared" ref="D125:O125" si="14">HLOOKUP(D$117,$86:$102,9,FALSE)</f>
        <v>11.373048000000001</v>
      </c>
      <c r="E125" s="116">
        <f t="shared" si="14"/>
        <v>10.651503999999999</v>
      </c>
      <c r="F125" s="116">
        <f t="shared" si="14"/>
        <v>12.918941999999999</v>
      </c>
      <c r="G125" s="116">
        <f t="shared" si="14"/>
        <v>13.270170999999999</v>
      </c>
      <c r="H125" s="116">
        <f t="shared" si="14"/>
        <v>12.470931</v>
      </c>
      <c r="I125" s="116">
        <f t="shared" si="14"/>
        <v>12.245136</v>
      </c>
      <c r="J125" s="116">
        <f t="shared" si="14"/>
        <v>10.044699</v>
      </c>
      <c r="K125" s="116">
        <f t="shared" si="14"/>
        <v>9.0470970000000008</v>
      </c>
      <c r="L125" s="116">
        <f t="shared" si="14"/>
        <v>6.240507</v>
      </c>
      <c r="M125" s="116">
        <f t="shared" si="14"/>
        <v>5.8973469999999999</v>
      </c>
      <c r="N125" s="116">
        <f t="shared" si="14"/>
        <v>5.9310499999999999</v>
      </c>
      <c r="O125" s="134">
        <f t="shared" si="14"/>
        <v>8.7359240000000007</v>
      </c>
    </row>
    <row r="126" spans="1:19">
      <c r="A126" s="207"/>
      <c r="B126" s="123" t="s">
        <v>22</v>
      </c>
      <c r="C126" s="116">
        <f>HLOOKUP(C$117,$86:$102,10,FALSE)</f>
        <v>8.2346000000000003E-2</v>
      </c>
      <c r="D126" s="116">
        <f t="shared" ref="D126:O126" si="15">HLOOKUP(D$117,$86:$102,10,FALSE)</f>
        <v>0.111343</v>
      </c>
      <c r="E126" s="116">
        <f t="shared" si="15"/>
        <v>8.9931999999999998E-2</v>
      </c>
      <c r="F126" s="116">
        <f t="shared" si="15"/>
        <v>5.4199999999999998E-2</v>
      </c>
      <c r="G126" s="116">
        <f t="shared" si="15"/>
        <v>0.12551699999999999</v>
      </c>
      <c r="H126" s="116">
        <f t="shared" si="15"/>
        <v>9.8985000000000004E-2</v>
      </c>
      <c r="I126" s="116">
        <f t="shared" si="15"/>
        <v>8.3479999999999999E-2</v>
      </c>
      <c r="J126" s="116">
        <f t="shared" si="15"/>
        <v>1.2656000000000001E-2</v>
      </c>
      <c r="K126" s="116">
        <f t="shared" si="15"/>
        <v>9.9426E-2</v>
      </c>
      <c r="L126" s="116">
        <f t="shared" si="15"/>
        <v>9.2591999999999994E-2</v>
      </c>
      <c r="M126" s="116">
        <f t="shared" si="15"/>
        <v>0.18124699999999999</v>
      </c>
      <c r="N126" s="116">
        <f t="shared" si="15"/>
        <v>0.20147399999999999</v>
      </c>
      <c r="O126" s="134">
        <f t="shared" si="15"/>
        <v>8.1622E-2</v>
      </c>
    </row>
    <row r="127" spans="1:19">
      <c r="A127" s="207"/>
      <c r="B127" s="123" t="s">
        <v>23</v>
      </c>
      <c r="C127" s="116">
        <f>HLOOKUP(C$117,$86:$102,11,FALSE)</f>
        <v>3.483536</v>
      </c>
      <c r="D127" s="116">
        <f t="shared" ref="D127:O127" si="16">HLOOKUP(D$117,$86:$102,11,FALSE)</f>
        <v>3.2674569999999998</v>
      </c>
      <c r="E127" s="116">
        <f t="shared" si="16"/>
        <v>2.9153180000000001</v>
      </c>
      <c r="F127" s="116">
        <f t="shared" si="16"/>
        <v>2.2857509999999999</v>
      </c>
      <c r="G127" s="116">
        <f t="shared" si="16"/>
        <v>2.3003499999999999</v>
      </c>
      <c r="H127" s="116">
        <f t="shared" si="16"/>
        <v>1.194464</v>
      </c>
      <c r="I127" s="116">
        <f t="shared" si="16"/>
        <v>2.848757</v>
      </c>
      <c r="J127" s="116">
        <f t="shared" si="16"/>
        <v>2.8740579999999998</v>
      </c>
      <c r="K127" s="116">
        <f t="shared" si="16"/>
        <v>2.8082799999999999</v>
      </c>
      <c r="L127" s="116">
        <f t="shared" si="16"/>
        <v>3.3302809999999998</v>
      </c>
      <c r="M127" s="116">
        <f t="shared" si="16"/>
        <v>3.7760859999999998</v>
      </c>
      <c r="N127" s="116">
        <f t="shared" si="16"/>
        <v>4.0380969999999996</v>
      </c>
      <c r="O127" s="134">
        <f t="shared" si="16"/>
        <v>3.7449910000000002</v>
      </c>
    </row>
    <row r="128" spans="1:19">
      <c r="A128" s="207"/>
      <c r="B128" s="122" t="s">
        <v>55</v>
      </c>
      <c r="C128" s="116">
        <f t="shared" ref="C128:O128" si="17">HLOOKUP(C$117,$86:$102,13,FALSE)</f>
        <v>6.8600294999999996</v>
      </c>
      <c r="D128" s="116">
        <f t="shared" si="17"/>
        <v>11.083662500000001</v>
      </c>
      <c r="E128" s="116">
        <f t="shared" si="17"/>
        <v>13.4563305</v>
      </c>
      <c r="F128" s="116">
        <f t="shared" si="17"/>
        <v>13.087209</v>
      </c>
      <c r="G128" s="116">
        <f t="shared" si="17"/>
        <v>13.341946</v>
      </c>
      <c r="H128" s="116">
        <f t="shared" si="17"/>
        <v>14.4424645</v>
      </c>
      <c r="I128" s="116">
        <f t="shared" si="17"/>
        <v>12.562136000000001</v>
      </c>
      <c r="J128" s="116">
        <f t="shared" si="17"/>
        <v>13.691565000000001</v>
      </c>
      <c r="K128" s="116">
        <f t="shared" si="17"/>
        <v>14.954476</v>
      </c>
      <c r="L128" s="116">
        <f t="shared" si="17"/>
        <v>13.874806</v>
      </c>
      <c r="M128" s="116">
        <f t="shared" si="17"/>
        <v>8.5480964999999998</v>
      </c>
      <c r="N128" s="116">
        <f t="shared" si="17"/>
        <v>9.2619229999999995</v>
      </c>
      <c r="O128" s="134">
        <f t="shared" si="17"/>
        <v>6.0955329999999996</v>
      </c>
    </row>
    <row r="129" spans="1:15">
      <c r="A129" s="207"/>
      <c r="B129" s="122" t="s">
        <v>54</v>
      </c>
      <c r="C129" s="116">
        <f>HLOOKUP(C$117,$86:$102,12,FALSE)</f>
        <v>6.8600294999999996</v>
      </c>
      <c r="D129" s="116">
        <f t="shared" ref="D129:O129" si="18">HLOOKUP(D$117,$86:$102,12,FALSE)</f>
        <v>11.083662500000001</v>
      </c>
      <c r="E129" s="116">
        <f t="shared" si="18"/>
        <v>13.4563305</v>
      </c>
      <c r="F129" s="116">
        <f t="shared" si="18"/>
        <v>13.087209</v>
      </c>
      <c r="G129" s="116">
        <f t="shared" si="18"/>
        <v>13.341946</v>
      </c>
      <c r="H129" s="116">
        <f t="shared" si="18"/>
        <v>14.4424645</v>
      </c>
      <c r="I129" s="116">
        <f t="shared" si="18"/>
        <v>12.562136000000001</v>
      </c>
      <c r="J129" s="116">
        <f t="shared" si="18"/>
        <v>13.691565000000001</v>
      </c>
      <c r="K129" s="116">
        <f t="shared" si="18"/>
        <v>14.954476</v>
      </c>
      <c r="L129" s="116">
        <f t="shared" si="18"/>
        <v>13.874806</v>
      </c>
      <c r="M129" s="116">
        <f t="shared" si="18"/>
        <v>8.5480964999999998</v>
      </c>
      <c r="N129" s="116">
        <f t="shared" si="18"/>
        <v>9.2619229999999995</v>
      </c>
      <c r="O129" s="134">
        <f t="shared" si="18"/>
        <v>6.0955329999999996</v>
      </c>
    </row>
    <row r="130" spans="1:15">
      <c r="A130" s="207"/>
      <c r="B130" s="124" t="s">
        <v>2</v>
      </c>
      <c r="C130" s="125">
        <f>HLOOKUP(C$117,$86:$102,14,FALSE)</f>
        <v>296.12078400000001</v>
      </c>
      <c r="D130" s="125">
        <f t="shared" ref="D130:O130" si="19">HLOOKUP(D$117,$86:$102,14,FALSE)</f>
        <v>314.48156299999999</v>
      </c>
      <c r="E130" s="125">
        <f t="shared" si="19"/>
        <v>321.96961700000003</v>
      </c>
      <c r="F130" s="125">
        <f t="shared" si="19"/>
        <v>333.03428300000002</v>
      </c>
      <c r="G130" s="125">
        <f t="shared" si="19"/>
        <v>380.044175</v>
      </c>
      <c r="H130" s="125">
        <f t="shared" si="19"/>
        <v>518.27746500000001</v>
      </c>
      <c r="I130" s="125">
        <f t="shared" si="19"/>
        <v>519.32913299999996</v>
      </c>
      <c r="J130" s="125">
        <f t="shared" si="19"/>
        <v>419.42357099999998</v>
      </c>
      <c r="K130" s="125">
        <f t="shared" si="19"/>
        <v>352.67263600000001</v>
      </c>
      <c r="L130" s="125">
        <f t="shared" si="19"/>
        <v>321.24892599999998</v>
      </c>
      <c r="M130" s="125">
        <f t="shared" si="19"/>
        <v>302.11990500000002</v>
      </c>
      <c r="N130" s="125">
        <f t="shared" si="19"/>
        <v>320.30481300000002</v>
      </c>
      <c r="O130" s="135">
        <f t="shared" si="19"/>
        <v>287.42384399999997</v>
      </c>
    </row>
    <row r="131" spans="1:15">
      <c r="A131" s="207"/>
      <c r="B131" s="122" t="s">
        <v>21</v>
      </c>
      <c r="C131" s="126">
        <f>HLOOKUP(C$117,$86:$102,15,FALSE)</f>
        <v>119.223619</v>
      </c>
      <c r="D131" s="126">
        <f t="shared" ref="D131:O131" si="20">HLOOKUP(D$117,$86:$102,15,FALSE)</f>
        <v>122.32533599999999</v>
      </c>
      <c r="E131" s="126">
        <f t="shared" si="20"/>
        <v>124.430774</v>
      </c>
      <c r="F131" s="126">
        <f t="shared" si="20"/>
        <v>143.16130000000001</v>
      </c>
      <c r="G131" s="126">
        <f t="shared" si="20"/>
        <v>159.634671</v>
      </c>
      <c r="H131" s="126">
        <f t="shared" si="20"/>
        <v>201.16611399999999</v>
      </c>
      <c r="I131" s="126">
        <f t="shared" si="20"/>
        <v>185.76976199999999</v>
      </c>
      <c r="J131" s="126">
        <f t="shared" si="20"/>
        <v>153.19726600000001</v>
      </c>
      <c r="K131" s="126">
        <f t="shared" si="20"/>
        <v>137.66557</v>
      </c>
      <c r="L131" s="126">
        <f t="shared" si="20"/>
        <v>91.396833999999998</v>
      </c>
      <c r="M131" s="126">
        <f t="shared" si="20"/>
        <v>119.614278</v>
      </c>
      <c r="N131" s="126">
        <f t="shared" si="20"/>
        <v>136.155901</v>
      </c>
      <c r="O131" s="126">
        <f t="shared" si="20"/>
        <v>115.92849699999999</v>
      </c>
    </row>
    <row r="132" spans="1:15">
      <c r="A132" s="207"/>
      <c r="B132" s="127" t="s">
        <v>1</v>
      </c>
      <c r="C132" s="128">
        <f>HLOOKUP(C$117,$86:$102,16,FALSE)</f>
        <v>415.344403</v>
      </c>
      <c r="D132" s="128">
        <f t="shared" ref="D132:O132" si="21">HLOOKUP(D$117,$86:$102,16,FALSE)</f>
        <v>436.80689899999999</v>
      </c>
      <c r="E132" s="128">
        <f t="shared" si="21"/>
        <v>446.40039100000001</v>
      </c>
      <c r="F132" s="128">
        <f t="shared" si="21"/>
        <v>476.195583</v>
      </c>
      <c r="G132" s="128">
        <f t="shared" si="21"/>
        <v>539.67884600000002</v>
      </c>
      <c r="H132" s="128">
        <f t="shared" si="21"/>
        <v>719.443579</v>
      </c>
      <c r="I132" s="128">
        <f t="shared" si="21"/>
        <v>705.09889499999997</v>
      </c>
      <c r="J132" s="128">
        <f t="shared" si="21"/>
        <v>572.62083700000005</v>
      </c>
      <c r="K132" s="128">
        <f t="shared" si="21"/>
        <v>490.33820600000001</v>
      </c>
      <c r="L132" s="128">
        <f t="shared" si="21"/>
        <v>412.64576</v>
      </c>
      <c r="M132" s="128">
        <f t="shared" si="21"/>
        <v>421.73418299999997</v>
      </c>
      <c r="N132" s="128">
        <f t="shared" si="21"/>
        <v>456.460714</v>
      </c>
      <c r="O132" s="128">
        <f t="shared" si="21"/>
        <v>403.35234100000002</v>
      </c>
    </row>
    <row r="133" spans="1:15" ht="14.25">
      <c r="A133" s="208"/>
      <c r="B133" s="137" t="s">
        <v>75</v>
      </c>
      <c r="C133" s="138">
        <f>C120+C121+C123</f>
        <v>49.177787000000002</v>
      </c>
      <c r="D133" s="138">
        <f>D120+D121+D123</f>
        <v>51.184275999999997</v>
      </c>
      <c r="E133" s="138">
        <f t="shared" ref="E133:O133" si="22">E120+E121+E123</f>
        <v>60.374122999999997</v>
      </c>
      <c r="F133" s="138">
        <f t="shared" si="22"/>
        <v>65.895672000000005</v>
      </c>
      <c r="G133" s="138">
        <f t="shared" si="22"/>
        <v>89.729967000000002</v>
      </c>
      <c r="H133" s="138">
        <f t="shared" si="22"/>
        <v>140.971656</v>
      </c>
      <c r="I133" s="138">
        <f t="shared" si="22"/>
        <v>139.42335</v>
      </c>
      <c r="J133" s="138">
        <f t="shared" si="22"/>
        <v>100.854845</v>
      </c>
      <c r="K133" s="138">
        <f t="shared" si="22"/>
        <v>70.492642000000004</v>
      </c>
      <c r="L133" s="138">
        <f t="shared" si="22"/>
        <v>55.934950000000001</v>
      </c>
      <c r="M133" s="138">
        <f t="shared" si="22"/>
        <v>39.780760000000001</v>
      </c>
      <c r="N133" s="138">
        <f t="shared" si="22"/>
        <v>46.988411999999997</v>
      </c>
      <c r="O133" s="138">
        <f t="shared" si="22"/>
        <v>37.597881999999998</v>
      </c>
    </row>
    <row r="134" spans="1:15">
      <c r="A134" s="206" t="s">
        <v>77</v>
      </c>
      <c r="B134" s="139" t="s">
        <v>73</v>
      </c>
      <c r="C134" s="120" t="str">
        <f>TEXT(EDATE($A$2,-12),"mmm")&amp;".-"&amp;TEXT(EDATE($A$2,-12),"aa")</f>
        <v>feb.-19</v>
      </c>
      <c r="D134" s="120" t="str">
        <f>TEXT(EDATE($A$2,-11),"mmm")&amp;".-"&amp;TEXT(EDATE($A$2,-11),"aa")</f>
        <v>mar.-19</v>
      </c>
      <c r="E134" s="120" t="str">
        <f>TEXT(EDATE($A$2,-10),"mmm")&amp;".-"&amp;TEXT(EDATE($A$2,-10),"aa")</f>
        <v>abr.-19</v>
      </c>
      <c r="F134" s="120" t="str">
        <f>TEXT(EDATE($A$2,-9),"mmm")&amp;".-"&amp;TEXT(EDATE($A$2,-9),"aa")</f>
        <v>may.-19</v>
      </c>
      <c r="G134" s="120" t="str">
        <f>TEXT(EDATE($A$2,-8),"mmm")&amp;".-"&amp;TEXT(EDATE($A$2,-8),"aa")</f>
        <v>jun.-19</v>
      </c>
      <c r="H134" s="120" t="str">
        <f>TEXT(EDATE($A$2,-7),"mmm")&amp;".-"&amp;TEXT(EDATE($A$2,-7),"aa")</f>
        <v>jul.-19</v>
      </c>
      <c r="I134" s="120" t="str">
        <f>TEXT(EDATE($A$2,-6),"mmm")&amp;".-"&amp;TEXT(EDATE($A$2,-6),"aa")</f>
        <v>ago.-19</v>
      </c>
      <c r="J134" s="120" t="str">
        <f>TEXT(EDATE($A$2,-5),"mmm")&amp;".-"&amp;TEXT(EDATE($A$2,-5),"aa")</f>
        <v>sep.-19</v>
      </c>
      <c r="K134" s="120" t="str">
        <f>TEXT(EDATE($A$2,-4),"mmm")&amp;".-"&amp;TEXT(EDATE($A$2,-4),"aa")</f>
        <v>oct.-19</v>
      </c>
      <c r="L134" s="120" t="str">
        <f>TEXT(EDATE($A$2,-3),"mmm")&amp;".-"&amp;TEXT(EDATE($A$2,-3),"aa")</f>
        <v>nov.-19</v>
      </c>
      <c r="M134" s="120" t="str">
        <f>TEXT(EDATE($A$2,-2),"mmm")&amp;".-"&amp;TEXT(EDATE($A$2,-2),"aa")</f>
        <v>dic.-19</v>
      </c>
      <c r="N134" s="120" t="str">
        <f>TEXT(EDATE($A$2,-1),"mmm")&amp;".-"&amp;TEXT(EDATE($A$2,-1),"aa")</f>
        <v>ene.-20</v>
      </c>
      <c r="O134" s="121" t="str">
        <f>TEXT($A$2,"mmm")&amp;".-"&amp;TEXT($A$2,"aa")</f>
        <v>feb.-20</v>
      </c>
    </row>
    <row r="135" spans="1:15" ht="15" customHeight="1">
      <c r="A135" s="207"/>
      <c r="B135" s="122" t="s">
        <v>12</v>
      </c>
      <c r="C135" s="116">
        <f>HLOOKUP(C$117,$86:$115,17,FALSE)</f>
        <v>0.26504899999999998</v>
      </c>
      <c r="D135" s="116">
        <f t="shared" ref="D135:O135" si="23">HLOOKUP(D$117,$86:$115,17,FALSE)</f>
        <v>0.298315</v>
      </c>
      <c r="E135" s="116">
        <f t="shared" si="23"/>
        <v>0.29675299999999999</v>
      </c>
      <c r="F135" s="116">
        <f t="shared" si="23"/>
        <v>0.30594199999999999</v>
      </c>
      <c r="G135" s="116">
        <f t="shared" si="23"/>
        <v>0.27668100000000001</v>
      </c>
      <c r="H135" s="116">
        <f t="shared" si="23"/>
        <v>0.29841899999999999</v>
      </c>
      <c r="I135" s="116">
        <f t="shared" si="23"/>
        <v>0.29929</v>
      </c>
      <c r="J135" s="116">
        <f t="shared" si="23"/>
        <v>0.28253899999999998</v>
      </c>
      <c r="K135" s="116">
        <f t="shared" si="23"/>
        <v>0.297543</v>
      </c>
      <c r="L135" s="116">
        <f t="shared" si="23"/>
        <v>0.29656300000000002</v>
      </c>
      <c r="M135" s="116">
        <f t="shared" si="23"/>
        <v>0.29923499999999997</v>
      </c>
      <c r="N135" s="116">
        <f t="shared" si="23"/>
        <v>0.30431399999999997</v>
      </c>
      <c r="O135" s="161">
        <f t="shared" si="23"/>
        <v>0.26768999999999998</v>
      </c>
    </row>
    <row r="136" spans="1:15">
      <c r="A136" s="207"/>
      <c r="B136" s="122" t="s">
        <v>10</v>
      </c>
      <c r="C136" s="116">
        <f>HLOOKUP(C$117,$86:$115,18,FALSE)</f>
        <v>152.846857</v>
      </c>
      <c r="D136" s="116">
        <f t="shared" ref="D136:O136" si="24">HLOOKUP(D$117,$86:$115,18,FALSE)</f>
        <v>161.02722900000001</v>
      </c>
      <c r="E136" s="116">
        <f t="shared" si="24"/>
        <v>157.061271</v>
      </c>
      <c r="F136" s="116">
        <f t="shared" si="24"/>
        <v>150.35795200000001</v>
      </c>
      <c r="G136" s="116">
        <f t="shared" si="24"/>
        <v>167.34978899999999</v>
      </c>
      <c r="H136" s="116">
        <f t="shared" si="24"/>
        <v>155.88908699999999</v>
      </c>
      <c r="I136" s="116">
        <f t="shared" si="24"/>
        <v>173.50264200000001</v>
      </c>
      <c r="J136" s="116">
        <f t="shared" si="24"/>
        <v>167.04003</v>
      </c>
      <c r="K136" s="116">
        <f t="shared" si="24"/>
        <v>168.13456400000001</v>
      </c>
      <c r="L136" s="116">
        <f t="shared" si="24"/>
        <v>151.11739399999999</v>
      </c>
      <c r="M136" s="116">
        <f t="shared" si="24"/>
        <v>171.354029</v>
      </c>
      <c r="N136" s="116">
        <f t="shared" si="24"/>
        <v>175.82359</v>
      </c>
      <c r="O136" s="134">
        <f t="shared" si="24"/>
        <v>160.705896</v>
      </c>
    </row>
    <row r="137" spans="1:15">
      <c r="A137" s="207"/>
      <c r="B137" s="122" t="s">
        <v>9</v>
      </c>
      <c r="C137" s="116">
        <f>HLOOKUP(C$117,$86:$115,19,FALSE)</f>
        <v>18.942269</v>
      </c>
      <c r="D137" s="116">
        <f t="shared" ref="D137:O137" si="25">HLOOKUP(D$117,$86:$115,19,FALSE)</f>
        <v>19.360040999999999</v>
      </c>
      <c r="E137" s="116">
        <f t="shared" si="25"/>
        <v>20.277031000000001</v>
      </c>
      <c r="F137" s="116">
        <f t="shared" si="25"/>
        <v>23.358886999999999</v>
      </c>
      <c r="G137" s="116">
        <f t="shared" si="25"/>
        <v>14.744834000000001</v>
      </c>
      <c r="H137" s="116">
        <f t="shared" si="25"/>
        <v>16.517122000000001</v>
      </c>
      <c r="I137" s="116">
        <f t="shared" si="25"/>
        <v>17.472964999999999</v>
      </c>
      <c r="J137" s="116">
        <f t="shared" si="25"/>
        <v>24.793182999999999</v>
      </c>
      <c r="K137" s="116">
        <f t="shared" si="25"/>
        <v>16.664884000000001</v>
      </c>
      <c r="L137" s="116">
        <f t="shared" si="25"/>
        <v>18.703745999999999</v>
      </c>
      <c r="M137" s="116">
        <f t="shared" si="25"/>
        <v>16.706254000000001</v>
      </c>
      <c r="N137" s="116">
        <f t="shared" si="25"/>
        <v>17.105090000000001</v>
      </c>
      <c r="O137" s="134">
        <f t="shared" si="25"/>
        <v>21.870190999999998</v>
      </c>
    </row>
    <row r="138" spans="1:15">
      <c r="A138" s="207"/>
      <c r="B138" s="122" t="s">
        <v>8</v>
      </c>
      <c r="C138" s="116">
        <f>HLOOKUP(C$117,$86:$115,20,FALSE)</f>
        <v>212.98181099999999</v>
      </c>
      <c r="D138" s="116">
        <f t="shared" ref="D138:O138" si="26">HLOOKUP(D$117,$86:$115,20,FALSE)</f>
        <v>209.06030999999999</v>
      </c>
      <c r="E138" s="116">
        <f t="shared" si="26"/>
        <v>199.95457400000001</v>
      </c>
      <c r="F138" s="116">
        <f t="shared" si="26"/>
        <v>201.71434600000001</v>
      </c>
      <c r="G138" s="116">
        <f t="shared" si="26"/>
        <v>209.91055800000001</v>
      </c>
      <c r="H138" s="116">
        <f t="shared" si="26"/>
        <v>137.955038</v>
      </c>
      <c r="I138" s="116">
        <f t="shared" si="26"/>
        <v>116.694829</v>
      </c>
      <c r="J138" s="116">
        <f t="shared" si="26"/>
        <v>157.50902600000001</v>
      </c>
      <c r="K138" s="116">
        <f t="shared" si="26"/>
        <v>170.575942</v>
      </c>
      <c r="L138" s="116">
        <f t="shared" si="26"/>
        <v>184.81552300000001</v>
      </c>
      <c r="M138" s="116">
        <f t="shared" si="26"/>
        <v>169.18809899999999</v>
      </c>
      <c r="N138" s="116">
        <f t="shared" si="26"/>
        <v>146.91851800000001</v>
      </c>
      <c r="O138" s="134">
        <f t="shared" si="26"/>
        <v>128.34914699999999</v>
      </c>
    </row>
    <row r="139" spans="1:15" ht="14.25">
      <c r="A139" s="207"/>
      <c r="B139" s="122" t="s">
        <v>74</v>
      </c>
      <c r="C139" s="116">
        <f>HLOOKUP(C$117,$86:$115,21,FALSE)</f>
        <v>221.964823</v>
      </c>
      <c r="D139" s="116">
        <f t="shared" ref="D139:O139" si="27">HLOOKUP(D$117,$86:$115,21,FALSE)</f>
        <v>224.52281400000001</v>
      </c>
      <c r="E139" s="116">
        <f t="shared" si="27"/>
        <v>229.693647</v>
      </c>
      <c r="F139" s="116">
        <f t="shared" si="27"/>
        <v>220.83250000000001</v>
      </c>
      <c r="G139" s="116">
        <f t="shared" si="27"/>
        <v>222.51747599999999</v>
      </c>
      <c r="H139" s="116">
        <f t="shared" si="27"/>
        <v>262.048877</v>
      </c>
      <c r="I139" s="116">
        <f t="shared" si="27"/>
        <v>290.23648900000001</v>
      </c>
      <c r="J139" s="116">
        <f t="shared" si="27"/>
        <v>276.37973799999997</v>
      </c>
      <c r="K139" s="116">
        <f t="shared" si="27"/>
        <v>305.83225499999998</v>
      </c>
      <c r="L139" s="116">
        <f t="shared" si="27"/>
        <v>233.08126999999999</v>
      </c>
      <c r="M139" s="116">
        <f t="shared" si="27"/>
        <v>301.90038800000002</v>
      </c>
      <c r="N139" s="116">
        <f t="shared" si="27"/>
        <v>336.41169600000001</v>
      </c>
      <c r="O139" s="134">
        <f t="shared" si="27"/>
        <v>279.07848200000001</v>
      </c>
    </row>
    <row r="140" spans="1:15">
      <c r="A140" s="207"/>
      <c r="B140" s="122" t="s">
        <v>6</v>
      </c>
      <c r="C140" s="116">
        <f>HLOOKUP(C$117,$86:$115,22,FALSE)</f>
        <v>0.97254499999999999</v>
      </c>
      <c r="D140" s="116">
        <f t="shared" ref="D140:O140" si="28">HLOOKUP(D$117,$86:$115,22,FALSE)</f>
        <v>1.955158</v>
      </c>
      <c r="E140" s="116">
        <f t="shared" si="28"/>
        <v>1.5483690000000001</v>
      </c>
      <c r="F140" s="116">
        <f t="shared" si="28"/>
        <v>2.031012</v>
      </c>
      <c r="G140" s="116">
        <f t="shared" si="28"/>
        <v>1.3721410000000001</v>
      </c>
      <c r="H140" s="116">
        <f t="shared" si="28"/>
        <v>3.727338</v>
      </c>
      <c r="I140" s="116">
        <f t="shared" si="28"/>
        <v>3.4751189999999998</v>
      </c>
      <c r="J140" s="116">
        <f t="shared" si="28"/>
        <v>2.2183510000000002</v>
      </c>
      <c r="K140" s="116">
        <f t="shared" si="28"/>
        <v>1.582837</v>
      </c>
      <c r="L140" s="116">
        <f t="shared" si="28"/>
        <v>2.0965220000000002</v>
      </c>
      <c r="M140" s="116">
        <f t="shared" si="28"/>
        <v>1.15967</v>
      </c>
      <c r="N140" s="116">
        <f t="shared" si="28"/>
        <v>0.82455000000000001</v>
      </c>
      <c r="O140" s="134">
        <f t="shared" si="28"/>
        <v>1.3385149999999999</v>
      </c>
    </row>
    <row r="141" spans="1:15">
      <c r="A141" s="207"/>
      <c r="B141" s="122" t="s">
        <v>5</v>
      </c>
      <c r="C141" s="116">
        <f>HLOOKUP(C$117,$86:$115,23,FALSE)</f>
        <v>48.413316999999999</v>
      </c>
      <c r="D141" s="116">
        <f t="shared" ref="D141:O141" si="29">HLOOKUP(D$117,$86:$115,23,FALSE)</f>
        <v>96.846602000000004</v>
      </c>
      <c r="E141" s="116">
        <f t="shared" si="29"/>
        <v>67.107826000000003</v>
      </c>
      <c r="F141" s="116">
        <f t="shared" si="29"/>
        <v>95.422933999999998</v>
      </c>
      <c r="G141" s="116">
        <f t="shared" si="29"/>
        <v>74.330708999999999</v>
      </c>
      <c r="H141" s="116">
        <f t="shared" si="29"/>
        <v>158.183166</v>
      </c>
      <c r="I141" s="116">
        <f t="shared" si="29"/>
        <v>158.502759</v>
      </c>
      <c r="J141" s="116">
        <f t="shared" si="29"/>
        <v>100.47458899999999</v>
      </c>
      <c r="K141" s="116">
        <f t="shared" si="29"/>
        <v>89.262077000000005</v>
      </c>
      <c r="L141" s="116">
        <f t="shared" si="29"/>
        <v>125.115903</v>
      </c>
      <c r="M141" s="116">
        <f t="shared" si="29"/>
        <v>68.901973999999996</v>
      </c>
      <c r="N141" s="116">
        <f t="shared" si="29"/>
        <v>59.057060999999997</v>
      </c>
      <c r="O141" s="134">
        <f t="shared" si="29"/>
        <v>93.063980000000001</v>
      </c>
    </row>
    <row r="142" spans="1:15">
      <c r="A142" s="207"/>
      <c r="B142" s="122" t="s">
        <v>4</v>
      </c>
      <c r="C142" s="116">
        <f>HLOOKUP(C$117,$86:$115,24,FALSE)</f>
        <v>21.362932000000001</v>
      </c>
      <c r="D142" s="116">
        <f t="shared" ref="D142:O142" si="30">HLOOKUP(D$117,$86:$115,24,FALSE)</f>
        <v>24.910511</v>
      </c>
      <c r="E142" s="116">
        <f t="shared" si="30"/>
        <v>24.555713999999998</v>
      </c>
      <c r="F142" s="116">
        <f t="shared" si="30"/>
        <v>29.454840999999998</v>
      </c>
      <c r="G142" s="116">
        <f t="shared" si="30"/>
        <v>23.327897</v>
      </c>
      <c r="H142" s="116">
        <f t="shared" si="30"/>
        <v>29.517797000000002</v>
      </c>
      <c r="I142" s="116">
        <f t="shared" si="30"/>
        <v>27.648233000000001</v>
      </c>
      <c r="J142" s="116">
        <f t="shared" si="30"/>
        <v>23.467742000000001</v>
      </c>
      <c r="K142" s="116">
        <f t="shared" si="30"/>
        <v>20.507878000000002</v>
      </c>
      <c r="L142" s="116">
        <f t="shared" si="30"/>
        <v>18.206491</v>
      </c>
      <c r="M142" s="116">
        <f t="shared" si="30"/>
        <v>17.045435000000001</v>
      </c>
      <c r="N142" s="116">
        <f t="shared" si="30"/>
        <v>18.372709</v>
      </c>
      <c r="O142" s="134">
        <f t="shared" si="30"/>
        <v>20.147513</v>
      </c>
    </row>
    <row r="143" spans="1:15">
      <c r="A143" s="207"/>
      <c r="B143" s="122" t="s">
        <v>22</v>
      </c>
      <c r="C143" s="116">
        <f>HLOOKUP(C$117,$86:$115,25,FALSE)</f>
        <v>0.82279800000000003</v>
      </c>
      <c r="D143" s="116">
        <f t="shared" ref="D143:O143" si="31">HLOOKUP(D$117,$86:$115,25,FALSE)</f>
        <v>0.90107099999999996</v>
      </c>
      <c r="E143" s="116">
        <f t="shared" si="31"/>
        <v>0.89633300000000005</v>
      </c>
      <c r="F143" s="116">
        <f t="shared" si="31"/>
        <v>0.94455500000000003</v>
      </c>
      <c r="G143" s="116">
        <f t="shared" si="31"/>
        <v>0.82330000000000003</v>
      </c>
      <c r="H143" s="116">
        <f t="shared" si="31"/>
        <v>0.917458</v>
      </c>
      <c r="I143" s="116">
        <f t="shared" si="31"/>
        <v>0.71267199999999997</v>
      </c>
      <c r="J143" s="116">
        <f t="shared" si="31"/>
        <v>0.43661899999999998</v>
      </c>
      <c r="K143" s="116">
        <f t="shared" si="31"/>
        <v>0.57729399999999997</v>
      </c>
      <c r="L143" s="116">
        <f t="shared" si="31"/>
        <v>0.87303399999999998</v>
      </c>
      <c r="M143" s="116">
        <f t="shared" si="31"/>
        <v>0.90510599999999997</v>
      </c>
      <c r="N143" s="116">
        <f t="shared" si="31"/>
        <v>0.87627999999999995</v>
      </c>
      <c r="O143" s="134">
        <f t="shared" si="31"/>
        <v>0.84570599999999996</v>
      </c>
    </row>
    <row r="144" spans="1:15">
      <c r="A144" s="207"/>
      <c r="B144" s="127" t="s">
        <v>1</v>
      </c>
      <c r="C144" s="128">
        <f>HLOOKUP(C$117,$86:$115,26,FALSE)</f>
        <v>678.57240100000001</v>
      </c>
      <c r="D144" s="128">
        <f t="shared" ref="D144:O144" si="32">HLOOKUP(D$117,$86:$115,26,FALSE)</f>
        <v>738.88205100000005</v>
      </c>
      <c r="E144" s="128">
        <f t="shared" si="32"/>
        <v>701.39151800000002</v>
      </c>
      <c r="F144" s="128">
        <f t="shared" si="32"/>
        <v>724.42296899999997</v>
      </c>
      <c r="G144" s="128">
        <f t="shared" si="32"/>
        <v>714.65338499999996</v>
      </c>
      <c r="H144" s="128">
        <f t="shared" si="32"/>
        <v>765.05430200000001</v>
      </c>
      <c r="I144" s="128">
        <f t="shared" si="32"/>
        <v>788.54499799999996</v>
      </c>
      <c r="J144" s="128">
        <f t="shared" si="32"/>
        <v>752.60181699999998</v>
      </c>
      <c r="K144" s="128">
        <f t="shared" si="32"/>
        <v>773.43527400000005</v>
      </c>
      <c r="L144" s="128">
        <f t="shared" si="32"/>
        <v>734.30644600000005</v>
      </c>
      <c r="M144" s="128">
        <f t="shared" si="32"/>
        <v>747.46019000000001</v>
      </c>
      <c r="N144" s="128">
        <f t="shared" si="32"/>
        <v>755.69380799999999</v>
      </c>
      <c r="O144" s="136">
        <f t="shared" si="32"/>
        <v>705.66711999999995</v>
      </c>
    </row>
    <row r="145" spans="1:26">
      <c r="A145" s="207"/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40"/>
    </row>
    <row r="146" spans="1:26" ht="14.25">
      <c r="A146" s="208"/>
      <c r="B146" s="137" t="s">
        <v>75</v>
      </c>
      <c r="C146" s="141">
        <f>SUM(C136:C138)</f>
        <v>384.770937</v>
      </c>
      <c r="D146" s="141">
        <f t="shared" ref="D146:O146" si="33">SUM(D136:D138)</f>
        <v>389.44758000000002</v>
      </c>
      <c r="E146" s="141">
        <f t="shared" si="33"/>
        <v>377.29287599999998</v>
      </c>
      <c r="F146" s="141">
        <f t="shared" si="33"/>
        <v>375.43118500000003</v>
      </c>
      <c r="G146" s="141">
        <f t="shared" si="33"/>
        <v>392.00518099999999</v>
      </c>
      <c r="H146" s="141">
        <f t="shared" si="33"/>
        <v>310.36124699999999</v>
      </c>
      <c r="I146" s="141">
        <f t="shared" si="33"/>
        <v>307.670436</v>
      </c>
      <c r="J146" s="141">
        <f t="shared" si="33"/>
        <v>349.34223900000001</v>
      </c>
      <c r="K146" s="141">
        <f t="shared" si="33"/>
        <v>355.37539000000004</v>
      </c>
      <c r="L146" s="141">
        <f t="shared" si="33"/>
        <v>354.636663</v>
      </c>
      <c r="M146" s="141">
        <f t="shared" si="33"/>
        <v>357.24838199999999</v>
      </c>
      <c r="N146" s="141">
        <f t="shared" si="33"/>
        <v>339.84719799999999</v>
      </c>
      <c r="O146" s="142">
        <f t="shared" si="33"/>
        <v>310.92523399999999</v>
      </c>
    </row>
    <row r="149" spans="1:26" ht="15">
      <c r="A149" s="174"/>
      <c r="B149" s="174" t="s">
        <v>68</v>
      </c>
      <c r="C149" s="205" t="s">
        <v>57</v>
      </c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74"/>
      <c r="B150" s="174" t="s">
        <v>69</v>
      </c>
      <c r="C150" s="187" t="s">
        <v>99</v>
      </c>
      <c r="D150" s="187" t="s">
        <v>100</v>
      </c>
      <c r="E150" s="187" t="s">
        <v>101</v>
      </c>
      <c r="F150" s="187" t="s">
        <v>102</v>
      </c>
      <c r="G150" s="187" t="s">
        <v>103</v>
      </c>
      <c r="H150" s="187" t="s">
        <v>104</v>
      </c>
      <c r="I150" s="187" t="s">
        <v>105</v>
      </c>
      <c r="J150" s="187" t="s">
        <v>106</v>
      </c>
      <c r="K150" s="187" t="s">
        <v>107</v>
      </c>
      <c r="L150" s="187" t="s">
        <v>108</v>
      </c>
      <c r="M150" s="187" t="s">
        <v>109</v>
      </c>
      <c r="N150" s="187" t="s">
        <v>110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74" t="s">
        <v>67</v>
      </c>
      <c r="B151" s="174" t="s">
        <v>111</v>
      </c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76" t="s">
        <v>117</v>
      </c>
      <c r="B152" s="176" t="s">
        <v>119</v>
      </c>
      <c r="C152" s="177">
        <v>-2.887E-2</v>
      </c>
      <c r="D152" s="177">
        <v>-1.2899999999999999E-3</v>
      </c>
      <c r="E152" s="177">
        <v>-2.495E-2</v>
      </c>
      <c r="F152" s="177">
        <v>-2.63E-3</v>
      </c>
      <c r="G152" s="177">
        <v>-3.7310000000000003E-2</v>
      </c>
      <c r="H152" s="177">
        <v>-3.2299999999999998E-3</v>
      </c>
      <c r="I152" s="177">
        <v>-2.6749999999999999E-2</v>
      </c>
      <c r="J152" s="177">
        <v>-7.3299999999999997E-3</v>
      </c>
      <c r="K152" s="177">
        <v>4.0299999999999997E-3</v>
      </c>
      <c r="L152" s="177">
        <v>3.47E-3</v>
      </c>
      <c r="M152" s="177">
        <v>-5.8700000000000002E-3</v>
      </c>
      <c r="N152" s="177">
        <v>6.43E-3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5" spans="1:26" ht="15">
      <c r="A155" s="174"/>
      <c r="B155" s="174" t="s">
        <v>68</v>
      </c>
      <c r="C155" s="205" t="s">
        <v>58</v>
      </c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74"/>
      <c r="B156" s="174" t="s">
        <v>69</v>
      </c>
      <c r="C156" s="187" t="s">
        <v>99</v>
      </c>
      <c r="D156" s="187" t="s">
        <v>100</v>
      </c>
      <c r="E156" s="187" t="s">
        <v>101</v>
      </c>
      <c r="F156" s="187" t="s">
        <v>102</v>
      </c>
      <c r="G156" s="187" t="s">
        <v>103</v>
      </c>
      <c r="H156" s="187" t="s">
        <v>104</v>
      </c>
      <c r="I156" s="187" t="s">
        <v>105</v>
      </c>
      <c r="J156" s="187" t="s">
        <v>106</v>
      </c>
      <c r="K156" s="187" t="s">
        <v>107</v>
      </c>
      <c r="L156" s="187" t="s">
        <v>108</v>
      </c>
      <c r="M156" s="187" t="s">
        <v>109</v>
      </c>
      <c r="N156" s="187" t="s">
        <v>110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74" t="s">
        <v>67</v>
      </c>
      <c r="B157" s="174" t="s">
        <v>111</v>
      </c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76" t="s">
        <v>117</v>
      </c>
      <c r="B158" s="176" t="s">
        <v>119</v>
      </c>
      <c r="C158" s="177">
        <v>3.993E-2</v>
      </c>
      <c r="D158" s="177">
        <v>-4.5500000000000002E-3</v>
      </c>
      <c r="E158" s="177">
        <v>-2.0600000000000002E-3</v>
      </c>
      <c r="F158" s="177">
        <v>4.6539999999999998E-2</v>
      </c>
      <c r="G158" s="177">
        <v>1.9140000000000001E-2</v>
      </c>
      <c r="H158" s="177">
        <v>-6.9100000000000003E-3</v>
      </c>
      <c r="I158" s="177">
        <v>-1.2700000000000001E-3</v>
      </c>
      <c r="J158" s="177">
        <v>2.7320000000000001E-2</v>
      </c>
      <c r="K158" s="177">
        <v>7.2700000000000004E-3</v>
      </c>
      <c r="L158" s="177">
        <v>2.5300000000000001E-3</v>
      </c>
      <c r="M158" s="177">
        <v>6.6E-4</v>
      </c>
      <c r="N158" s="177">
        <v>4.0800000000000003E-3</v>
      </c>
      <c r="O158"/>
      <c r="P158"/>
      <c r="Q158"/>
      <c r="R158"/>
      <c r="S158"/>
      <c r="T158"/>
      <c r="U158"/>
      <c r="V158"/>
      <c r="W158"/>
      <c r="X158"/>
      <c r="Y158"/>
      <c r="Z158"/>
    </row>
  </sheetData>
  <mergeCells count="15">
    <mergeCell ref="B4:AG4"/>
    <mergeCell ref="B5:I5"/>
    <mergeCell ref="J5:Q5"/>
    <mergeCell ref="R5:Y5"/>
    <mergeCell ref="Z5:AG5"/>
    <mergeCell ref="B29:C29"/>
    <mergeCell ref="C149:N149"/>
    <mergeCell ref="C155:N155"/>
    <mergeCell ref="A134:A146"/>
    <mergeCell ref="A119:A133"/>
    <mergeCell ref="B117:B118"/>
    <mergeCell ref="A102:A112"/>
    <mergeCell ref="A88:A101"/>
    <mergeCell ref="B30:C30"/>
    <mergeCell ref="C85:Q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2016-11-17T11:02:48Z</dcterms:created>
  <dcterms:modified xsi:type="dcterms:W3CDTF">2020-03-13T12:15:52Z</dcterms:modified>
</cp:coreProperties>
</file>