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FEB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1" r:id="rId5"/>
    <sheet name="SN4" sheetId="2" r:id="rId6"/>
    <sheet name="SN5" sheetId="13" r:id="rId7"/>
    <sheet name="SN6" sheetId="5" r:id="rId8"/>
    <sheet name="SN7" sheetId="7" r:id="rId9"/>
    <sheet name="Dat_01" sheetId="18" r:id="rId10"/>
    <sheet name="Data 1" sheetId="20" state="hidden" r:id="rId11"/>
  </sheets>
  <externalReferences>
    <externalReference r:id="rId12"/>
  </externalReferences>
  <definedNames>
    <definedName name="_xlnm.Print_Area">#REF!</definedName>
    <definedName name="_xlnm.Database">#REF!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>#REF!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  <definedName name="Z_22B26D9C_611A_11D3_B8AC_0008C7298EBA_.wvu.PrintArea" localSheetId="0" hidden="1">Dat_01!$A$4:$AG$24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8" l="1"/>
  <c r="B46" i="18"/>
  <c r="M19" i="1" l="1"/>
  <c r="K12" i="1" l="1"/>
  <c r="K11" i="1"/>
  <c r="G52" i="18" l="1"/>
  <c r="G61" i="18" l="1"/>
  <c r="M12" i="1" l="1"/>
  <c r="G60" i="18" l="1"/>
  <c r="G59" i="18"/>
  <c r="G58" i="18"/>
  <c r="B62" i="18"/>
  <c r="B61" i="18"/>
  <c r="B60" i="18"/>
  <c r="B59" i="18"/>
  <c r="B58" i="18"/>
  <c r="B57" i="18"/>
  <c r="I20" i="1" l="1"/>
  <c r="I9" i="1"/>
  <c r="B74" i="18" l="1"/>
  <c r="B75" i="18"/>
  <c r="B69" i="18"/>
  <c r="B70" i="18"/>
  <c r="B71" i="18"/>
  <c r="B72" i="18"/>
  <c r="B73" i="18"/>
  <c r="B76" i="18"/>
  <c r="B77" i="18"/>
  <c r="B78" i="18"/>
  <c r="B79" i="18"/>
  <c r="B68" i="18" l="1"/>
  <c r="B80" i="18" s="1"/>
  <c r="I15" i="1"/>
  <c r="H15" i="1"/>
  <c r="C63" i="20" l="1"/>
  <c r="C62" i="20"/>
  <c r="C61" i="20"/>
  <c r="C60" i="20"/>
  <c r="G57" i="18"/>
  <c r="C59" i="20" s="1"/>
  <c r="G56" i="18"/>
  <c r="C58" i="20" s="1"/>
  <c r="G55" i="18"/>
  <c r="C57" i="20" s="1"/>
  <c r="G54" i="18"/>
  <c r="C56" i="20" s="1"/>
  <c r="G53" i="18"/>
  <c r="C55" i="20" s="1"/>
  <c r="C54" i="20"/>
  <c r="C14" i="20"/>
  <c r="C13" i="20"/>
  <c r="C12" i="20"/>
  <c r="C11" i="20"/>
  <c r="C10" i="20"/>
  <c r="C9" i="20"/>
  <c r="C8" i="20"/>
  <c r="B55" i="18"/>
  <c r="C7" i="20" s="1"/>
  <c r="B54" i="18"/>
  <c r="C6" i="20" s="1"/>
  <c r="B53" i="18"/>
  <c r="C5" i="20" s="1"/>
  <c r="B52" i="18"/>
  <c r="C4" i="20" s="1"/>
  <c r="C64" i="20" l="1"/>
  <c r="D63" i="20" s="1"/>
  <c r="C15" i="20"/>
  <c r="D13" i="20" s="1"/>
  <c r="G77" i="18"/>
  <c r="G76" i="18"/>
  <c r="G75" i="18"/>
  <c r="G72" i="18"/>
  <c r="G73" i="18"/>
  <c r="G70" i="18"/>
  <c r="G69" i="18"/>
  <c r="G68" i="18"/>
  <c r="D55" i="20" l="1"/>
  <c r="D59" i="20"/>
  <c r="D61" i="20"/>
  <c r="D58" i="20"/>
  <c r="D12" i="20"/>
  <c r="D10" i="20"/>
  <c r="D7" i="20"/>
  <c r="D8" i="20"/>
  <c r="D62" i="20"/>
  <c r="D9" i="20"/>
  <c r="D6" i="20"/>
  <c r="D5" i="20"/>
  <c r="D54" i="20"/>
  <c r="D60" i="20"/>
  <c r="D11" i="20"/>
  <c r="D56" i="20"/>
  <c r="D14" i="20"/>
  <c r="G15" i="1"/>
  <c r="F15" i="1"/>
  <c r="F16" i="1"/>
  <c r="D57" i="20" l="1"/>
  <c r="D64" i="20" s="1"/>
  <c r="D4" i="20"/>
  <c r="D15" i="20" s="1"/>
  <c r="H9" i="1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36" i="18" l="1"/>
  <c r="O86" i="20" s="1"/>
  <c r="O140" i="18"/>
  <c r="O90" i="20" s="1"/>
  <c r="O135" i="18"/>
  <c r="O85" i="20" s="1"/>
  <c r="O139" i="18"/>
  <c r="O89" i="20" s="1"/>
  <c r="O143" i="18"/>
  <c r="O93" i="20" s="1"/>
  <c r="O138" i="18"/>
  <c r="O88" i="20" s="1"/>
  <c r="O137" i="18"/>
  <c r="O87" i="20" s="1"/>
  <c r="O141" i="18"/>
  <c r="O91" i="20" s="1"/>
  <c r="O142" i="18"/>
  <c r="O92" i="20" s="1"/>
  <c r="O144" i="18"/>
  <c r="N117" i="18"/>
  <c r="O119" i="18"/>
  <c r="O36" i="20" s="1"/>
  <c r="O120" i="18"/>
  <c r="O37" i="20" s="1"/>
  <c r="O121" i="18"/>
  <c r="O38" i="20" s="1"/>
  <c r="O122" i="18"/>
  <c r="O39" i="20" s="1"/>
  <c r="O123" i="18"/>
  <c r="O40" i="20" s="1"/>
  <c r="O124" i="18"/>
  <c r="O41" i="20" s="1"/>
  <c r="O125" i="18"/>
  <c r="O42" i="20" s="1"/>
  <c r="O126" i="18"/>
  <c r="O43" i="20" s="1"/>
  <c r="O127" i="18"/>
  <c r="O44" i="20" s="1"/>
  <c r="O128" i="18"/>
  <c r="O45" i="20" s="1"/>
  <c r="O129" i="18"/>
  <c r="O46" i="20" s="1"/>
  <c r="O130" i="18"/>
  <c r="O131" i="18"/>
  <c r="O48" i="20" s="1"/>
  <c r="O132" i="18"/>
  <c r="O47" i="20" l="1"/>
  <c r="O49" i="20" s="1"/>
  <c r="C30" i="20" s="1"/>
  <c r="O95" i="20"/>
  <c r="C75" i="20" s="1"/>
  <c r="O50" i="20"/>
  <c r="O97" i="20"/>
  <c r="N135" i="18"/>
  <c r="N85" i="20" s="1"/>
  <c r="N136" i="18"/>
  <c r="N86" i="20" s="1"/>
  <c r="N137" i="18"/>
  <c r="N87" i="20" s="1"/>
  <c r="N138" i="18"/>
  <c r="N88" i="20" s="1"/>
  <c r="N139" i="18"/>
  <c r="N89" i="20" s="1"/>
  <c r="N140" i="18"/>
  <c r="N90" i="20" s="1"/>
  <c r="N141" i="18"/>
  <c r="N91" i="20" s="1"/>
  <c r="N143" i="18"/>
  <c r="N93" i="20" s="1"/>
  <c r="N142" i="18"/>
  <c r="N92" i="20" s="1"/>
  <c r="N144" i="18"/>
  <c r="O133" i="18"/>
  <c r="M117" i="18"/>
  <c r="N119" i="18"/>
  <c r="N36" i="20" s="1"/>
  <c r="N120" i="18"/>
  <c r="N37" i="20" s="1"/>
  <c r="N121" i="18"/>
  <c r="N38" i="20" s="1"/>
  <c r="N122" i="18"/>
  <c r="N39" i="20" s="1"/>
  <c r="N123" i="18"/>
  <c r="N40" i="20" s="1"/>
  <c r="N124" i="18"/>
  <c r="N41" i="20" s="1"/>
  <c r="N125" i="18"/>
  <c r="N42" i="20" s="1"/>
  <c r="N126" i="18"/>
  <c r="N43" i="20" s="1"/>
  <c r="N127" i="18"/>
  <c r="N44" i="20" s="1"/>
  <c r="N128" i="18"/>
  <c r="N45" i="20" s="1"/>
  <c r="N130" i="18"/>
  <c r="N132" i="18"/>
  <c r="N129" i="18"/>
  <c r="N46" i="20" s="1"/>
  <c r="N131" i="18"/>
  <c r="N48" i="20" s="1"/>
  <c r="O146" i="18"/>
  <c r="C71" i="20" l="1"/>
  <c r="C20" i="20"/>
  <c r="C25" i="20"/>
  <c r="C79" i="20"/>
  <c r="C28" i="20"/>
  <c r="N47" i="20"/>
  <c r="N49" i="20" s="1"/>
  <c r="N95" i="20"/>
  <c r="C77" i="20"/>
  <c r="C26" i="20"/>
  <c r="C72" i="20"/>
  <c r="C23" i="20"/>
  <c r="C73" i="20"/>
  <c r="C29" i="20"/>
  <c r="C22" i="20"/>
  <c r="C24" i="20"/>
  <c r="N50" i="20"/>
  <c r="N97" i="20"/>
  <c r="C80" i="20"/>
  <c r="C27" i="20"/>
  <c r="C21" i="20"/>
  <c r="C76" i="20"/>
  <c r="C78" i="20"/>
  <c r="N146" i="18"/>
  <c r="N133" i="18"/>
  <c r="M135" i="18"/>
  <c r="M85" i="20" s="1"/>
  <c r="M136" i="18"/>
  <c r="M86" i="20" s="1"/>
  <c r="M137" i="18"/>
  <c r="M87" i="20" s="1"/>
  <c r="M138" i="18"/>
  <c r="M88" i="20" s="1"/>
  <c r="M139" i="18"/>
  <c r="M89" i="20" s="1"/>
  <c r="M140" i="18"/>
  <c r="M90" i="20" s="1"/>
  <c r="M141" i="18"/>
  <c r="M91" i="20" s="1"/>
  <c r="M142" i="18"/>
  <c r="M92" i="20" s="1"/>
  <c r="M143" i="18"/>
  <c r="M93" i="20" s="1"/>
  <c r="M144" i="18"/>
  <c r="L117" i="18"/>
  <c r="M119" i="18"/>
  <c r="M36" i="20" s="1"/>
  <c r="M120" i="18"/>
  <c r="M37" i="20" s="1"/>
  <c r="M121" i="18"/>
  <c r="M38" i="20" s="1"/>
  <c r="M122" i="18"/>
  <c r="M39" i="20" s="1"/>
  <c r="M123" i="18"/>
  <c r="M40" i="20" s="1"/>
  <c r="M124" i="18"/>
  <c r="M41" i="20" s="1"/>
  <c r="M125" i="18"/>
  <c r="M42" i="20" s="1"/>
  <c r="M126" i="18"/>
  <c r="M43" i="20" s="1"/>
  <c r="M127" i="18"/>
  <c r="M44" i="20" s="1"/>
  <c r="M128" i="18"/>
  <c r="M45" i="20" s="1"/>
  <c r="M129" i="18"/>
  <c r="M46" i="20" s="1"/>
  <c r="M130" i="18"/>
  <c r="M131" i="18"/>
  <c r="M48" i="20" s="1"/>
  <c r="M132" i="18"/>
  <c r="C74" i="20" l="1"/>
  <c r="C81" i="20" s="1"/>
  <c r="C19" i="20"/>
  <c r="C31" i="20" s="1"/>
  <c r="M97" i="20"/>
  <c r="M50" i="20"/>
  <c r="M95" i="20"/>
  <c r="M47" i="20"/>
  <c r="M49" i="20" s="1"/>
  <c r="M146" i="18"/>
  <c r="L135" i="18"/>
  <c r="L85" i="20" s="1"/>
  <c r="L136" i="18"/>
  <c r="L86" i="20" s="1"/>
  <c r="L137" i="18"/>
  <c r="L87" i="20" s="1"/>
  <c r="L138" i="18"/>
  <c r="L88" i="20" s="1"/>
  <c r="L139" i="18"/>
  <c r="L89" i="20" s="1"/>
  <c r="L140" i="18"/>
  <c r="L90" i="20" s="1"/>
  <c r="L141" i="18"/>
  <c r="L91" i="20" s="1"/>
  <c r="L142" i="18"/>
  <c r="L92" i="20" s="1"/>
  <c r="L143" i="18"/>
  <c r="L93" i="20" s="1"/>
  <c r="L144" i="18"/>
  <c r="M133" i="18"/>
  <c r="K117" i="18"/>
  <c r="L119" i="18"/>
  <c r="L36" i="20" s="1"/>
  <c r="L120" i="18"/>
  <c r="L37" i="20" s="1"/>
  <c r="L122" i="18"/>
  <c r="L39" i="20" s="1"/>
  <c r="L126" i="18"/>
  <c r="L43" i="20" s="1"/>
  <c r="L132" i="18"/>
  <c r="L121" i="18"/>
  <c r="L38" i="20" s="1"/>
  <c r="L125" i="18"/>
  <c r="L42" i="20" s="1"/>
  <c r="L129" i="18"/>
  <c r="L46" i="20" s="1"/>
  <c r="L131" i="18"/>
  <c r="L48" i="20" s="1"/>
  <c r="L124" i="18"/>
  <c r="L41" i="20" s="1"/>
  <c r="L128" i="18"/>
  <c r="L45" i="20" s="1"/>
  <c r="L123" i="18"/>
  <c r="L40" i="20" s="1"/>
  <c r="L127" i="18"/>
  <c r="L44" i="20" s="1"/>
  <c r="L130" i="18"/>
  <c r="E3" i="16"/>
  <c r="E3" i="13" s="1"/>
  <c r="G74" i="18"/>
  <c r="G71" i="18" s="1"/>
  <c r="M26" i="1"/>
  <c r="M24" i="1"/>
  <c r="M23" i="1"/>
  <c r="M22" i="1"/>
  <c r="M11" i="1"/>
  <c r="L26" i="1"/>
  <c r="L24" i="1"/>
  <c r="L23" i="1"/>
  <c r="L22" i="1"/>
  <c r="L19" i="1"/>
  <c r="L12" i="1"/>
  <c r="L11" i="1"/>
  <c r="J26" i="1"/>
  <c r="J24" i="1"/>
  <c r="J12" i="1"/>
  <c r="J11" i="1"/>
  <c r="K26" i="1"/>
  <c r="K24" i="1"/>
  <c r="I26" i="1"/>
  <c r="I24" i="1"/>
  <c r="I19" i="1"/>
  <c r="I18" i="1"/>
  <c r="I17" i="1"/>
  <c r="I13" i="1"/>
  <c r="I12" i="1"/>
  <c r="I11" i="1"/>
  <c r="H26" i="1"/>
  <c r="H24" i="1"/>
  <c r="H21" i="1"/>
  <c r="H20" i="1"/>
  <c r="H19" i="1"/>
  <c r="H18" i="1"/>
  <c r="H17" i="1"/>
  <c r="H13" i="1"/>
  <c r="H12" i="1"/>
  <c r="H11" i="1"/>
  <c r="G26" i="1"/>
  <c r="G25" i="1"/>
  <c r="G21" i="1"/>
  <c r="G22" i="1"/>
  <c r="G23" i="1"/>
  <c r="G24" i="1"/>
  <c r="G20" i="1"/>
  <c r="G19" i="1"/>
  <c r="G18" i="1"/>
  <c r="G12" i="1"/>
  <c r="G11" i="1"/>
  <c r="G10" i="1"/>
  <c r="F26" i="1"/>
  <c r="F25" i="1"/>
  <c r="F24" i="1"/>
  <c r="F23" i="1"/>
  <c r="F22" i="1"/>
  <c r="F21" i="1"/>
  <c r="F20" i="1"/>
  <c r="F19" i="1"/>
  <c r="F18" i="1"/>
  <c r="F12" i="1"/>
  <c r="F11" i="1"/>
  <c r="F10" i="1"/>
  <c r="K9" i="10"/>
  <c r="I9" i="10"/>
  <c r="G9" i="10"/>
  <c r="J9" i="10"/>
  <c r="H9" i="10"/>
  <c r="F9" i="10"/>
  <c r="K9" i="8"/>
  <c r="J9" i="8"/>
  <c r="I9" i="8"/>
  <c r="H9" i="8"/>
  <c r="G9" i="8"/>
  <c r="F9" i="8"/>
  <c r="L97" i="20" l="1"/>
  <c r="L47" i="20"/>
  <c r="L49" i="20" s="1"/>
  <c r="L95" i="20"/>
  <c r="L50" i="20"/>
  <c r="J14" i="1"/>
  <c r="K14" i="1" s="1"/>
  <c r="L14" i="1"/>
  <c r="M14" i="1" s="1"/>
  <c r="H14" i="1"/>
  <c r="I14" i="1" s="1"/>
  <c r="F14" i="1"/>
  <c r="G14" i="1" s="1"/>
  <c r="K135" i="18"/>
  <c r="K85" i="20" s="1"/>
  <c r="K139" i="18"/>
  <c r="K89" i="20" s="1"/>
  <c r="K138" i="18"/>
  <c r="K88" i="20" s="1"/>
  <c r="K142" i="18"/>
  <c r="K92" i="20" s="1"/>
  <c r="K144" i="18"/>
  <c r="K137" i="18"/>
  <c r="K87" i="20" s="1"/>
  <c r="K141" i="18"/>
  <c r="K91" i="20" s="1"/>
  <c r="K136" i="18"/>
  <c r="K86" i="20" s="1"/>
  <c r="K140" i="18"/>
  <c r="K90" i="20" s="1"/>
  <c r="K143" i="18"/>
  <c r="K93" i="20" s="1"/>
  <c r="L133" i="18"/>
  <c r="J117" i="18"/>
  <c r="K119" i="18"/>
  <c r="K36" i="20" s="1"/>
  <c r="K120" i="18"/>
  <c r="K37" i="20" s="1"/>
  <c r="K121" i="18"/>
  <c r="K38" i="20" s="1"/>
  <c r="K122" i="18"/>
  <c r="K39" i="20" s="1"/>
  <c r="K123" i="18"/>
  <c r="K40" i="20" s="1"/>
  <c r="K124" i="18"/>
  <c r="K41" i="20" s="1"/>
  <c r="K125" i="18"/>
  <c r="K42" i="20" s="1"/>
  <c r="K126" i="18"/>
  <c r="K43" i="20" s="1"/>
  <c r="K127" i="18"/>
  <c r="K44" i="20" s="1"/>
  <c r="K128" i="18"/>
  <c r="K45" i="20" s="1"/>
  <c r="K129" i="18"/>
  <c r="K46" i="20" s="1"/>
  <c r="K130" i="18"/>
  <c r="K131" i="18"/>
  <c r="K48" i="20" s="1"/>
  <c r="K132" i="18"/>
  <c r="L146" i="18"/>
  <c r="K3" i="10"/>
  <c r="F7" i="10" s="1"/>
  <c r="G8" i="10" s="1"/>
  <c r="E3" i="5"/>
  <c r="M3" i="1"/>
  <c r="G8" i="1" s="1"/>
  <c r="I8" i="1" s="1"/>
  <c r="K8" i="1" s="1"/>
  <c r="M8" i="1" s="1"/>
  <c r="E3" i="7"/>
  <c r="E3" i="2"/>
  <c r="K3" i="8"/>
  <c r="F7" i="8" s="1"/>
  <c r="G8" i="8" s="1"/>
  <c r="G62" i="18"/>
  <c r="G78" i="18"/>
  <c r="B63" i="18"/>
  <c r="C56" i="18" s="1"/>
  <c r="H59" i="18" l="1"/>
  <c r="H52" i="18"/>
  <c r="K97" i="20"/>
  <c r="K50" i="20"/>
  <c r="K47" i="20"/>
  <c r="K49" i="20" s="1"/>
  <c r="K95" i="20"/>
  <c r="J135" i="18"/>
  <c r="J85" i="20" s="1"/>
  <c r="J136" i="18"/>
  <c r="J86" i="20" s="1"/>
  <c r="J137" i="18"/>
  <c r="J87" i="20" s="1"/>
  <c r="J138" i="18"/>
  <c r="J88" i="20" s="1"/>
  <c r="J139" i="18"/>
  <c r="J89" i="20" s="1"/>
  <c r="J140" i="18"/>
  <c r="J90" i="20" s="1"/>
  <c r="J141" i="18"/>
  <c r="J91" i="20" s="1"/>
  <c r="J142" i="18"/>
  <c r="J92" i="20" s="1"/>
  <c r="J144" i="18"/>
  <c r="J143" i="18"/>
  <c r="J93" i="20" s="1"/>
  <c r="K133" i="18"/>
  <c r="I117" i="18"/>
  <c r="J119" i="18"/>
  <c r="J36" i="20" s="1"/>
  <c r="J120" i="18"/>
  <c r="J37" i="20" s="1"/>
  <c r="J121" i="18"/>
  <c r="J38" i="20" s="1"/>
  <c r="J122" i="18"/>
  <c r="J39" i="20" s="1"/>
  <c r="J123" i="18"/>
  <c r="J40" i="20" s="1"/>
  <c r="J124" i="18"/>
  <c r="J41" i="20" s="1"/>
  <c r="J125" i="18"/>
  <c r="J42" i="20" s="1"/>
  <c r="J126" i="18"/>
  <c r="J43" i="20" s="1"/>
  <c r="J127" i="18"/>
  <c r="J44" i="20" s="1"/>
  <c r="J128" i="18"/>
  <c r="J45" i="20" s="1"/>
  <c r="J129" i="18"/>
  <c r="J46" i="20" s="1"/>
  <c r="J131" i="18"/>
  <c r="J48" i="20" s="1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3" i="18"/>
  <c r="C55" i="18"/>
  <c r="C61" i="18"/>
  <c r="C59" i="18"/>
  <c r="C57" i="18"/>
  <c r="C62" i="18"/>
  <c r="J47" i="20" l="1"/>
  <c r="J49" i="20" s="1"/>
  <c r="J95" i="20"/>
  <c r="J50" i="20"/>
  <c r="J97" i="20"/>
  <c r="J146" i="18"/>
  <c r="I135" i="18"/>
  <c r="I85" i="20" s="1"/>
  <c r="I136" i="18"/>
  <c r="I86" i="20" s="1"/>
  <c r="I137" i="18"/>
  <c r="I87" i="20" s="1"/>
  <c r="I138" i="18"/>
  <c r="I88" i="20" s="1"/>
  <c r="I139" i="18"/>
  <c r="I89" i="20" s="1"/>
  <c r="I140" i="18"/>
  <c r="I90" i="20" s="1"/>
  <c r="I141" i="18"/>
  <c r="I91" i="20" s="1"/>
  <c r="I142" i="18"/>
  <c r="I92" i="20" s="1"/>
  <c r="I143" i="18"/>
  <c r="I93" i="20" s="1"/>
  <c r="I144" i="18"/>
  <c r="J133" i="18"/>
  <c r="H117" i="18"/>
  <c r="I119" i="18"/>
  <c r="I36" i="20" s="1"/>
  <c r="I120" i="18"/>
  <c r="I37" i="20" s="1"/>
  <c r="I121" i="18"/>
  <c r="I38" i="20" s="1"/>
  <c r="I122" i="18"/>
  <c r="I39" i="20" s="1"/>
  <c r="I123" i="18"/>
  <c r="I40" i="20" s="1"/>
  <c r="I124" i="18"/>
  <c r="I41" i="20" s="1"/>
  <c r="I125" i="18"/>
  <c r="I42" i="20" s="1"/>
  <c r="I126" i="18"/>
  <c r="I43" i="20" s="1"/>
  <c r="I127" i="18"/>
  <c r="I44" i="20" s="1"/>
  <c r="I128" i="18"/>
  <c r="I45" i="20" s="1"/>
  <c r="I129" i="18"/>
  <c r="I46" i="20" s="1"/>
  <c r="I130" i="18"/>
  <c r="I131" i="18"/>
  <c r="I48" i="20" s="1"/>
  <c r="I132" i="18"/>
  <c r="H55" i="18"/>
  <c r="H62" i="18" s="1"/>
  <c r="C52" i="18"/>
  <c r="C63" i="18" s="1"/>
  <c r="I97" i="20" l="1"/>
  <c r="I50" i="20"/>
  <c r="I47" i="20"/>
  <c r="I49" i="20" s="1"/>
  <c r="I95" i="20"/>
  <c r="H135" i="18"/>
  <c r="H85" i="20" s="1"/>
  <c r="H136" i="18"/>
  <c r="H86" i="20" s="1"/>
  <c r="H137" i="18"/>
  <c r="H87" i="20" s="1"/>
  <c r="H138" i="18"/>
  <c r="H88" i="20" s="1"/>
  <c r="H139" i="18"/>
  <c r="H89" i="20" s="1"/>
  <c r="H140" i="18"/>
  <c r="H90" i="20" s="1"/>
  <c r="H141" i="18"/>
  <c r="H91" i="20" s="1"/>
  <c r="H142" i="18"/>
  <c r="H92" i="20" s="1"/>
  <c r="H143" i="18"/>
  <c r="H93" i="20" s="1"/>
  <c r="H144" i="18"/>
  <c r="I133" i="18"/>
  <c r="I146" i="18"/>
  <c r="G117" i="18"/>
  <c r="H119" i="18"/>
  <c r="H36" i="20" s="1"/>
  <c r="H120" i="18"/>
  <c r="H37" i="20" s="1"/>
  <c r="H121" i="18"/>
  <c r="H38" i="20" s="1"/>
  <c r="H125" i="18"/>
  <c r="H42" i="20" s="1"/>
  <c r="H129" i="18"/>
  <c r="H46" i="20" s="1"/>
  <c r="H126" i="18"/>
  <c r="H43" i="20" s="1"/>
  <c r="H131" i="18"/>
  <c r="H48" i="20" s="1"/>
  <c r="H124" i="18"/>
  <c r="H41" i="20" s="1"/>
  <c r="H128" i="18"/>
  <c r="H45" i="20" s="1"/>
  <c r="H130" i="18"/>
  <c r="H132" i="18"/>
  <c r="H123" i="18"/>
  <c r="H40" i="20" s="1"/>
  <c r="H127" i="18"/>
  <c r="H44" i="20" s="1"/>
  <c r="H122" i="18"/>
  <c r="H39" i="20" s="1"/>
  <c r="K8" i="10"/>
  <c r="I8" i="10"/>
  <c r="H97" i="20" l="1"/>
  <c r="H95" i="20"/>
  <c r="H50" i="20"/>
  <c r="H47" i="20"/>
  <c r="H49" i="20" s="1"/>
  <c r="H146" i="18"/>
  <c r="G138" i="18"/>
  <c r="G88" i="20" s="1"/>
  <c r="G142" i="18"/>
  <c r="G92" i="20" s="1"/>
  <c r="G137" i="18"/>
  <c r="G87" i="20" s="1"/>
  <c r="G141" i="18"/>
  <c r="G91" i="20" s="1"/>
  <c r="G143" i="18"/>
  <c r="G93" i="20" s="1"/>
  <c r="G136" i="18"/>
  <c r="G86" i="20" s="1"/>
  <c r="G140" i="18"/>
  <c r="G90" i="20" s="1"/>
  <c r="G135" i="18"/>
  <c r="G85" i="20" s="1"/>
  <c r="G139" i="18"/>
  <c r="G89" i="20" s="1"/>
  <c r="G144" i="18"/>
  <c r="H133" i="18"/>
  <c r="F117" i="18"/>
  <c r="G119" i="18"/>
  <c r="G36" i="20" s="1"/>
  <c r="G120" i="18"/>
  <c r="G37" i="20" s="1"/>
  <c r="G121" i="18"/>
  <c r="G38" i="20" s="1"/>
  <c r="G122" i="18"/>
  <c r="G39" i="20" s="1"/>
  <c r="G123" i="18"/>
  <c r="G40" i="20" s="1"/>
  <c r="G124" i="18"/>
  <c r="G41" i="20" s="1"/>
  <c r="G125" i="18"/>
  <c r="G42" i="20" s="1"/>
  <c r="G126" i="18"/>
  <c r="G43" i="20" s="1"/>
  <c r="G127" i="18"/>
  <c r="G44" i="20" s="1"/>
  <c r="G128" i="18"/>
  <c r="G45" i="20" s="1"/>
  <c r="G129" i="18"/>
  <c r="G46" i="20" s="1"/>
  <c r="G130" i="18"/>
  <c r="G131" i="18"/>
  <c r="G48" i="20" s="1"/>
  <c r="G132" i="18"/>
  <c r="K8" i="8"/>
  <c r="I8" i="8"/>
  <c r="G97" i="20" l="1"/>
  <c r="G95" i="20"/>
  <c r="G50" i="20"/>
  <c r="G47" i="20"/>
  <c r="G49" i="20" s="1"/>
  <c r="G146" i="18"/>
  <c r="F135" i="18"/>
  <c r="F85" i="20" s="1"/>
  <c r="F136" i="18"/>
  <c r="F86" i="20" s="1"/>
  <c r="F137" i="18"/>
  <c r="F87" i="20" s="1"/>
  <c r="F138" i="18"/>
  <c r="F88" i="20" s="1"/>
  <c r="F139" i="18"/>
  <c r="F89" i="20" s="1"/>
  <c r="F140" i="18"/>
  <c r="F90" i="20" s="1"/>
  <c r="F141" i="18"/>
  <c r="F91" i="20" s="1"/>
  <c r="F142" i="18"/>
  <c r="F92" i="20" s="1"/>
  <c r="F143" i="18"/>
  <c r="F93" i="20" s="1"/>
  <c r="F144" i="18"/>
  <c r="G133" i="18"/>
  <c r="E117" i="18"/>
  <c r="F119" i="18"/>
  <c r="F36" i="20" s="1"/>
  <c r="F120" i="18"/>
  <c r="F37" i="20" s="1"/>
  <c r="F121" i="18"/>
  <c r="F38" i="20" s="1"/>
  <c r="F122" i="18"/>
  <c r="F39" i="20" s="1"/>
  <c r="F123" i="18"/>
  <c r="F40" i="20" s="1"/>
  <c r="F124" i="18"/>
  <c r="F41" i="20" s="1"/>
  <c r="F125" i="18"/>
  <c r="F42" i="20" s="1"/>
  <c r="F126" i="18"/>
  <c r="F43" i="20" s="1"/>
  <c r="F127" i="18"/>
  <c r="F44" i="20" s="1"/>
  <c r="F128" i="18"/>
  <c r="F45" i="20" s="1"/>
  <c r="F129" i="18"/>
  <c r="F46" i="20" s="1"/>
  <c r="F130" i="18"/>
  <c r="F132" i="18"/>
  <c r="F131" i="18"/>
  <c r="F48" i="20" s="1"/>
  <c r="E12" i="16"/>
  <c r="E16" i="16"/>
  <c r="E15" i="16"/>
  <c r="E14" i="16"/>
  <c r="E13" i="16"/>
  <c r="E11" i="16"/>
  <c r="E9" i="16"/>
  <c r="E8" i="16"/>
  <c r="F97" i="20" l="1"/>
  <c r="F50" i="20"/>
  <c r="F47" i="20"/>
  <c r="F49" i="20" s="1"/>
  <c r="F95" i="20"/>
  <c r="E135" i="18"/>
  <c r="E85" i="20" s="1"/>
  <c r="E136" i="18"/>
  <c r="E86" i="20" s="1"/>
  <c r="E137" i="18"/>
  <c r="E87" i="20" s="1"/>
  <c r="E138" i="18"/>
  <c r="E88" i="20" s="1"/>
  <c r="E139" i="18"/>
  <c r="E89" i="20" s="1"/>
  <c r="E140" i="18"/>
  <c r="E90" i="20" s="1"/>
  <c r="E141" i="18"/>
  <c r="E91" i="20" s="1"/>
  <c r="E142" i="18"/>
  <c r="E92" i="20" s="1"/>
  <c r="E143" i="18"/>
  <c r="E93" i="20" s="1"/>
  <c r="E144" i="18"/>
  <c r="F146" i="18"/>
  <c r="F133" i="18"/>
  <c r="D117" i="18"/>
  <c r="E119" i="18"/>
  <c r="E36" i="20" s="1"/>
  <c r="E120" i="18"/>
  <c r="E37" i="20" s="1"/>
  <c r="E121" i="18"/>
  <c r="E38" i="20" s="1"/>
  <c r="E122" i="18"/>
  <c r="E39" i="20" s="1"/>
  <c r="E123" i="18"/>
  <c r="E40" i="20" s="1"/>
  <c r="E124" i="18"/>
  <c r="E41" i="20" s="1"/>
  <c r="E125" i="18"/>
  <c r="E42" i="20" s="1"/>
  <c r="E126" i="18"/>
  <c r="E43" i="20" s="1"/>
  <c r="E127" i="18"/>
  <c r="E44" i="20" s="1"/>
  <c r="E128" i="18"/>
  <c r="E45" i="20" s="1"/>
  <c r="E129" i="18"/>
  <c r="E46" i="20" s="1"/>
  <c r="E130" i="18"/>
  <c r="E131" i="18"/>
  <c r="E48" i="20" s="1"/>
  <c r="E132" i="18"/>
  <c r="E95" i="20" l="1"/>
  <c r="E50" i="20"/>
  <c r="E47" i="20"/>
  <c r="E49" i="20" s="1"/>
  <c r="E97" i="20"/>
  <c r="E146" i="18"/>
  <c r="D135" i="18"/>
  <c r="D85" i="20" s="1"/>
  <c r="D136" i="18"/>
  <c r="D86" i="20" s="1"/>
  <c r="D137" i="18"/>
  <c r="D87" i="20" s="1"/>
  <c r="D138" i="18"/>
  <c r="D88" i="20" s="1"/>
  <c r="D139" i="18"/>
  <c r="D89" i="20" s="1"/>
  <c r="D140" i="18"/>
  <c r="D90" i="20" s="1"/>
  <c r="D141" i="18"/>
  <c r="D91" i="20" s="1"/>
  <c r="D142" i="18"/>
  <c r="D92" i="20" s="1"/>
  <c r="D143" i="18"/>
  <c r="D93" i="20" s="1"/>
  <c r="D144" i="18"/>
  <c r="C117" i="18"/>
  <c r="C144" i="18" s="1"/>
  <c r="D119" i="18"/>
  <c r="D36" i="20" s="1"/>
  <c r="D120" i="18"/>
  <c r="D37" i="20" s="1"/>
  <c r="D121" i="18"/>
  <c r="D38" i="20" s="1"/>
  <c r="D124" i="18"/>
  <c r="D41" i="20" s="1"/>
  <c r="D128" i="18"/>
  <c r="D45" i="20" s="1"/>
  <c r="D129" i="18"/>
  <c r="D46" i="20" s="1"/>
  <c r="D123" i="18"/>
  <c r="D40" i="20" s="1"/>
  <c r="D127" i="18"/>
  <c r="D44" i="20" s="1"/>
  <c r="D131" i="18"/>
  <c r="D48" i="20" s="1"/>
  <c r="D122" i="18"/>
  <c r="D39" i="20" s="1"/>
  <c r="D126" i="18"/>
  <c r="D43" i="20" s="1"/>
  <c r="D125" i="18"/>
  <c r="D42" i="20" s="1"/>
  <c r="D130" i="18"/>
  <c r="D132" i="18"/>
  <c r="E133" i="18"/>
  <c r="D50" i="20" l="1"/>
  <c r="D97" i="20"/>
  <c r="D95" i="20"/>
  <c r="D47" i="20"/>
  <c r="D49" i="20" s="1"/>
  <c r="D146" i="18"/>
  <c r="D133" i="18"/>
  <c r="C143" i="18"/>
  <c r="C93" i="20" s="1"/>
  <c r="C139" i="18"/>
  <c r="C89" i="20" s="1"/>
  <c r="C135" i="18"/>
  <c r="C85" i="20" s="1"/>
  <c r="C131" i="18"/>
  <c r="C48" i="20" s="1"/>
  <c r="C125" i="18"/>
  <c r="C42" i="20" s="1"/>
  <c r="C121" i="18"/>
  <c r="C38" i="20" s="1"/>
  <c r="C142" i="18"/>
  <c r="C92" i="20" s="1"/>
  <c r="C138" i="18"/>
  <c r="C88" i="20" s="1"/>
  <c r="C141" i="18"/>
  <c r="C91" i="20" s="1"/>
  <c r="C137" i="18"/>
  <c r="C87" i="20" s="1"/>
  <c r="C132" i="18"/>
  <c r="C127" i="18"/>
  <c r="C44" i="20" s="1"/>
  <c r="C123" i="18"/>
  <c r="C40" i="20" s="1"/>
  <c r="C119" i="18"/>
  <c r="C36" i="20" s="1"/>
  <c r="C140" i="18"/>
  <c r="C90" i="20" s="1"/>
  <c r="C136" i="18"/>
  <c r="C86" i="20" s="1"/>
  <c r="C130" i="18"/>
  <c r="C122" i="18"/>
  <c r="C39" i="20" s="1"/>
  <c r="C129" i="18"/>
  <c r="C46" i="20" s="1"/>
  <c r="C120" i="18"/>
  <c r="C37" i="20" s="1"/>
  <c r="C126" i="18"/>
  <c r="C43" i="20" s="1"/>
  <c r="C124" i="18"/>
  <c r="C41" i="20" s="1"/>
  <c r="C128" i="18"/>
  <c r="C45" i="20" s="1"/>
  <c r="C97" i="20" l="1"/>
  <c r="C50" i="20"/>
  <c r="C95" i="20"/>
  <c r="C47" i="20"/>
  <c r="C49" i="20" s="1"/>
  <c r="C146" i="18"/>
  <c r="C133" i="18"/>
</calcChain>
</file>

<file path=xl/sharedStrings.xml><?xml version="1.0" encoding="utf-8"?>
<sst xmlns="http://schemas.openxmlformats.org/spreadsheetml/2006/main" count="468" uniqueCount="112">
  <si>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</si>
  <si>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</si>
  <si>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</si>
  <si>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</si>
  <si>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</si>
  <si>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</si>
  <si>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</si>
  <si>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</si>
  <si>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</si>
  <si>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</si>
  <si>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</si>
  <si>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</si>
  <si>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</si>
  <si>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</si>
  <si>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</si>
  <si>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</si>
  <si>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</si>
  <si>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</si>
  <si>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</si>
  <si>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</si>
  <si>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</si>
  <si>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</si>
  <si>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</si>
  <si>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</si>
  <si>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</si>
  <si>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</si>
  <si>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</si>
  <si>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</si>
  <si>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</si>
  <si>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</si>
  <si>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</si>
  <si>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</si>
  <si>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</si>
  <si>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</si>
  <si>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</si>
  <si>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</si>
  <si>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</si>
  <si>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</si>
  <si>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</si>
  <si>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</si>
  <si>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</si>
  <si>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</si>
  <si>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</si>
  <si>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</si>
  <si>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</si>
  <si>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</si>
  <si>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</si>
  <si>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</si>
  <si>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</si>
  <si>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</si>
  <si>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</si>
  <si>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</si>
  <si>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</si>
  <si>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</si>
  <si>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</si>
  <si>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</si>
  <si>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</si>
  <si>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</si>
  <si>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</si>
  <si>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</si>
  <si>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</si>
  <si>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</si>
  <si>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</si>
  <si>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</si>
  <si>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</si>
  <si>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</si>
  <si>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</si>
  <si>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</si>
  <si>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</si>
  <si>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</si>
  <si>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</si>
  <si>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</si>
  <si>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</si>
  <si>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</si>
  <si>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</si>
  <si>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</si>
  <si>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</si>
  <si>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</si>
  <si>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</si>
  <si>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</si>
  <si>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</si>
  <si>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</si>
  <si>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</si>
  <si>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</si>
  <si>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</si>
  <si>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</si>
  <si>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</si>
  <si>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</si>
  <si>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</si>
  <si>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</si>
  <si>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</si>
  <si>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</si>
  <si>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</si>
  <si>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</si>
  <si>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</si>
  <si>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</si>
  <si>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</si>
  <si>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Evolución de la cobertura de la demanda de las Islas Baleares</t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</si>
  <si>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</si>
  <si>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Septiembre 2018</t>
  </si>
  <si>
    <t>Octubre 2018</t>
  </si>
  <si>
    <t>Noviembre 2018</t>
  </si>
  <si>
    <t>Diciembre 2018</t>
  </si>
  <si>
    <t>Enero 2019</t>
  </si>
  <si>
    <t>Febrero 2019</t>
  </si>
  <si>
    <t>28/02/2019</t>
  </si>
  <si>
    <t>Marzo 2019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</si>
  <si>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ut="03/12/2019 13:05:32" si="2.000000010909c94a9151eaaed2f6ee7e2cd4d4d7a19242ca0ace0ad84fffe6bb76fbdfa4b41dabbd1c842cfe638485aaaa34a0d2a063b1075b0500ad1854d9dc1d616e07f089d0ef1d8fd0d26710c21b4fb60fa0dfafc9da8e4f64766272071480ecc751c16524e087eb8196aa37d21d6d578f152550789e64b278921f217780beb7.3082.0.1.Europe/Madrid.upriv*_1*_pidn2*_2*_session*-lat*_1.000000017c4129eb869ce75609426348de650f58b5ee3e727bda8bde953578100c08bf3f547fb24d3e61c9ea3a0135121f6623517bc0a5c7.00000001656cc103e779d47e0d71277c91db6f14b5ee3e725da68a51d43c6c9fbfb6f8f733e2dbda2a6a5d86efdeeaef62829b2bf083b876.0.1.1.BDEbi.D066E1C611E6257C10D00080EF253B44.0-3082.1.1_-0.1.0_-3082.1.1_5.5.0.*0.00000001d023d76293a837902fa365cfdd305843c911585a7ef9ecaaca06fbcb69c4d5fd0676154d.0.10*.25*.15*.214.23.10*.4*.0400*.0074J.e.0000000169e9ad2433445804adc5a0ac896f2235c911585a732c27e7f9c468b12a9a5b01a32fc137.0" msgID="8356199911E944C7CB930080EFF5A469"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</si>
  <si>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guid="9e1f976695ae4479bd2a9d9810fc7dcb" rank="0" ds="1"&gt;&lt;ri hasPG="0" name="Balance Potencia Mensual Baleares y Canarias" id="57A30EDF4E8F1228975B5BA9995BC744" path="Objetos públicos\Informes\Informes macros\Boletín\Balance Potencia Mensual Baleares y Canarias"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ut="03/12/2019 13:05:34" si="2.000000010909c94a9151eaaed2f6ee7e2cd4d4d7a19242ca0ace0ad84fffe6bb76fbdfa4b41dabbd1c842cfe638485aaaa34a0d2a063b1075b0500ad1854d9dc1d616e07f089d0ef1d8fd0d26710c21b4fb60fa0dfafc9da8e4f64766272071480ecc751c16524e087eb8196aa37d21d6d578f152550789e64b278921f217780beb7.3082.0.1.Europe/Madrid.upriv*_1*_pidn2*_2*_session*-lat*_1.000000017c4129eb869ce75609426348de650f58b5ee3e727bda8bde953578100c08bf3f547fb24d3e61c9ea3a0135121f6623517bc0a5c7.00000001656cc103e779d47e0d71277c91db6f14b5ee3e725da68a51d43c6c9fbfb6f8f733e2dbda2a6a5d86efdeeaef62829b2bf083b876.0.1.1.BDEbi.D066E1C611E6257C10D00080EF253B44.0-3082.1.1_-0.1.0_-3082.1.1_5.5.0.*0.00000001d023d76293a837902fa365cfdd305843c911585a7ef9ecaaca06fbcb69c4d5fd0676154d.0.10*.25*.15*.214.23.10*.4*.0400*.0074J.e.0000000169e9ad2433445804adc5a0ac896f2235c911585a732c27e7f9c468b12a9a5b01a32fc137.0" msgID="83561B4711E944C7CB930080EF658266"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ece="A29" enr="MSTR.Balance_Potencia_Mensual_Baleares_y_Canarias" ptn="" qtn="" rows="20" cols="3" /&gt;&lt;esdo ews="" ece="" ptn="" /&gt;&lt;/excel&gt;&lt;pgs&gt;&lt;pg rows="16" cols="2" nrr="316" nrc="40"&gt;&lt;pg /&gt;&lt;bls&gt;&lt;bl sr="1" sc="1" rfetch="16" cfetch="2" posid="1" darows="0" dacols="1"&gt;&lt;excel&gt;&lt;epo ews="Dat_01" ece="A29" enr="MSTR.Balance_Potencia_Mensual_Baleares_y_Canarias" ptn="" qtn="" rows="20" cols="3" /&gt;&lt;esdo ews="" ece="" ptn="" /&gt;&lt;/excel&gt;&lt;gridRng&gt;&lt;sect id="TITLE_AREA" rngprop="1:1:4:1" /&gt;&lt;sect id="ROWHEADERS_AREA" rngprop="5:1:16:1" /&gt;&lt;sect id="COLUMNHEADERS_AREA" rngprop="1:2:4:2" /&gt;&lt;sect id="DATA_AREA" rngprop="5:2:16:2"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</si>
  <si>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ut="03/12/2019 13:05:40" si="2.000000010909c94a9151eaaed2f6ee7e2cd4d4d7a19242ca0ace0ad84fffe6bb76fbdfa4b41dabbd1c842cfe638485aaaa34a0d2a063b1075b0500ad1854d9dc1d616e07f089d0ef1d8fd0d26710c21b4fb60fa0dfafc9da8e4f64766272071480ecc751c16524e087eb8196aa37d21d6d578f152550789e64b278921f217780beb7.3082.0.1.Europe/Madrid.upriv*_1*_pidn2*_2*_session*-lat*_1.000000017c4129eb869ce75609426348de650f58b5ee3e727bda8bde953578100c08bf3f547fb24d3e61c9ea3a0135121f6623517bc0a5c7.00000001656cc103e779d47e0d71277c91db6f14b5ee3e725da68a51d43c6c9fbfb6f8f733e2dbda2a6a5d86efdeeaef62829b2bf083b876.0.1.1.BDEbi.D066E1C611E6257C10D00080EF253B44.0-3082.1.1_-0.1.0_-3082.1.1_5.5.0.*0.00000001d023d76293a837902fa365cfdd305843c911585a7ef9ecaaca06fbcb69c4d5fd0676154d.0.10*.25*.15*.214.23.10*.4*.0400*.0074J.e.0000000169e9ad2433445804adc5a0ac896f2235c911585a732c27e7f9c468b12a9a5b01a32fc137.0" msgID="8361635311E944C7CB930080EF658368"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cols="17" /&gt;&lt;esdo ews="" ece="" ptn="" /&gt;&lt;/excel&gt;&lt;pgs&gt;&lt;pg rows="25" cols="15" nrr="527" nrc="409"&gt;&lt;pg /&gt;&lt;bls&gt;&lt;bl sr="1" sc="1" rfetch="25" cfetch="15" posid="1" darows="0" dacols="1"&gt;&lt;excel&gt;&lt;epo ews="Dat_01" ece="A85" enr="MSTR.Serie_Balance_B.C._Mensual_Baleares_y_Canarias" ptn="" qtn="" rows="28" cols="17" /&gt;&lt;esdo ews="" ece="" ptn="" /&gt;&lt;/excel&gt;&lt;gridRng&gt;&lt;sect id="TITLE_AREA" rngprop="1:1:3:2" /&gt;&lt;sect id="ROWHEADERS_AREA" rngprop="4:1:25:2" /&gt;&lt;sect id="COLUMNHEADERS_AREA" rngprop="1:3:3:15" /&gt;&lt;sect id="DATA_AREA" rngprop="4:3:25:15" /&gt;&lt;/gridRng&gt;&lt;shapes /&gt;&lt;/bl&gt;&lt;/bls&gt;&lt;/pg&gt;&lt;/pgs&gt;&lt;/rptloc&gt;&lt;/mi&gt;</t>
  </si>
  <si>
    <t>f536e739a56c4862af7a89417fb002a2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</si>
  <si>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ut="03/12/2019 13:06:09" si="2.000000010909c94a9151eaaed2f6ee7e2cd4d4d7a19242ca0ace0ad84fffe6bb76fbdfa4b41dabbd1c842cfe638485aaaa34a0d2a063b1075b0500ad1854d9dc1d616e07f089d0ef1d8fd0d26710c21b4fb60fa0dfafc9da8e4f64766272071480ecc751c16524e087eb8196aa37d21d6d578f152550789e64b278921f217780beb7.3082.0.1.Europe/Madrid.upriv*_1*_pidn2*_2*_session*-lat*_1.000000017c4129eb869ce75609426348de650f58b5ee3e727bda8bde953578100c08bf3f547fb24d3e61c9ea3a0135121f6623517bc0a5c7.00000001656cc103e779d47e0d71277c91db6f14b5ee3e725da68a51d43c6c9fbfb6f8f733e2dbda2a6a5d86efdeeaef62829b2bf083b876.0.1.1.BDEbi.D066E1C611E6257C10D00080EF253B44.0-3082.1.1_-0.1.0_-3082.1.1_5.5.0.*0.00000001d023d76293a837902fa365cfdd305843c911585a7ef9ecaaca06fbcb69c4d5fd0676154d.0.10*.25*.15*.214.23.10*.4*.0400*.0074J.e.0000000169e9ad2433445804adc5a0ac896f2235c911585a732c27e7f9c468b12a9a5b01a32fc137.0" msgID="83615B5111E944C7CB930080EFE58367"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nrr="374" nrc="704"&gt;&lt;pg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</si>
</sst>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[$-C0A]mmm\-yy;@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0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</cellStyleXfs>
  <cellXfs count="223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166" fontId="7" fillId="0" borderId="0" xfId="4" applyFont="1" applyFill="1" applyBorder="1" applyAlignment="1" applyProtection="1"/>
    <xf numFmtId="0" fontId="47" fillId="0" borderId="0" xfId="6" applyFont="1" applyFill="1" applyBorder="1" applyProtection="1"/>
    <xf numFmtId="0" fontId="48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9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165" fontId="5" fillId="0" borderId="0" xfId="2" applyNumberFormat="1" applyFont="1" applyFill="1" applyBorder="1" applyAlignment="1" applyProtection="1">
      <alignment horizontal="left"/>
    </xf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0" fontId="2" fillId="10" borderId="0" xfId="6" applyFont="1" applyFill="1" applyBorder="1" applyProtection="1"/>
    <xf numFmtId="0" fontId="33" fillId="7" borderId="10" xfId="23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</cellXfs>
  <cellStyles count="30">
    <cellStyle name="consejo" xfId="25"/>
    <cellStyle name="Hipervínculo 2" xfId="12"/>
    <cellStyle name="Hipervínculo 3" xfId="9"/>
    <cellStyle name="MSTRStyle.Todos.c1_3d3d080f-6df6-44a9-b5f1-04b3c7a77bcb" xfId="22"/>
    <cellStyle name="MSTRStyle.Todos.c13_ad47ecc7-7d15-4cb6-8d9a-93aa07ca2c9c" xfId="19"/>
    <cellStyle name="MSTRStyle.Todos.c16_3321957e-8d69-4b7d-b341-a61e10f4c85f" xfId="28"/>
    <cellStyle name="MSTRStyle.Todos.c16_992610b3-1d75-4a3b-aec2-5e10b699bccc" xfId="16"/>
    <cellStyle name="MSTRStyle.Todos.c18_2edb5857-a1bf-42f0-9a50-c8f838c8cf47" xfId="17"/>
    <cellStyle name="MSTRStyle.Todos.c19_064608f2-5935-4cf9-a2ea-5b767d2f9646" xfId="20"/>
    <cellStyle name="MSTRStyle.Todos.c2_e2ab52e8-4747-4d05-9824-941fa4c21d4d" xfId="14"/>
    <cellStyle name="MSTRStyle.Todos.c20_8265551a-eda9-4950-be81-f3edd1f706c5" xfId="26"/>
    <cellStyle name="MSTRStyle.Todos.c21_3101a5c9-3ba0-4c6d-a6f9-97deae704e2f" xfId="27"/>
    <cellStyle name="MSTRStyle.Todos.c21_6668c9a3-2aa2-48fb-8c2d-7bab965807c5" xfId="29"/>
    <cellStyle name="MSTRStyle.Todos.c22_b4931035-0805-433b-baf6-e882aeb4ab92" xfId="21"/>
    <cellStyle name="MSTRStyle.Todos.c23_da26eb4b-ec0b-4c23-ba57-a8c5e38b6641" xfId="13"/>
    <cellStyle name="MSTRStyle.Todos.c24_ac422d6a-d102-4f53-b7ea-bd7f18181498" xfId="15"/>
    <cellStyle name="MSTRStyle.Todos.c3_ee34052e-6a5a-4931-979c-9f16bd5045b9" xfId="18"/>
    <cellStyle name="MSTRStyle.Todos.c7_81c12adb-1e68-4af7-a308-cda2119f5b62" xfId="24"/>
    <cellStyle name="MSTRStyle.Todos.c9_caa3568f-cc2a-4a40-813f-c12ba6feac0e" xfId="23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20325203252036E-2"/>
                  <c:y val="0.185488266172610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682926829268293"/>
                  <c:y val="0.16601300756523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96288329812432"/>
                  <c:y val="0.16127450980392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8130094104090647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3414634146341465"/>
                  <c:y val="1.90697853944727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2344497791434606"/>
                  <c:y val="-0.10345877721167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235772357723577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528455284552849E-2"/>
                  <c:y val="-0.2193542535124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2211382113821137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39.4</c:v>
                </c:pt>
                <c:pt idx="1">
                  <c:v>6.4</c:v>
                </c:pt>
                <c:pt idx="2">
                  <c:v>5.5</c:v>
                </c:pt>
                <c:pt idx="3">
                  <c:v>13.4</c:v>
                </c:pt>
                <c:pt idx="4">
                  <c:v>0</c:v>
                </c:pt>
                <c:pt idx="5">
                  <c:v>0.8</c:v>
                </c:pt>
                <c:pt idx="6">
                  <c:v>1.7</c:v>
                </c:pt>
                <c:pt idx="7">
                  <c:v>1.7</c:v>
                </c:pt>
                <c:pt idx="8">
                  <c:v>0.1</c:v>
                </c:pt>
                <c:pt idx="9">
                  <c:v>2.2000000000000002</c:v>
                </c:pt>
                <c:pt idx="10">
                  <c:v>0</c:v>
                </c:pt>
                <c:pt idx="11">
                  <c:v>28.8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146341463414634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6"/>
                  <c:y val="-0.127450980392156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6666538633890216E-2"/>
                  <c:y val="-0.1789215686274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6304180270149157"/>
                  <c:y val="-0.14242743554114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7317073170731709"/>
                  <c:y val="-4.4117647058823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20.500000000000014</c:v>
                </c:pt>
                <c:pt idx="1">
                  <c:v>8</c:v>
                </c:pt>
                <c:pt idx="2">
                  <c:v>26.5</c:v>
                </c:pt>
                <c:pt idx="3">
                  <c:v>37.5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192.79493400000001</c:v>
                </c:pt>
                <c:pt idx="1">
                  <c:v>199.82157000000001</c:v>
                </c:pt>
                <c:pt idx="2">
                  <c:v>183.05622099999999</c:v>
                </c:pt>
                <c:pt idx="3">
                  <c:v>187.058672</c:v>
                </c:pt>
                <c:pt idx="4">
                  <c:v>204.87973099999999</c:v>
                </c:pt>
                <c:pt idx="5">
                  <c:v>242.068479</c:v>
                </c:pt>
                <c:pt idx="6">
                  <c:v>257.31310999999999</c:v>
                </c:pt>
                <c:pt idx="7">
                  <c:v>250.63039499999999</c:v>
                </c:pt>
                <c:pt idx="8">
                  <c:v>186.34634299999999</c:v>
                </c:pt>
                <c:pt idx="9">
                  <c:v>108.147407</c:v>
                </c:pt>
                <c:pt idx="10">
                  <c:v>181.17789999999999</c:v>
                </c:pt>
                <c:pt idx="11">
                  <c:v>216.788162</c:v>
                </c:pt>
                <c:pt idx="12">
                  <c:v>163.68409500000001</c:v>
                </c:pt>
              </c:numCache>
            </c:numRef>
          </c:val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98.852191000000005</c:v>
                </c:pt>
                <c:pt idx="1">
                  <c:v>96.980013</c:v>
                </c:pt>
                <c:pt idx="2">
                  <c:v>94.399130999999997</c:v>
                </c:pt>
                <c:pt idx="3">
                  <c:v>117.63489</c:v>
                </c:pt>
                <c:pt idx="4">
                  <c:v>137.88146899999998</c:v>
                </c:pt>
                <c:pt idx="5">
                  <c:v>181.892819</c:v>
                </c:pt>
                <c:pt idx="6">
                  <c:v>185.88845900000001</c:v>
                </c:pt>
                <c:pt idx="7">
                  <c:v>149.44745</c:v>
                </c:pt>
                <c:pt idx="8">
                  <c:v>112.50755500000001</c:v>
                </c:pt>
                <c:pt idx="9">
                  <c:v>89.969028000000009</c:v>
                </c:pt>
                <c:pt idx="10">
                  <c:v>52.297241</c:v>
                </c:pt>
                <c:pt idx="11">
                  <c:v>57.736736000000008</c:v>
                </c:pt>
                <c:pt idx="12">
                  <c:v>49.177787000000002</c:v>
                </c:pt>
              </c:numCache>
            </c:numRef>
          </c:val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48.135339999999999</c:v>
                </c:pt>
                <c:pt idx="1">
                  <c:v>39.439261999999999</c:v>
                </c:pt>
                <c:pt idx="2">
                  <c:v>48.047037000000003</c:v>
                </c:pt>
                <c:pt idx="3">
                  <c:v>45.724513999999999</c:v>
                </c:pt>
                <c:pt idx="4">
                  <c:v>36.755218999999997</c:v>
                </c:pt>
                <c:pt idx="5">
                  <c:v>53.754595000000002</c:v>
                </c:pt>
                <c:pt idx="6">
                  <c:v>62.510635000000001</c:v>
                </c:pt>
                <c:pt idx="7">
                  <c:v>31.104752999999999</c:v>
                </c:pt>
                <c:pt idx="8">
                  <c:v>45.569164000000001</c:v>
                </c:pt>
                <c:pt idx="9">
                  <c:v>109.56093300000001</c:v>
                </c:pt>
                <c:pt idx="10">
                  <c:v>38.727547999999999</c:v>
                </c:pt>
                <c:pt idx="11">
                  <c:v>34.412135999999997</c:v>
                </c:pt>
                <c:pt idx="12">
                  <c:v>55.402149000000001</c:v>
                </c:pt>
              </c:numCache>
            </c:numRef>
          </c:val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0.32401200000000002</c:v>
                </c:pt>
                <c:pt idx="1">
                  <c:v>0.40592400000000001</c:v>
                </c:pt>
                <c:pt idx="2">
                  <c:v>0.28265000000000001</c:v>
                </c:pt>
                <c:pt idx="3">
                  <c:v>0.22889300000000001</c:v>
                </c:pt>
                <c:pt idx="4">
                  <c:v>0.138682</c:v>
                </c:pt>
                <c:pt idx="5">
                  <c:v>0.13932900000000001</c:v>
                </c:pt>
                <c:pt idx="6">
                  <c:v>0.19220799999999999</c:v>
                </c:pt>
                <c:pt idx="7">
                  <c:v>0.19817599999999999</c:v>
                </c:pt>
                <c:pt idx="8">
                  <c:v>0.620313</c:v>
                </c:pt>
                <c:pt idx="9">
                  <c:v>0.555396</c:v>
                </c:pt>
                <c:pt idx="10">
                  <c:v>0.41894799999999999</c:v>
                </c:pt>
                <c:pt idx="11">
                  <c:v>0.805427</c:v>
                </c:pt>
                <c:pt idx="12">
                  <c:v>0.49932900000000002</c:v>
                </c:pt>
              </c:numCache>
            </c:numRef>
          </c:val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5.3380900000000002</c:v>
                </c:pt>
                <c:pt idx="1">
                  <c:v>10.194158</c:v>
                </c:pt>
                <c:pt idx="2">
                  <c:v>11.477546</c:v>
                </c:pt>
                <c:pt idx="3">
                  <c:v>11.83853</c:v>
                </c:pt>
                <c:pt idx="4">
                  <c:v>12.382847999999999</c:v>
                </c:pt>
                <c:pt idx="5">
                  <c:v>13.341704</c:v>
                </c:pt>
                <c:pt idx="6">
                  <c:v>11.250524</c:v>
                </c:pt>
                <c:pt idx="7">
                  <c:v>9.0263849999999994</c:v>
                </c:pt>
                <c:pt idx="8">
                  <c:v>7.8414849999999996</c:v>
                </c:pt>
                <c:pt idx="9">
                  <c:v>5.9794580000000002</c:v>
                </c:pt>
                <c:pt idx="10">
                  <c:v>6.5364139999999997</c:v>
                </c:pt>
                <c:pt idx="11">
                  <c:v>7.2096450000000001</c:v>
                </c:pt>
                <c:pt idx="12">
                  <c:v>9.3192470000000007</c:v>
                </c:pt>
              </c:numCache>
            </c:numRef>
          </c:val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0.16624</c:v>
                </c:pt>
                <c:pt idx="1">
                  <c:v>0.184165</c:v>
                </c:pt>
                <c:pt idx="2">
                  <c:v>0.130801</c:v>
                </c:pt>
                <c:pt idx="3">
                  <c:v>0.12767999999999999</c:v>
                </c:pt>
                <c:pt idx="4">
                  <c:v>0.110028</c:v>
                </c:pt>
                <c:pt idx="5">
                  <c:v>5.7736999999999997E-2</c:v>
                </c:pt>
                <c:pt idx="6">
                  <c:v>5.6852E-2</c:v>
                </c:pt>
                <c:pt idx="7">
                  <c:v>1.917E-2</c:v>
                </c:pt>
                <c:pt idx="8">
                  <c:v>6.0415000000000003E-2</c:v>
                </c:pt>
                <c:pt idx="9">
                  <c:v>6.8765999999999994E-2</c:v>
                </c:pt>
                <c:pt idx="10">
                  <c:v>0.13137799999999999</c:v>
                </c:pt>
                <c:pt idx="11">
                  <c:v>0.107643</c:v>
                </c:pt>
                <c:pt idx="12">
                  <c:v>8.2346000000000003E-2</c:v>
                </c:pt>
              </c:numCache>
            </c:numRef>
          </c:val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3.0836540000000001</c:v>
                </c:pt>
                <c:pt idx="1">
                  <c:v>2.2946849999999999</c:v>
                </c:pt>
                <c:pt idx="2">
                  <c:v>1.9821660000000001</c:v>
                </c:pt>
                <c:pt idx="3">
                  <c:v>2.5785749999999998</c:v>
                </c:pt>
                <c:pt idx="4">
                  <c:v>3.3572419999999998</c:v>
                </c:pt>
                <c:pt idx="5">
                  <c:v>3.5655640000000002</c:v>
                </c:pt>
                <c:pt idx="6">
                  <c:v>3.5154580000000002</c:v>
                </c:pt>
                <c:pt idx="7">
                  <c:v>2.43655</c:v>
                </c:pt>
                <c:pt idx="8">
                  <c:v>2.5715089999999998</c:v>
                </c:pt>
                <c:pt idx="9">
                  <c:v>3.145667</c:v>
                </c:pt>
                <c:pt idx="10">
                  <c:v>3.260389</c:v>
                </c:pt>
                <c:pt idx="11">
                  <c:v>3.3415469999999998</c:v>
                </c:pt>
                <c:pt idx="12">
                  <c:v>3.483536</c:v>
                </c:pt>
              </c:numCache>
            </c:numRef>
          </c:val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4.4559544999999998</c:v>
                </c:pt>
                <c:pt idx="1">
                  <c:v>11.199851499999999</c:v>
                </c:pt>
                <c:pt idx="2">
                  <c:v>10.4867385</c:v>
                </c:pt>
                <c:pt idx="3">
                  <c:v>10.524592</c:v>
                </c:pt>
                <c:pt idx="4">
                  <c:v>14.7091545</c:v>
                </c:pt>
                <c:pt idx="5">
                  <c:v>14.429119</c:v>
                </c:pt>
                <c:pt idx="6">
                  <c:v>14.9613625</c:v>
                </c:pt>
                <c:pt idx="7">
                  <c:v>13.4535695</c:v>
                </c:pt>
                <c:pt idx="8">
                  <c:v>13.8976735</c:v>
                </c:pt>
                <c:pt idx="9">
                  <c:v>7.0333759999999996</c:v>
                </c:pt>
                <c:pt idx="10">
                  <c:v>13.124928499999999</c:v>
                </c:pt>
                <c:pt idx="11">
                  <c:v>9.5605395000000009</c:v>
                </c:pt>
                <c:pt idx="12">
                  <c:v>6.8600294999999996</c:v>
                </c:pt>
              </c:numCache>
            </c:numRef>
          </c:val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4.4559544999999998</c:v>
                </c:pt>
                <c:pt idx="1">
                  <c:v>11.199851499999999</c:v>
                </c:pt>
                <c:pt idx="2">
                  <c:v>10.4867385</c:v>
                </c:pt>
                <c:pt idx="3">
                  <c:v>10.524592</c:v>
                </c:pt>
                <c:pt idx="4">
                  <c:v>14.7091545</c:v>
                </c:pt>
                <c:pt idx="5">
                  <c:v>14.429119</c:v>
                </c:pt>
                <c:pt idx="6">
                  <c:v>14.9613625</c:v>
                </c:pt>
                <c:pt idx="7">
                  <c:v>13.4535695</c:v>
                </c:pt>
                <c:pt idx="8">
                  <c:v>13.8976735</c:v>
                </c:pt>
                <c:pt idx="9">
                  <c:v>7.0333759999999996</c:v>
                </c:pt>
                <c:pt idx="10">
                  <c:v>13.124928499999999</c:v>
                </c:pt>
                <c:pt idx="11">
                  <c:v>9.5605395000000009</c:v>
                </c:pt>
                <c:pt idx="12">
                  <c:v>6.8600294999999996</c:v>
                </c:pt>
              </c:numCache>
            </c:numRef>
          </c:val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99.993398999999997</c:v>
                </c:pt>
                <c:pt idx="1">
                  <c:v>89.996875000000003</c:v>
                </c:pt>
                <c:pt idx="2">
                  <c:v>66.467519999999993</c:v>
                </c:pt>
                <c:pt idx="3">
                  <c:v>89.565090999999995</c:v>
                </c:pt>
                <c:pt idx="4">
                  <c:v>108.62363499999999</c:v>
                </c:pt>
                <c:pt idx="5">
                  <c:v>161.79160300000001</c:v>
                </c:pt>
                <c:pt idx="6">
                  <c:v>153.133589</c:v>
                </c:pt>
                <c:pt idx="7">
                  <c:v>107.931268</c:v>
                </c:pt>
                <c:pt idx="8">
                  <c:v>92.007576999999998</c:v>
                </c:pt>
                <c:pt idx="9">
                  <c:v>65.068314999999998</c:v>
                </c:pt>
                <c:pt idx="10">
                  <c:v>112.575441</c:v>
                </c:pt>
                <c:pt idx="11">
                  <c:v>137.254998</c:v>
                </c:pt>
                <c:pt idx="12">
                  <c:v>119.223619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42124088"/>
        <c:axId val="242124480"/>
      </c:barChart>
      <c:catAx>
        <c:axId val="242124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2124480"/>
        <c:crosses val="autoZero"/>
        <c:auto val="1"/>
        <c:lblAlgn val="ctr"/>
        <c:lblOffset val="100"/>
        <c:noMultiLvlLbl val="1"/>
      </c:catAx>
      <c:valAx>
        <c:axId val="242124480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2124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18.600000000000001</c:v>
                </c:pt>
                <c:pt idx="2">
                  <c:v>16.100000000000001</c:v>
                </c:pt>
                <c:pt idx="3">
                  <c:v>28.800000000000011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13.8</c:v>
                </c:pt>
                <c:pt idx="8">
                  <c:v>5.6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22.5</c:v>
                </c:pt>
                <c:pt idx="1">
                  <c:v>2.8</c:v>
                </c:pt>
                <c:pt idx="2">
                  <c:v>31.4</c:v>
                </c:pt>
                <c:pt idx="3">
                  <c:v>32.900000000000006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7.1</c:v>
                </c:pt>
                <c:pt idx="8">
                  <c:v>3.1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3.4173000000000002E-2</c:v>
                </c:pt>
                <c:pt idx="1">
                  <c:v>0.309946</c:v>
                </c:pt>
                <c:pt idx="2">
                  <c:v>0.27612300000000001</c:v>
                </c:pt>
                <c:pt idx="3">
                  <c:v>0.308334</c:v>
                </c:pt>
                <c:pt idx="4">
                  <c:v>0.29448200000000002</c:v>
                </c:pt>
                <c:pt idx="5">
                  <c:v>0.29559600000000003</c:v>
                </c:pt>
                <c:pt idx="6">
                  <c:v>0.30764000000000002</c:v>
                </c:pt>
                <c:pt idx="7">
                  <c:v>0.28839900000000002</c:v>
                </c:pt>
                <c:pt idx="8">
                  <c:v>0.29697000000000001</c:v>
                </c:pt>
                <c:pt idx="9">
                  <c:v>0.28850700000000001</c:v>
                </c:pt>
                <c:pt idx="10">
                  <c:v>0.29630699999999999</c:v>
                </c:pt>
                <c:pt idx="11">
                  <c:v>0.29291600000000001</c:v>
                </c:pt>
                <c:pt idx="12">
                  <c:v>0.26504899999999998</c:v>
                </c:pt>
              </c:numCache>
            </c:numRef>
          </c:val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400.67938400000003</c:v>
                </c:pt>
                <c:pt idx="1">
                  <c:v>390.68041399999998</c:v>
                </c:pt>
                <c:pt idx="2">
                  <c:v>383.04386799999997</c:v>
                </c:pt>
                <c:pt idx="3">
                  <c:v>385.79396700000001</c:v>
                </c:pt>
                <c:pt idx="4">
                  <c:v>386.90275799999995</c:v>
                </c:pt>
                <c:pt idx="5">
                  <c:v>399.57809199999997</c:v>
                </c:pt>
                <c:pt idx="6">
                  <c:v>433.84668299999998</c:v>
                </c:pt>
                <c:pt idx="7">
                  <c:v>404.23612300000002</c:v>
                </c:pt>
                <c:pt idx="8">
                  <c:v>417.76272399999999</c:v>
                </c:pt>
                <c:pt idx="9">
                  <c:v>413.52137700000003</c:v>
                </c:pt>
                <c:pt idx="10">
                  <c:v>402.79991699999999</c:v>
                </c:pt>
                <c:pt idx="11">
                  <c:v>414.86051199999997</c:v>
                </c:pt>
                <c:pt idx="12">
                  <c:v>384.770937</c:v>
                </c:pt>
              </c:numCache>
            </c:numRef>
          </c:val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215.21677199999999</c:v>
                </c:pt>
                <c:pt idx="1">
                  <c:v>260.839181</c:v>
                </c:pt>
                <c:pt idx="2">
                  <c:v>246.337683</c:v>
                </c:pt>
                <c:pt idx="3">
                  <c:v>248.61678900000001</c:v>
                </c:pt>
                <c:pt idx="4">
                  <c:v>234.94823600000001</c:v>
                </c:pt>
                <c:pt idx="5">
                  <c:v>230.14559600000001</c:v>
                </c:pt>
                <c:pt idx="6">
                  <c:v>251.789052</c:v>
                </c:pt>
                <c:pt idx="7">
                  <c:v>281.47467399999999</c:v>
                </c:pt>
                <c:pt idx="8">
                  <c:v>317.069143</c:v>
                </c:pt>
                <c:pt idx="9">
                  <c:v>256.69696599999997</c:v>
                </c:pt>
                <c:pt idx="10">
                  <c:v>273.98589099999998</c:v>
                </c:pt>
                <c:pt idx="11">
                  <c:v>264.507273</c:v>
                </c:pt>
                <c:pt idx="12">
                  <c:v>221.964823</c:v>
                </c:pt>
              </c:numCache>
            </c:numRef>
          </c:val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1.754305</c:v>
                </c:pt>
                <c:pt idx="1">
                  <c:v>1.5995220000000001</c:v>
                </c:pt>
                <c:pt idx="2">
                  <c:v>2.2626460000000002</c:v>
                </c:pt>
                <c:pt idx="3">
                  <c:v>2.0342030000000002</c:v>
                </c:pt>
                <c:pt idx="4">
                  <c:v>2.3218040000000002</c:v>
                </c:pt>
                <c:pt idx="5">
                  <c:v>3.7162829999999998</c:v>
                </c:pt>
                <c:pt idx="6">
                  <c:v>2.859321</c:v>
                </c:pt>
                <c:pt idx="7">
                  <c:v>2.165861</c:v>
                </c:pt>
                <c:pt idx="8">
                  <c:v>0.87331099999999995</c:v>
                </c:pt>
                <c:pt idx="9">
                  <c:v>0.90078800000000003</c:v>
                </c:pt>
                <c:pt idx="10">
                  <c:v>0.90973300000000001</c:v>
                </c:pt>
                <c:pt idx="11">
                  <c:v>1.109656</c:v>
                </c:pt>
                <c:pt idx="12">
                  <c:v>0.97254499999999999</c:v>
                </c:pt>
              </c:numCache>
            </c:numRef>
          </c:val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46.206065000000002</c:v>
                </c:pt>
                <c:pt idx="1">
                  <c:v>50.516177999999996</c:v>
                </c:pt>
                <c:pt idx="2">
                  <c:v>45.545817999999997</c:v>
                </c:pt>
                <c:pt idx="3">
                  <c:v>55.351522000000003</c:v>
                </c:pt>
                <c:pt idx="4">
                  <c:v>56.421117000000002</c:v>
                </c:pt>
                <c:pt idx="5">
                  <c:v>95.158366999999998</c:v>
                </c:pt>
                <c:pt idx="6">
                  <c:v>65.080791000000005</c:v>
                </c:pt>
                <c:pt idx="7">
                  <c:v>51.688220999999999</c:v>
                </c:pt>
                <c:pt idx="8">
                  <c:v>22.335968000000001</c:v>
                </c:pt>
                <c:pt idx="9">
                  <c:v>32.426611999999999</c:v>
                </c:pt>
                <c:pt idx="10">
                  <c:v>42.931705999999998</c:v>
                </c:pt>
                <c:pt idx="11">
                  <c:v>55.782074999999999</c:v>
                </c:pt>
                <c:pt idx="12">
                  <c:v>48.408240999999997</c:v>
                </c:pt>
              </c:numCache>
            </c:numRef>
          </c:val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17.886313000000001</c:v>
                </c:pt>
                <c:pt idx="1">
                  <c:v>25.105015000000002</c:v>
                </c:pt>
                <c:pt idx="2">
                  <c:v>25.211383999999999</c:v>
                </c:pt>
                <c:pt idx="3">
                  <c:v>23.07987</c:v>
                </c:pt>
                <c:pt idx="4">
                  <c:v>25.992826000000001</c:v>
                </c:pt>
                <c:pt idx="5">
                  <c:v>29.45045</c:v>
                </c:pt>
                <c:pt idx="6">
                  <c:v>27.718481000000001</c:v>
                </c:pt>
                <c:pt idx="7">
                  <c:v>24.127853999999999</c:v>
                </c:pt>
                <c:pt idx="8">
                  <c:v>19.456084000000001</c:v>
                </c:pt>
                <c:pt idx="9">
                  <c:v>16.088982000000001</c:v>
                </c:pt>
                <c:pt idx="10">
                  <c:v>18.423207999999999</c:v>
                </c:pt>
                <c:pt idx="11">
                  <c:v>17.483564999999999</c:v>
                </c:pt>
                <c:pt idx="12">
                  <c:v>21.221177999999998</c:v>
                </c:pt>
              </c:numCache>
            </c:numRef>
          </c:val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feb.-18</c:v>
                </c:pt>
                <c:pt idx="1">
                  <c:v>mar.-18</c:v>
                </c:pt>
                <c:pt idx="2">
                  <c:v>abr.-18</c:v>
                </c:pt>
                <c:pt idx="3">
                  <c:v>may.-18</c:v>
                </c:pt>
                <c:pt idx="4">
                  <c:v>jun.-18</c:v>
                </c:pt>
                <c:pt idx="5">
                  <c:v>jul.-18</c:v>
                </c:pt>
                <c:pt idx="6">
                  <c:v>ago.-18</c:v>
                </c:pt>
                <c:pt idx="7">
                  <c:v>sep.-18</c:v>
                </c:pt>
                <c:pt idx="8">
                  <c:v>oct.-18</c:v>
                </c:pt>
                <c:pt idx="9">
                  <c:v>nov.-18</c:v>
                </c:pt>
                <c:pt idx="10">
                  <c:v>dic.-18</c:v>
                </c:pt>
                <c:pt idx="11">
                  <c:v>ene.-19</c:v>
                </c:pt>
                <c:pt idx="12">
                  <c:v>feb.-19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0.64657299999999995</c:v>
                </c:pt>
                <c:pt idx="1">
                  <c:v>0.83729399999999998</c:v>
                </c:pt>
                <c:pt idx="2">
                  <c:v>0.53889699999999996</c:v>
                </c:pt>
                <c:pt idx="3">
                  <c:v>0.75060099999999996</c:v>
                </c:pt>
                <c:pt idx="4">
                  <c:v>0.53101500000000001</c:v>
                </c:pt>
                <c:pt idx="5">
                  <c:v>0.70239399999999996</c:v>
                </c:pt>
                <c:pt idx="6">
                  <c:v>0.81645199999999996</c:v>
                </c:pt>
                <c:pt idx="7">
                  <c:v>0.78290899999999997</c:v>
                </c:pt>
                <c:pt idx="8">
                  <c:v>0.813334</c:v>
                </c:pt>
                <c:pt idx="9">
                  <c:v>0.85025300000000004</c:v>
                </c:pt>
                <c:pt idx="10">
                  <c:v>0.89945200000000003</c:v>
                </c:pt>
                <c:pt idx="11">
                  <c:v>0.96332899999999999</c:v>
                </c:pt>
                <c:pt idx="12">
                  <c:v>0.82279800000000003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43396304"/>
        <c:axId val="243396696"/>
      </c:barChart>
      <c:catAx>
        <c:axId val="243396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3396696"/>
        <c:crosses val="autoZero"/>
        <c:auto val="1"/>
        <c:lblAlgn val="ctr"/>
        <c:lblOffset val="100"/>
        <c:noMultiLvlLbl val="1"/>
      </c:catAx>
      <c:valAx>
        <c:axId val="24339669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3396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6" customWidth="1"/>
    <col min="2" max="2" width="2.7109375" style="96" customWidth="1"/>
    <col min="3" max="3" width="16.42578125" style="96" customWidth="1"/>
    <col min="4" max="4" width="4.7109375" style="96" customWidth="1"/>
    <col min="5" max="5" width="95.7109375" style="96" customWidth="1"/>
    <col min="6" max="16384" width="11.42578125" style="96"/>
  </cols>
  <sheetData>
    <row r="1" spans="2:15" ht="0.75" customHeight="1"/>
    <row r="2" spans="2:15" ht="21" customHeight="1">
      <c r="B2" s="96" t="s">
        <v>55</v>
      </c>
      <c r="C2" s="97"/>
      <c r="D2" s="97"/>
      <c r="E2" s="38" t="s">
        <v>24</v>
      </c>
    </row>
    <row r="3" spans="2:15" ht="15" customHeight="1">
      <c r="C3" s="97"/>
      <c r="D3" s="97"/>
      <c r="E3" s="55" t="str">
        <f>Dat_01!A2</f>
        <v>Febrero 2019</v>
      </c>
    </row>
    <row r="4" spans="2:15" s="99" customFormat="1" ht="20.25" customHeight="1">
      <c r="B4" s="98"/>
      <c r="C4" s="36" t="s">
        <v>51</v>
      </c>
    </row>
    <row r="5" spans="2:15" s="99" customFormat="1" ht="8.25" customHeight="1">
      <c r="B5" s="98"/>
      <c r="C5" s="100"/>
    </row>
    <row r="6" spans="2:15" s="99" customFormat="1" ht="3" customHeight="1">
      <c r="B6" s="98"/>
      <c r="C6" s="100"/>
    </row>
    <row r="7" spans="2:15" s="99" customFormat="1" ht="7.5" customHeight="1">
      <c r="B7" s="98"/>
      <c r="C7" s="101"/>
      <c r="D7" s="102"/>
      <c r="E7" s="102"/>
    </row>
    <row r="8" spans="2:15" ht="12.6" customHeight="1">
      <c r="D8" s="103" t="s">
        <v>56</v>
      </c>
      <c r="E8" s="104" t="str">
        <f>'SN1'!C7</f>
        <v>Componentes de la variación de la demanda Islas Baleares</v>
      </c>
    </row>
    <row r="9" spans="2:15" s="99" customFormat="1" ht="12.6" customHeight="1">
      <c r="B9" s="98"/>
      <c r="C9" s="105"/>
      <c r="D9" s="103" t="s">
        <v>56</v>
      </c>
      <c r="E9" s="104" t="str">
        <f>'SN2'!C7</f>
        <v>Componentes de la variación de la demanda Islas Canarias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5" s="99" customFormat="1" ht="12.6" customHeight="1">
      <c r="B10" s="98"/>
      <c r="C10" s="105"/>
      <c r="D10" s="103" t="s">
        <v>56</v>
      </c>
      <c r="E10" s="104" t="s">
        <v>60</v>
      </c>
      <c r="F10" s="9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5" ht="12.6" customHeight="1">
      <c r="D11" s="103" t="s">
        <v>56</v>
      </c>
      <c r="E11" s="104" t="str">
        <f>'SN4'!C7</f>
        <v>Estructura de potencia instalada Islas Baleares</v>
      </c>
      <c r="F11" s="106"/>
    </row>
    <row r="12" spans="2:15" ht="12.6" customHeight="1">
      <c r="D12" s="103" t="s">
        <v>56</v>
      </c>
      <c r="E12" s="104" t="str">
        <f>'SN4'!C24</f>
        <v>Cobertura de la demanda mensual Islas Baleares</v>
      </c>
      <c r="F12" s="106"/>
    </row>
    <row r="13" spans="2:15" ht="12.6" customHeight="1">
      <c r="D13" s="103" t="s">
        <v>56</v>
      </c>
      <c r="E13" s="104" t="str">
        <f>'SN5'!C7</f>
        <v xml:space="preserve">Evolución de la cobertura de la demanda de las Islas Baleares
</v>
      </c>
    </row>
    <row r="14" spans="2:15" ht="12.6" customHeight="1">
      <c r="D14" s="103" t="s">
        <v>56</v>
      </c>
      <c r="E14" s="104" t="str">
        <f>'SN6'!C7</f>
        <v>Estructura de potencia instalada Islas Canarias</v>
      </c>
    </row>
    <row r="15" spans="2:15" ht="12.6" customHeight="1">
      <c r="D15" s="103" t="s">
        <v>56</v>
      </c>
      <c r="E15" s="104" t="str">
        <f>'SN6'!C24</f>
        <v>Cobertura de la demanda mensual Islas Canarias</v>
      </c>
    </row>
    <row r="16" spans="2:15" ht="12.75" customHeight="1">
      <c r="D16" s="103" t="s">
        <v>56</v>
      </c>
      <c r="E16" s="104" t="str">
        <f>'SN7'!C7</f>
        <v xml:space="preserve">Evolución de la cobertura de la demanda de las Islas Canarias
</v>
      </c>
      <c r="F16" s="106"/>
    </row>
    <row r="17" spans="2:5" s="99" customFormat="1" ht="7.5" customHeight="1">
      <c r="B17" s="98"/>
      <c r="C17" s="101"/>
      <c r="D17" s="102"/>
      <c r="E17" s="102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zoomScaleNormal="10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F46" sqref="F46"/>
    </sheetView>
  </sheetViews>
  <sheetFormatPr baseColWidth="10" defaultRowHeight="12"/>
  <cols>
    <col min="1" max="1" width="31.5703125" style="115" customWidth="1"/>
    <col min="2" max="33" width="14.7109375" style="115" customWidth="1"/>
    <col min="34" max="16384" width="11.42578125" style="115"/>
  </cols>
  <sheetData>
    <row r="1" spans="1:33">
      <c r="A1" s="147" t="s">
        <v>77</v>
      </c>
      <c r="B1" s="147" t="s">
        <v>81</v>
      </c>
    </row>
    <row r="2" spans="1:33">
      <c r="A2" s="148" t="s">
        <v>104</v>
      </c>
      <c r="B2" s="148" t="s">
        <v>105</v>
      </c>
    </row>
    <row r="4" spans="1:33" ht="15">
      <c r="A4" s="149" t="s">
        <v>77</v>
      </c>
      <c r="B4" s="215" t="s">
        <v>104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</row>
    <row r="5" spans="1:33" ht="15">
      <c r="A5" s="149" t="s">
        <v>78</v>
      </c>
      <c r="B5" s="217" t="s">
        <v>20</v>
      </c>
      <c r="C5" s="218"/>
      <c r="D5" s="218"/>
      <c r="E5" s="218"/>
      <c r="F5" s="218"/>
      <c r="G5" s="218"/>
      <c r="H5" s="218"/>
      <c r="I5" s="219"/>
      <c r="J5" s="217" t="s">
        <v>19</v>
      </c>
      <c r="K5" s="218"/>
      <c r="L5" s="218"/>
      <c r="M5" s="218"/>
      <c r="N5" s="218"/>
      <c r="O5" s="218"/>
      <c r="P5" s="218"/>
      <c r="Q5" s="219"/>
      <c r="R5" s="217" t="s">
        <v>67</v>
      </c>
      <c r="S5" s="218"/>
      <c r="T5" s="218"/>
      <c r="U5" s="218"/>
      <c r="V5" s="218"/>
      <c r="W5" s="218"/>
      <c r="X5" s="218"/>
      <c r="Y5" s="219"/>
      <c r="Z5" s="217" t="s">
        <v>68</v>
      </c>
      <c r="AA5" s="218"/>
      <c r="AB5" s="218"/>
      <c r="AC5" s="218"/>
      <c r="AD5" s="218"/>
      <c r="AE5" s="218"/>
      <c r="AF5" s="218"/>
      <c r="AG5" s="218"/>
    </row>
    <row r="6" spans="1:33">
      <c r="A6" s="149" t="s">
        <v>79</v>
      </c>
      <c r="B6" s="188" t="s">
        <v>69</v>
      </c>
      <c r="C6" s="188" t="s">
        <v>70</v>
      </c>
      <c r="D6" s="188" t="s">
        <v>71</v>
      </c>
      <c r="E6" s="188" t="s">
        <v>72</v>
      </c>
      <c r="F6" s="188" t="s">
        <v>73</v>
      </c>
      <c r="G6" s="188" t="s">
        <v>74</v>
      </c>
      <c r="H6" s="188" t="s">
        <v>75</v>
      </c>
      <c r="I6" s="188" t="s">
        <v>76</v>
      </c>
      <c r="J6" s="188" t="s">
        <v>69</v>
      </c>
      <c r="K6" s="188" t="s">
        <v>70</v>
      </c>
      <c r="L6" s="188" t="s">
        <v>71</v>
      </c>
      <c r="M6" s="188" t="s">
        <v>72</v>
      </c>
      <c r="N6" s="188" t="s">
        <v>73</v>
      </c>
      <c r="O6" s="188" t="s">
        <v>74</v>
      </c>
      <c r="P6" s="188" t="s">
        <v>75</v>
      </c>
      <c r="Q6" s="188" t="s">
        <v>76</v>
      </c>
      <c r="R6" s="188" t="s">
        <v>69</v>
      </c>
      <c r="S6" s="188" t="s">
        <v>70</v>
      </c>
      <c r="T6" s="188" t="s">
        <v>71</v>
      </c>
      <c r="U6" s="188" t="s">
        <v>72</v>
      </c>
      <c r="V6" s="188" t="s">
        <v>73</v>
      </c>
      <c r="W6" s="188" t="s">
        <v>74</v>
      </c>
      <c r="X6" s="188" t="s">
        <v>75</v>
      </c>
      <c r="Y6" s="188" t="s">
        <v>76</v>
      </c>
      <c r="Z6" s="188" t="s">
        <v>69</v>
      </c>
      <c r="AA6" s="188" t="s">
        <v>70</v>
      </c>
      <c r="AB6" s="188" t="s">
        <v>71</v>
      </c>
      <c r="AC6" s="188" t="s">
        <v>72</v>
      </c>
      <c r="AD6" s="188" t="s">
        <v>73</v>
      </c>
      <c r="AE6" s="188" t="s">
        <v>74</v>
      </c>
      <c r="AF6" s="188" t="s">
        <v>75</v>
      </c>
      <c r="AG6" s="188" t="s">
        <v>76</v>
      </c>
    </row>
    <row r="7" spans="1:33">
      <c r="A7" s="149" t="s">
        <v>80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3">
      <c r="A8" s="148" t="s">
        <v>17</v>
      </c>
      <c r="B8" s="162">
        <v>0</v>
      </c>
      <c r="C8" s="162">
        <v>0</v>
      </c>
      <c r="D8" s="155">
        <v>0</v>
      </c>
      <c r="E8" s="162">
        <v>0</v>
      </c>
      <c r="F8" s="162">
        <v>0</v>
      </c>
      <c r="G8" s="155">
        <v>0</v>
      </c>
      <c r="H8" s="162">
        <v>0</v>
      </c>
      <c r="I8" s="155">
        <v>0</v>
      </c>
      <c r="J8" s="162">
        <v>0</v>
      </c>
      <c r="K8" s="162">
        <v>0</v>
      </c>
      <c r="L8" s="155">
        <v>0</v>
      </c>
      <c r="M8" s="162">
        <v>0</v>
      </c>
      <c r="N8" s="162">
        <v>0</v>
      </c>
      <c r="O8" s="155">
        <v>0</v>
      </c>
      <c r="P8" s="162">
        <v>0</v>
      </c>
      <c r="Q8" s="155">
        <v>0</v>
      </c>
      <c r="R8" s="162">
        <v>0</v>
      </c>
      <c r="S8" s="162">
        <v>0</v>
      </c>
      <c r="T8" s="155">
        <v>0</v>
      </c>
      <c r="U8" s="162">
        <v>0</v>
      </c>
      <c r="V8" s="162">
        <v>0</v>
      </c>
      <c r="W8" s="155">
        <v>0</v>
      </c>
      <c r="X8" s="162">
        <v>0</v>
      </c>
      <c r="Y8" s="155">
        <v>0</v>
      </c>
      <c r="Z8" s="162">
        <v>265.04899999999998</v>
      </c>
      <c r="AA8" s="162">
        <v>34.173000000000002</v>
      </c>
      <c r="AB8" s="155">
        <v>6.7560939923000003</v>
      </c>
      <c r="AC8" s="162">
        <v>557.96500000000003</v>
      </c>
      <c r="AD8" s="162">
        <v>313.60500000000002</v>
      </c>
      <c r="AE8" s="155">
        <v>0.77919676029999996</v>
      </c>
      <c r="AF8" s="162">
        <v>3520.2689999999998</v>
      </c>
      <c r="AG8" s="155">
        <v>0.1407485396</v>
      </c>
    </row>
    <row r="9" spans="1:33">
      <c r="A9" s="148" t="s">
        <v>16</v>
      </c>
      <c r="B9" s="162">
        <v>0</v>
      </c>
      <c r="C9" s="162">
        <v>0</v>
      </c>
      <c r="D9" s="155">
        <v>0</v>
      </c>
      <c r="E9" s="162">
        <v>0</v>
      </c>
      <c r="F9" s="162">
        <v>0</v>
      </c>
      <c r="G9" s="155">
        <v>0</v>
      </c>
      <c r="H9" s="162">
        <v>0</v>
      </c>
      <c r="I9" s="155">
        <v>0</v>
      </c>
      <c r="J9" s="162">
        <v>0</v>
      </c>
      <c r="K9" s="162">
        <v>0</v>
      </c>
      <c r="L9" s="155">
        <v>0</v>
      </c>
      <c r="M9" s="162">
        <v>0</v>
      </c>
      <c r="N9" s="162">
        <v>0</v>
      </c>
      <c r="O9" s="155">
        <v>0</v>
      </c>
      <c r="P9" s="162">
        <v>0</v>
      </c>
      <c r="Q9" s="155">
        <v>0</v>
      </c>
      <c r="R9" s="162">
        <v>163684.095</v>
      </c>
      <c r="S9" s="162">
        <v>192794.93400000001</v>
      </c>
      <c r="T9" s="155">
        <v>-0.15099379630000001</v>
      </c>
      <c r="U9" s="162">
        <v>380472.25699999998</v>
      </c>
      <c r="V9" s="162">
        <v>391349.96299999999</v>
      </c>
      <c r="W9" s="155">
        <v>-2.7795341800000001E-2</v>
      </c>
      <c r="X9" s="162">
        <v>2380972.085</v>
      </c>
      <c r="Y9" s="155">
        <v>-7.6558195800000006E-2</v>
      </c>
      <c r="Z9" s="162">
        <v>0</v>
      </c>
      <c r="AA9" s="162">
        <v>0</v>
      </c>
      <c r="AB9" s="155">
        <v>0</v>
      </c>
      <c r="AC9" s="162">
        <v>0</v>
      </c>
      <c r="AD9" s="162">
        <v>0</v>
      </c>
      <c r="AE9" s="155">
        <v>0</v>
      </c>
      <c r="AF9" s="162">
        <v>0</v>
      </c>
      <c r="AG9" s="155">
        <v>0</v>
      </c>
    </row>
    <row r="10" spans="1:33">
      <c r="A10" s="148" t="s">
        <v>93</v>
      </c>
      <c r="B10" s="162">
        <v>16018.849</v>
      </c>
      <c r="C10" s="162">
        <v>17093.705999999998</v>
      </c>
      <c r="D10" s="155">
        <v>-6.2880278900000003E-2</v>
      </c>
      <c r="E10" s="162">
        <v>33848.718999999997</v>
      </c>
      <c r="F10" s="162">
        <v>35637.214</v>
      </c>
      <c r="G10" s="155">
        <v>-5.0186162100000001E-2</v>
      </c>
      <c r="H10" s="162">
        <v>205447.64300000001</v>
      </c>
      <c r="I10" s="155">
        <v>6.9097888000000003E-3</v>
      </c>
      <c r="J10" s="162">
        <v>14979.092000000001</v>
      </c>
      <c r="K10" s="162">
        <v>16046.134</v>
      </c>
      <c r="L10" s="155">
        <v>-6.6498385199999996E-2</v>
      </c>
      <c r="M10" s="162">
        <v>32404.815999999999</v>
      </c>
      <c r="N10" s="162">
        <v>33141.453000000001</v>
      </c>
      <c r="O10" s="155">
        <v>-2.2227058099999999E-2</v>
      </c>
      <c r="P10" s="162">
        <v>201377.02900000001</v>
      </c>
      <c r="Q10" s="155">
        <v>1.5895159E-3</v>
      </c>
      <c r="R10" s="162">
        <v>26576.927</v>
      </c>
      <c r="S10" s="162">
        <v>38969.616000000002</v>
      </c>
      <c r="T10" s="155">
        <v>-0.31800900989999997</v>
      </c>
      <c r="U10" s="162">
        <v>61789.175000000003</v>
      </c>
      <c r="V10" s="162">
        <v>74049.797999999995</v>
      </c>
      <c r="W10" s="155">
        <v>-0.16557267310000001</v>
      </c>
      <c r="X10" s="162">
        <v>622609.32200000004</v>
      </c>
      <c r="Y10" s="155">
        <v>-0.1290988723</v>
      </c>
      <c r="Z10" s="162">
        <v>152846.85699999999</v>
      </c>
      <c r="AA10" s="162">
        <v>165518.859</v>
      </c>
      <c r="AB10" s="155">
        <v>-7.6559263899999994E-2</v>
      </c>
      <c r="AC10" s="162">
        <v>327111.12900000002</v>
      </c>
      <c r="AD10" s="162">
        <v>349989.81400000001</v>
      </c>
      <c r="AE10" s="155">
        <v>-6.5369573900000005E-2</v>
      </c>
      <c r="AF10" s="162">
        <v>2098285.3470000001</v>
      </c>
      <c r="AG10" s="155">
        <v>-6.2537479399999998E-2</v>
      </c>
    </row>
    <row r="11" spans="1:33">
      <c r="A11" s="148" t="s">
        <v>14</v>
      </c>
      <c r="B11" s="162">
        <v>0.67800000000000005</v>
      </c>
      <c r="C11" s="162">
        <v>5.36</v>
      </c>
      <c r="D11" s="155">
        <v>-0.87350746270000001</v>
      </c>
      <c r="E11" s="162">
        <v>1.0369999999999999</v>
      </c>
      <c r="F11" s="162">
        <v>5.9130000000000003</v>
      </c>
      <c r="G11" s="155">
        <v>-0.82462371050000005</v>
      </c>
      <c r="H11" s="162">
        <v>115.21</v>
      </c>
      <c r="I11" s="155">
        <v>-0.43022605990000001</v>
      </c>
      <c r="J11" s="162">
        <v>0.51300000000000001</v>
      </c>
      <c r="K11" s="162">
        <v>8.6690000000000005</v>
      </c>
      <c r="L11" s="155">
        <v>-0.9408236244</v>
      </c>
      <c r="M11" s="162">
        <v>1.0740000000000001</v>
      </c>
      <c r="N11" s="162">
        <v>52.966999999999999</v>
      </c>
      <c r="O11" s="155">
        <v>-0.9797232239</v>
      </c>
      <c r="P11" s="162">
        <v>15.208</v>
      </c>
      <c r="Q11" s="155">
        <v>-0.87943937090000002</v>
      </c>
      <c r="R11" s="162">
        <v>22600.86</v>
      </c>
      <c r="S11" s="162">
        <v>59882.574999999997</v>
      </c>
      <c r="T11" s="155">
        <v>-0.62258035830000003</v>
      </c>
      <c r="U11" s="162">
        <v>45125.347999999998</v>
      </c>
      <c r="V11" s="162">
        <v>119734.83100000001</v>
      </c>
      <c r="W11" s="155">
        <v>-0.62312263170000004</v>
      </c>
      <c r="X11" s="162">
        <v>690389.53200000001</v>
      </c>
      <c r="Y11" s="155">
        <v>5.83863497E-2</v>
      </c>
      <c r="Z11" s="162">
        <v>18942.269</v>
      </c>
      <c r="AA11" s="162">
        <v>24751.364000000001</v>
      </c>
      <c r="AB11" s="155">
        <v>-0.2346979746</v>
      </c>
      <c r="AC11" s="162">
        <v>40887.896999999997</v>
      </c>
      <c r="AD11" s="162">
        <v>52000.504999999997</v>
      </c>
      <c r="AE11" s="155">
        <v>-0.21370192460000001</v>
      </c>
      <c r="AF11" s="162">
        <v>273241.17599999998</v>
      </c>
      <c r="AG11" s="155">
        <v>-0.1241489482</v>
      </c>
    </row>
    <row r="12" spans="1:33">
      <c r="A12" s="148" t="s">
        <v>13</v>
      </c>
      <c r="B12" s="162">
        <v>0</v>
      </c>
      <c r="C12" s="162">
        <v>0</v>
      </c>
      <c r="D12" s="155">
        <v>0</v>
      </c>
      <c r="E12" s="162">
        <v>0</v>
      </c>
      <c r="F12" s="162">
        <v>0</v>
      </c>
      <c r="G12" s="155">
        <v>0</v>
      </c>
      <c r="H12" s="162">
        <v>0</v>
      </c>
      <c r="I12" s="155">
        <v>0</v>
      </c>
      <c r="J12" s="162">
        <v>0</v>
      </c>
      <c r="K12" s="162">
        <v>0</v>
      </c>
      <c r="L12" s="155">
        <v>0</v>
      </c>
      <c r="M12" s="162">
        <v>0</v>
      </c>
      <c r="N12" s="162">
        <v>0</v>
      </c>
      <c r="O12" s="155">
        <v>0</v>
      </c>
      <c r="P12" s="162">
        <v>0</v>
      </c>
      <c r="Q12" s="155">
        <v>0</v>
      </c>
      <c r="R12" s="162">
        <v>0</v>
      </c>
      <c r="S12" s="162">
        <v>0</v>
      </c>
      <c r="T12" s="155">
        <v>0</v>
      </c>
      <c r="U12" s="162">
        <v>0</v>
      </c>
      <c r="V12" s="162">
        <v>0</v>
      </c>
      <c r="W12" s="155">
        <v>0</v>
      </c>
      <c r="X12" s="162">
        <v>0</v>
      </c>
      <c r="Y12" s="155">
        <v>0</v>
      </c>
      <c r="Z12" s="162">
        <v>212981.81099999999</v>
      </c>
      <c r="AA12" s="162">
        <v>210409.16099999999</v>
      </c>
      <c r="AB12" s="155">
        <v>1.2226891599999999E-2</v>
      </c>
      <c r="AC12" s="162">
        <v>431632.42300000001</v>
      </c>
      <c r="AD12" s="162">
        <v>440793.94500000001</v>
      </c>
      <c r="AE12" s="155">
        <v>-2.0784137599999999E-2</v>
      </c>
      <c r="AF12" s="162">
        <v>2446270.8489999999</v>
      </c>
      <c r="AG12" s="155">
        <v>-9.6339360400000004E-2</v>
      </c>
    </row>
    <row r="13" spans="1:33">
      <c r="A13" s="148" t="s">
        <v>30</v>
      </c>
      <c r="B13" s="162">
        <v>0</v>
      </c>
      <c r="C13" s="162">
        <v>0</v>
      </c>
      <c r="D13" s="155">
        <v>0</v>
      </c>
      <c r="E13" s="162">
        <v>0</v>
      </c>
      <c r="F13" s="162">
        <v>0</v>
      </c>
      <c r="G13" s="155">
        <v>0</v>
      </c>
      <c r="H13" s="162">
        <v>0</v>
      </c>
      <c r="I13" s="155">
        <v>0</v>
      </c>
      <c r="J13" s="162">
        <v>0</v>
      </c>
      <c r="K13" s="162">
        <v>0</v>
      </c>
      <c r="L13" s="155">
        <v>0</v>
      </c>
      <c r="M13" s="162">
        <v>0</v>
      </c>
      <c r="N13" s="162">
        <v>0</v>
      </c>
      <c r="O13" s="155">
        <v>0</v>
      </c>
      <c r="P13" s="162">
        <v>0</v>
      </c>
      <c r="Q13" s="155">
        <v>0</v>
      </c>
      <c r="R13" s="162">
        <v>55402.148999999998</v>
      </c>
      <c r="S13" s="162">
        <v>48135.34</v>
      </c>
      <c r="T13" s="155">
        <v>0.1509661924</v>
      </c>
      <c r="U13" s="162">
        <v>89814.285000000003</v>
      </c>
      <c r="V13" s="162">
        <v>79335.604000000007</v>
      </c>
      <c r="W13" s="155">
        <v>0.13208043389999999</v>
      </c>
      <c r="X13" s="162">
        <v>601007.94499999995</v>
      </c>
      <c r="Y13" s="155">
        <v>0.406544611</v>
      </c>
      <c r="Z13" s="162">
        <v>221964.823</v>
      </c>
      <c r="AA13" s="162">
        <v>215216.772</v>
      </c>
      <c r="AB13" s="155">
        <v>3.1354670600000002E-2</v>
      </c>
      <c r="AC13" s="162">
        <v>486472.09600000002</v>
      </c>
      <c r="AD13" s="162">
        <v>449118.397</v>
      </c>
      <c r="AE13" s="155">
        <v>8.3171162100000001E-2</v>
      </c>
      <c r="AF13" s="162">
        <v>3088375.307</v>
      </c>
      <c r="AG13" s="155">
        <v>5.3420793699999997E-2</v>
      </c>
    </row>
    <row r="14" spans="1:33">
      <c r="A14" s="148" t="s">
        <v>29</v>
      </c>
      <c r="B14" s="162">
        <v>0</v>
      </c>
      <c r="C14" s="162">
        <v>0</v>
      </c>
      <c r="D14" s="155">
        <v>0</v>
      </c>
      <c r="E14" s="162">
        <v>0</v>
      </c>
      <c r="F14" s="162">
        <v>0</v>
      </c>
      <c r="G14" s="155">
        <v>0</v>
      </c>
      <c r="H14" s="162">
        <v>0</v>
      </c>
      <c r="I14" s="155">
        <v>0</v>
      </c>
      <c r="J14" s="162">
        <v>0</v>
      </c>
      <c r="K14" s="162">
        <v>0</v>
      </c>
      <c r="L14" s="155">
        <v>0</v>
      </c>
      <c r="M14" s="162">
        <v>0</v>
      </c>
      <c r="N14" s="162">
        <v>0</v>
      </c>
      <c r="O14" s="155">
        <v>0</v>
      </c>
      <c r="P14" s="162">
        <v>0</v>
      </c>
      <c r="Q14" s="155">
        <v>0</v>
      </c>
      <c r="R14" s="162">
        <v>0</v>
      </c>
      <c r="S14" s="162">
        <v>0</v>
      </c>
      <c r="T14" s="155">
        <v>0</v>
      </c>
      <c r="U14" s="162">
        <v>0</v>
      </c>
      <c r="V14" s="162">
        <v>0</v>
      </c>
      <c r="W14" s="155">
        <v>0</v>
      </c>
      <c r="X14" s="162">
        <v>12813.724</v>
      </c>
      <c r="Y14" s="155">
        <v>-0.1310646992</v>
      </c>
      <c r="Z14" s="162">
        <v>0</v>
      </c>
      <c r="AA14" s="162">
        <v>0</v>
      </c>
      <c r="AB14" s="155">
        <v>0</v>
      </c>
      <c r="AC14" s="162">
        <v>0</v>
      </c>
      <c r="AD14" s="162">
        <v>0</v>
      </c>
      <c r="AE14" s="155">
        <v>0</v>
      </c>
      <c r="AF14" s="162">
        <v>0</v>
      </c>
      <c r="AG14" s="155">
        <v>0</v>
      </c>
    </row>
    <row r="15" spans="1:33">
      <c r="A15" s="148" t="s">
        <v>9</v>
      </c>
      <c r="B15" s="162">
        <v>0</v>
      </c>
      <c r="C15" s="162">
        <v>0</v>
      </c>
      <c r="D15" s="155">
        <v>0</v>
      </c>
      <c r="E15" s="162">
        <v>0</v>
      </c>
      <c r="F15" s="162">
        <v>0</v>
      </c>
      <c r="G15" s="155">
        <v>0</v>
      </c>
      <c r="H15" s="162">
        <v>0</v>
      </c>
      <c r="I15" s="155">
        <v>0</v>
      </c>
      <c r="J15" s="162">
        <v>0</v>
      </c>
      <c r="K15" s="162">
        <v>0</v>
      </c>
      <c r="L15" s="155">
        <v>0</v>
      </c>
      <c r="M15" s="162">
        <v>0</v>
      </c>
      <c r="N15" s="162">
        <v>0</v>
      </c>
      <c r="O15" s="155">
        <v>0</v>
      </c>
      <c r="P15" s="162">
        <v>0</v>
      </c>
      <c r="Q15" s="155">
        <v>0</v>
      </c>
      <c r="R15" s="162">
        <v>0</v>
      </c>
      <c r="S15" s="162">
        <v>0</v>
      </c>
      <c r="T15" s="155">
        <v>0</v>
      </c>
      <c r="U15" s="162">
        <v>0</v>
      </c>
      <c r="V15" s="162">
        <v>0</v>
      </c>
      <c r="W15" s="155">
        <v>0</v>
      </c>
      <c r="X15" s="162">
        <v>0</v>
      </c>
      <c r="Y15" s="155">
        <v>0</v>
      </c>
      <c r="Z15" s="162">
        <v>972.54499999999996</v>
      </c>
      <c r="AA15" s="162">
        <v>1754.3050000000001</v>
      </c>
      <c r="AB15" s="155">
        <v>-0.44562376549999999</v>
      </c>
      <c r="AC15" s="162">
        <v>2082.201</v>
      </c>
      <c r="AD15" s="162">
        <v>4012.0720000000001</v>
      </c>
      <c r="AE15" s="155">
        <v>-0.4810160436</v>
      </c>
      <c r="AF15" s="162">
        <v>21725.672999999999</v>
      </c>
      <c r="AG15" s="155">
        <v>-6.7317349999999995E-4</v>
      </c>
    </row>
    <row r="16" spans="1:33">
      <c r="A16" s="148" t="s">
        <v>8</v>
      </c>
      <c r="B16" s="162">
        <v>0</v>
      </c>
      <c r="C16" s="162">
        <v>0</v>
      </c>
      <c r="D16" s="155">
        <v>0</v>
      </c>
      <c r="E16" s="162">
        <v>0</v>
      </c>
      <c r="F16" s="162">
        <v>0</v>
      </c>
      <c r="G16" s="155">
        <v>0</v>
      </c>
      <c r="H16" s="162">
        <v>0</v>
      </c>
      <c r="I16" s="155">
        <v>0</v>
      </c>
      <c r="J16" s="162">
        <v>0</v>
      </c>
      <c r="K16" s="162">
        <v>0</v>
      </c>
      <c r="L16" s="155">
        <v>0</v>
      </c>
      <c r="M16" s="162">
        <v>0</v>
      </c>
      <c r="N16" s="162">
        <v>0</v>
      </c>
      <c r="O16" s="155">
        <v>0</v>
      </c>
      <c r="P16" s="162">
        <v>0</v>
      </c>
      <c r="Q16" s="155">
        <v>0</v>
      </c>
      <c r="R16" s="162">
        <v>499.32900000000001</v>
      </c>
      <c r="S16" s="162">
        <v>324.012</v>
      </c>
      <c r="T16" s="155">
        <v>0.54108181180000003</v>
      </c>
      <c r="U16" s="162">
        <v>1304.7560000000001</v>
      </c>
      <c r="V16" s="162">
        <v>576.65200000000004</v>
      </c>
      <c r="W16" s="155">
        <v>1.2626402058999999</v>
      </c>
      <c r="X16" s="162">
        <v>4485.2749999999996</v>
      </c>
      <c r="Y16" s="155">
        <v>0.63121788680000002</v>
      </c>
      <c r="Z16" s="162">
        <v>48408.241000000002</v>
      </c>
      <c r="AA16" s="162">
        <v>46206.065000000002</v>
      </c>
      <c r="AB16" s="155">
        <v>4.7659890500000003E-2</v>
      </c>
      <c r="AC16" s="162">
        <v>104190.31600000001</v>
      </c>
      <c r="AD16" s="162">
        <v>103114.40399999999</v>
      </c>
      <c r="AE16" s="155">
        <v>1.04341582E-2</v>
      </c>
      <c r="AF16" s="162">
        <v>621646.61600000004</v>
      </c>
      <c r="AG16" s="155">
        <v>0.34777864759999999</v>
      </c>
    </row>
    <row r="17" spans="1:33">
      <c r="A17" s="148" t="s">
        <v>7</v>
      </c>
      <c r="B17" s="162">
        <v>0</v>
      </c>
      <c r="C17" s="162">
        <v>0</v>
      </c>
      <c r="D17" s="155">
        <v>0</v>
      </c>
      <c r="E17" s="162">
        <v>0</v>
      </c>
      <c r="F17" s="162">
        <v>0</v>
      </c>
      <c r="G17" s="155">
        <v>0</v>
      </c>
      <c r="H17" s="162">
        <v>0</v>
      </c>
      <c r="I17" s="155">
        <v>0</v>
      </c>
      <c r="J17" s="162">
        <v>5.5259999999999998</v>
      </c>
      <c r="K17" s="162">
        <v>5.8739999999999997</v>
      </c>
      <c r="L17" s="155">
        <v>-5.9244126699999997E-2</v>
      </c>
      <c r="M17" s="162">
        <v>10.579000000000001</v>
      </c>
      <c r="N17" s="162">
        <v>10.079000000000001</v>
      </c>
      <c r="O17" s="155">
        <v>4.9608095999999997E-2</v>
      </c>
      <c r="P17" s="162">
        <v>75.111000000000004</v>
      </c>
      <c r="Q17" s="155">
        <v>-3.5207830199999998E-2</v>
      </c>
      <c r="R17" s="162">
        <v>9319.2469999999994</v>
      </c>
      <c r="S17" s="162">
        <v>5338.09</v>
      </c>
      <c r="T17" s="155">
        <v>0.74580177550000004</v>
      </c>
      <c r="U17" s="162">
        <v>16528.892</v>
      </c>
      <c r="V17" s="162">
        <v>12382.59</v>
      </c>
      <c r="W17" s="155">
        <v>0.33484933280000001</v>
      </c>
      <c r="X17" s="162">
        <v>116397.944</v>
      </c>
      <c r="Y17" s="155">
        <v>-5.1833751300000001E-2</v>
      </c>
      <c r="Z17" s="162">
        <v>21221.178</v>
      </c>
      <c r="AA17" s="162">
        <v>17886.312999999998</v>
      </c>
      <c r="AB17" s="155">
        <v>0.1864478722</v>
      </c>
      <c r="AC17" s="162">
        <v>38704.743000000002</v>
      </c>
      <c r="AD17" s="162">
        <v>36959.057999999997</v>
      </c>
      <c r="AE17" s="155">
        <v>4.7232940799999998E-2</v>
      </c>
      <c r="AF17" s="162">
        <v>273358.897</v>
      </c>
      <c r="AG17" s="155">
        <v>-8.6835910000000001E-4</v>
      </c>
    </row>
    <row r="18" spans="1:33">
      <c r="A18" s="148" t="s">
        <v>27</v>
      </c>
      <c r="B18" s="162">
        <v>0</v>
      </c>
      <c r="C18" s="162">
        <v>0</v>
      </c>
      <c r="D18" s="155">
        <v>0</v>
      </c>
      <c r="E18" s="162">
        <v>0</v>
      </c>
      <c r="F18" s="162">
        <v>0</v>
      </c>
      <c r="G18" s="155">
        <v>0</v>
      </c>
      <c r="H18" s="162">
        <v>0</v>
      </c>
      <c r="I18" s="155">
        <v>0</v>
      </c>
      <c r="J18" s="162">
        <v>0</v>
      </c>
      <c r="K18" s="162">
        <v>0</v>
      </c>
      <c r="L18" s="155">
        <v>0</v>
      </c>
      <c r="M18" s="162">
        <v>0</v>
      </c>
      <c r="N18" s="162">
        <v>0</v>
      </c>
      <c r="O18" s="155">
        <v>0</v>
      </c>
      <c r="P18" s="162">
        <v>0</v>
      </c>
      <c r="Q18" s="155">
        <v>0</v>
      </c>
      <c r="R18" s="162">
        <v>82.346000000000004</v>
      </c>
      <c r="S18" s="162">
        <v>166.24</v>
      </c>
      <c r="T18" s="155">
        <v>-0.50465591919999997</v>
      </c>
      <c r="U18" s="162">
        <v>189.989</v>
      </c>
      <c r="V18" s="162">
        <v>385.60300000000001</v>
      </c>
      <c r="W18" s="155">
        <v>-0.50729377109999996</v>
      </c>
      <c r="X18" s="162">
        <v>1136.981</v>
      </c>
      <c r="Y18" s="155">
        <v>-0.3243568953</v>
      </c>
      <c r="Z18" s="162">
        <v>822.798</v>
      </c>
      <c r="AA18" s="162">
        <v>646.57299999999998</v>
      </c>
      <c r="AB18" s="155">
        <v>0.27255236449999998</v>
      </c>
      <c r="AC18" s="162">
        <v>1786.127</v>
      </c>
      <c r="AD18" s="162">
        <v>1408.9960000000001</v>
      </c>
      <c r="AE18" s="155">
        <v>0.26765938299999997</v>
      </c>
      <c r="AF18" s="162">
        <v>9308.7279999999992</v>
      </c>
      <c r="AG18" s="155">
        <v>-1.4174736699999999E-2</v>
      </c>
    </row>
    <row r="19" spans="1:33">
      <c r="A19" s="148" t="s">
        <v>28</v>
      </c>
      <c r="B19" s="162">
        <v>0</v>
      </c>
      <c r="C19" s="162">
        <v>0</v>
      </c>
      <c r="D19" s="155">
        <v>0</v>
      </c>
      <c r="E19" s="162">
        <v>0</v>
      </c>
      <c r="F19" s="162">
        <v>0</v>
      </c>
      <c r="G19" s="155">
        <v>0</v>
      </c>
      <c r="H19" s="162">
        <v>0</v>
      </c>
      <c r="I19" s="155">
        <v>0</v>
      </c>
      <c r="J19" s="162">
        <v>0</v>
      </c>
      <c r="K19" s="162">
        <v>0</v>
      </c>
      <c r="L19" s="155">
        <v>0</v>
      </c>
      <c r="M19" s="162">
        <v>0</v>
      </c>
      <c r="N19" s="162">
        <v>0</v>
      </c>
      <c r="O19" s="155">
        <v>0</v>
      </c>
      <c r="P19" s="162">
        <v>0</v>
      </c>
      <c r="Q19" s="155">
        <v>0</v>
      </c>
      <c r="R19" s="162">
        <v>3483.5360000000001</v>
      </c>
      <c r="S19" s="162">
        <v>3083.654</v>
      </c>
      <c r="T19" s="155">
        <v>0.129677973</v>
      </c>
      <c r="U19" s="162">
        <v>6825.0829999999996</v>
      </c>
      <c r="V19" s="162">
        <v>6266.6409999999996</v>
      </c>
      <c r="W19" s="155">
        <v>8.9113450100000005E-2</v>
      </c>
      <c r="X19" s="162">
        <v>35532.887999999999</v>
      </c>
      <c r="Y19" s="155">
        <v>-2.3461216900000002E-2</v>
      </c>
      <c r="Z19" s="162">
        <v>0</v>
      </c>
      <c r="AA19" s="162">
        <v>0</v>
      </c>
      <c r="AB19" s="155">
        <v>0</v>
      </c>
      <c r="AC19" s="162">
        <v>0</v>
      </c>
      <c r="AD19" s="162">
        <v>0</v>
      </c>
      <c r="AE19" s="155">
        <v>0</v>
      </c>
      <c r="AF19" s="162">
        <v>0</v>
      </c>
      <c r="AG19" s="155">
        <v>0</v>
      </c>
    </row>
    <row r="20" spans="1:33">
      <c r="A20" s="148" t="s">
        <v>61</v>
      </c>
      <c r="B20" s="162">
        <v>0</v>
      </c>
      <c r="C20" s="162">
        <v>0</v>
      </c>
      <c r="D20" s="155">
        <v>0</v>
      </c>
      <c r="E20" s="162">
        <v>0</v>
      </c>
      <c r="F20" s="162">
        <v>0</v>
      </c>
      <c r="G20" s="155">
        <v>0</v>
      </c>
      <c r="H20" s="162">
        <v>0</v>
      </c>
      <c r="I20" s="155">
        <v>0</v>
      </c>
      <c r="J20" s="162">
        <v>489.697</v>
      </c>
      <c r="K20" s="162">
        <v>484.48050000000001</v>
      </c>
      <c r="L20" s="155">
        <v>1.07672032E-2</v>
      </c>
      <c r="M20" s="162">
        <v>1039.1210000000001</v>
      </c>
      <c r="N20" s="162">
        <v>1005.556</v>
      </c>
      <c r="O20" s="155">
        <v>3.3379543300000002E-2</v>
      </c>
      <c r="P20" s="162">
        <v>5380.4040000000005</v>
      </c>
      <c r="Q20" s="155">
        <v>5.4064760199999999E-2</v>
      </c>
      <c r="R20" s="162">
        <v>6860.0294999999996</v>
      </c>
      <c r="S20" s="162">
        <v>4455.9544999999998</v>
      </c>
      <c r="T20" s="155">
        <v>0.53951964720000001</v>
      </c>
      <c r="U20" s="162">
        <v>16420.569</v>
      </c>
      <c r="V20" s="162">
        <v>11937.379000000001</v>
      </c>
      <c r="W20" s="155">
        <v>0.37555898999999998</v>
      </c>
      <c r="X20" s="162">
        <v>140240.9345</v>
      </c>
      <c r="Y20" s="155">
        <v>-5.7338479999999997E-3</v>
      </c>
      <c r="Z20" s="162">
        <v>0</v>
      </c>
      <c r="AA20" s="162">
        <v>0</v>
      </c>
      <c r="AB20" s="155">
        <v>0</v>
      </c>
      <c r="AC20" s="162">
        <v>0</v>
      </c>
      <c r="AD20" s="162">
        <v>0</v>
      </c>
      <c r="AE20" s="155">
        <v>0</v>
      </c>
      <c r="AF20" s="162">
        <v>0</v>
      </c>
      <c r="AG20" s="155">
        <v>0</v>
      </c>
    </row>
    <row r="21" spans="1:33">
      <c r="A21" s="148" t="s">
        <v>62</v>
      </c>
      <c r="B21" s="162">
        <v>0</v>
      </c>
      <c r="C21" s="162">
        <v>0</v>
      </c>
      <c r="D21" s="155">
        <v>0</v>
      </c>
      <c r="E21" s="162">
        <v>0</v>
      </c>
      <c r="F21" s="162">
        <v>0</v>
      </c>
      <c r="G21" s="155">
        <v>0</v>
      </c>
      <c r="H21" s="162">
        <v>0</v>
      </c>
      <c r="I21" s="155">
        <v>0</v>
      </c>
      <c r="J21" s="162">
        <v>489.697</v>
      </c>
      <c r="K21" s="162">
        <v>484.48050000000001</v>
      </c>
      <c r="L21" s="155">
        <v>1.07672032E-2</v>
      </c>
      <c r="M21" s="162">
        <v>1039.1210000000001</v>
      </c>
      <c r="N21" s="162">
        <v>1005.556</v>
      </c>
      <c r="O21" s="155">
        <v>3.3379543300000002E-2</v>
      </c>
      <c r="P21" s="162">
        <v>5380.4040000000005</v>
      </c>
      <c r="Q21" s="155">
        <v>5.4064760199999999E-2</v>
      </c>
      <c r="R21" s="162">
        <v>6860.0294999999996</v>
      </c>
      <c r="S21" s="162">
        <v>4455.9544999999998</v>
      </c>
      <c r="T21" s="155">
        <v>0.53951964720000001</v>
      </c>
      <c r="U21" s="162">
        <v>16420.569</v>
      </c>
      <c r="V21" s="162">
        <v>11937.379000000001</v>
      </c>
      <c r="W21" s="155">
        <v>0.37555898999999998</v>
      </c>
      <c r="X21" s="162">
        <v>140240.9345</v>
      </c>
      <c r="Y21" s="155">
        <v>-5.7338479999999997E-3</v>
      </c>
      <c r="Z21" s="162">
        <v>0</v>
      </c>
      <c r="AA21" s="162">
        <v>0</v>
      </c>
      <c r="AB21" s="155">
        <v>0</v>
      </c>
      <c r="AC21" s="162">
        <v>0</v>
      </c>
      <c r="AD21" s="162">
        <v>0</v>
      </c>
      <c r="AE21" s="155">
        <v>0</v>
      </c>
      <c r="AF21" s="162">
        <v>0</v>
      </c>
      <c r="AG21" s="155">
        <v>0</v>
      </c>
    </row>
    <row r="22" spans="1:33">
      <c r="A22" s="153" t="s">
        <v>5</v>
      </c>
      <c r="B22" s="163">
        <v>16019.527</v>
      </c>
      <c r="C22" s="163">
        <v>17099.065999999999</v>
      </c>
      <c r="D22" s="156">
        <v>-6.3134384099999996E-2</v>
      </c>
      <c r="E22" s="163">
        <v>33849.756000000001</v>
      </c>
      <c r="F22" s="163">
        <v>35643.127</v>
      </c>
      <c r="G22" s="156">
        <v>-5.0314637099999997E-2</v>
      </c>
      <c r="H22" s="163">
        <v>205562.853</v>
      </c>
      <c r="I22" s="156">
        <v>6.4770126999999997E-3</v>
      </c>
      <c r="J22" s="163">
        <v>15964.525</v>
      </c>
      <c r="K22" s="163">
        <v>17029.637999999999</v>
      </c>
      <c r="L22" s="156">
        <v>-6.2544664799999997E-2</v>
      </c>
      <c r="M22" s="163">
        <v>34494.711000000003</v>
      </c>
      <c r="N22" s="163">
        <v>35215.610999999997</v>
      </c>
      <c r="O22" s="156">
        <v>-2.0471034799999999E-2</v>
      </c>
      <c r="P22" s="163">
        <v>212228.15599999999</v>
      </c>
      <c r="Q22" s="156">
        <v>3.5837040000000001E-3</v>
      </c>
      <c r="R22" s="163">
        <v>295368.54800000001</v>
      </c>
      <c r="S22" s="163">
        <v>357606.37</v>
      </c>
      <c r="T22" s="156">
        <v>-0.1740400262</v>
      </c>
      <c r="U22" s="163">
        <v>634890.92299999995</v>
      </c>
      <c r="V22" s="163">
        <v>707956.44</v>
      </c>
      <c r="W22" s="156">
        <v>-0.1032062326</v>
      </c>
      <c r="X22" s="163">
        <v>4745827.5650000004</v>
      </c>
      <c r="Y22" s="156">
        <v>-1.8096534899999999E-2</v>
      </c>
      <c r="Z22" s="163">
        <v>678425.571</v>
      </c>
      <c r="AA22" s="163">
        <v>682423.58499999996</v>
      </c>
      <c r="AB22" s="156">
        <v>-5.8585518999999999E-3</v>
      </c>
      <c r="AC22" s="163">
        <v>1433424.8970000001</v>
      </c>
      <c r="AD22" s="163">
        <v>1437710.7960000001</v>
      </c>
      <c r="AE22" s="156">
        <v>-2.9810577999999999E-3</v>
      </c>
      <c r="AF22" s="163">
        <v>8835732.8619999997</v>
      </c>
      <c r="AG22" s="156">
        <v>-1.3666815699999999E-2</v>
      </c>
    </row>
    <row r="23" spans="1:33">
      <c r="A23" s="148" t="s">
        <v>26</v>
      </c>
      <c r="B23" s="162">
        <v>0</v>
      </c>
      <c r="C23" s="162">
        <v>0</v>
      </c>
      <c r="D23" s="155">
        <v>0</v>
      </c>
      <c r="E23" s="162">
        <v>0</v>
      </c>
      <c r="F23" s="162">
        <v>0</v>
      </c>
      <c r="G23" s="155">
        <v>0</v>
      </c>
      <c r="H23" s="162">
        <v>0</v>
      </c>
      <c r="I23" s="155">
        <v>0</v>
      </c>
      <c r="J23" s="162">
        <v>0</v>
      </c>
      <c r="K23" s="162">
        <v>0</v>
      </c>
      <c r="L23" s="155">
        <v>0</v>
      </c>
      <c r="M23" s="162">
        <v>0</v>
      </c>
      <c r="N23" s="162">
        <v>0</v>
      </c>
      <c r="O23" s="155">
        <v>0</v>
      </c>
      <c r="P23" s="162">
        <v>0</v>
      </c>
      <c r="Q23" s="155">
        <v>0</v>
      </c>
      <c r="R23" s="162">
        <v>119223.61900000001</v>
      </c>
      <c r="S23" s="162">
        <v>99993.399000000005</v>
      </c>
      <c r="T23" s="155">
        <v>0.19231489469999999</v>
      </c>
      <c r="U23" s="162">
        <v>256478.617</v>
      </c>
      <c r="V23" s="162">
        <v>186197.228</v>
      </c>
      <c r="W23" s="155">
        <v>0.37745668799999998</v>
      </c>
      <c r="X23" s="162">
        <v>1303639.531</v>
      </c>
      <c r="Y23" s="155">
        <v>8.2495942399999994E-2</v>
      </c>
      <c r="Z23" s="162">
        <v>0</v>
      </c>
      <c r="AA23" s="162">
        <v>0</v>
      </c>
      <c r="AB23" s="155">
        <v>0</v>
      </c>
      <c r="AC23" s="162">
        <v>0</v>
      </c>
      <c r="AD23" s="162">
        <v>0</v>
      </c>
      <c r="AE23" s="155">
        <v>0</v>
      </c>
      <c r="AF23" s="162">
        <v>0</v>
      </c>
      <c r="AG23" s="155">
        <v>0</v>
      </c>
    </row>
    <row r="24" spans="1:33">
      <c r="A24" s="153" t="s">
        <v>94</v>
      </c>
      <c r="B24" s="163">
        <v>16019.527</v>
      </c>
      <c r="C24" s="163">
        <v>17099.065999999999</v>
      </c>
      <c r="D24" s="156">
        <v>-6.3134384099999996E-2</v>
      </c>
      <c r="E24" s="163">
        <v>33849.756000000001</v>
      </c>
      <c r="F24" s="163">
        <v>35643.127</v>
      </c>
      <c r="G24" s="156">
        <v>-5.0314637099999997E-2</v>
      </c>
      <c r="H24" s="163">
        <v>205562.853</v>
      </c>
      <c r="I24" s="156">
        <v>6.4770126999999997E-3</v>
      </c>
      <c r="J24" s="163">
        <v>15964.525</v>
      </c>
      <c r="K24" s="163">
        <v>17029.637999999999</v>
      </c>
      <c r="L24" s="156">
        <v>-6.2544664799999997E-2</v>
      </c>
      <c r="M24" s="163">
        <v>34494.711000000003</v>
      </c>
      <c r="N24" s="163">
        <v>35215.610999999997</v>
      </c>
      <c r="O24" s="156">
        <v>-2.0471034799999999E-2</v>
      </c>
      <c r="P24" s="163">
        <v>212228.15599999999</v>
      </c>
      <c r="Q24" s="156">
        <v>3.5837040000000001E-3</v>
      </c>
      <c r="R24" s="163">
        <v>414592.16700000002</v>
      </c>
      <c r="S24" s="163">
        <v>457599.76899999997</v>
      </c>
      <c r="T24" s="156">
        <v>-9.3985191699999998E-2</v>
      </c>
      <c r="U24" s="163">
        <v>891369.54</v>
      </c>
      <c r="V24" s="163">
        <v>894153.66799999995</v>
      </c>
      <c r="W24" s="156">
        <v>-3.1137018999999998E-3</v>
      </c>
      <c r="X24" s="163">
        <v>6049467.0959999999</v>
      </c>
      <c r="Y24" s="156">
        <v>1.9682066999999999E-3</v>
      </c>
      <c r="Z24" s="163">
        <v>678425.571</v>
      </c>
      <c r="AA24" s="163">
        <v>682423.58499999996</v>
      </c>
      <c r="AB24" s="156">
        <v>-5.8585518999999999E-3</v>
      </c>
      <c r="AC24" s="163">
        <v>1433424.8970000001</v>
      </c>
      <c r="AD24" s="163">
        <v>1437710.7960000001</v>
      </c>
      <c r="AE24" s="156">
        <v>-2.9810577999999999E-3</v>
      </c>
      <c r="AF24" s="163">
        <v>8835732.8619999997</v>
      </c>
      <c r="AG24" s="156">
        <v>-1.3666815699999999E-2</v>
      </c>
    </row>
    <row r="29" spans="1:33" ht="15">
      <c r="A29" s="149" t="s">
        <v>77</v>
      </c>
      <c r="B29" s="215" t="s">
        <v>104</v>
      </c>
      <c r="C29" s="216"/>
    </row>
    <row r="30" spans="1:33" ht="15">
      <c r="A30" s="149" t="s">
        <v>79</v>
      </c>
      <c r="B30" s="213" t="s">
        <v>82</v>
      </c>
      <c r="C30" s="214"/>
    </row>
    <row r="31" spans="1:33">
      <c r="A31" s="147" t="s">
        <v>78</v>
      </c>
      <c r="B31" s="188" t="s">
        <v>67</v>
      </c>
      <c r="C31" s="188" t="s">
        <v>68</v>
      </c>
    </row>
    <row r="32" spans="1:33">
      <c r="A32" s="149" t="s">
        <v>80</v>
      </c>
      <c r="B32" s="150"/>
      <c r="C32" s="150"/>
    </row>
    <row r="33" spans="1:3">
      <c r="A33" s="148" t="s">
        <v>17</v>
      </c>
      <c r="B33" s="151"/>
      <c r="C33" s="151">
        <v>2.02</v>
      </c>
    </row>
    <row r="34" spans="1:3">
      <c r="A34" s="148" t="s">
        <v>16</v>
      </c>
      <c r="B34" s="151">
        <v>468.4</v>
      </c>
      <c r="C34" s="151"/>
    </row>
    <row r="35" spans="1:3">
      <c r="A35" s="148" t="s">
        <v>93</v>
      </c>
      <c r="B35" s="151">
        <v>182</v>
      </c>
      <c r="C35" s="151">
        <v>495.92000000000013</v>
      </c>
    </row>
    <row r="36" spans="1:3">
      <c r="A36" s="148" t="s">
        <v>14</v>
      </c>
      <c r="B36" s="151">
        <v>605.4</v>
      </c>
      <c r="C36" s="151">
        <v>557.1400000000001</v>
      </c>
    </row>
    <row r="37" spans="1:3">
      <c r="A37" s="148" t="s">
        <v>13</v>
      </c>
      <c r="B37" s="151"/>
      <c r="C37" s="151">
        <v>482.64</v>
      </c>
    </row>
    <row r="38" spans="1:3">
      <c r="A38" s="148" t="s">
        <v>30</v>
      </c>
      <c r="B38" s="151">
        <v>857.95</v>
      </c>
      <c r="C38" s="151">
        <v>864.2</v>
      </c>
    </row>
    <row r="39" spans="1:3">
      <c r="A39" s="148" t="s">
        <v>9</v>
      </c>
      <c r="B39" s="151"/>
      <c r="C39" s="151">
        <v>11.39</v>
      </c>
    </row>
    <row r="40" spans="1:3">
      <c r="A40" s="148" t="s">
        <v>8</v>
      </c>
      <c r="B40" s="151">
        <v>3.6374999999999909</v>
      </c>
      <c r="C40" s="151">
        <v>412.7244</v>
      </c>
    </row>
    <row r="41" spans="1:3">
      <c r="A41" s="148" t="s">
        <v>7</v>
      </c>
      <c r="B41" s="151">
        <v>80.225044999999852</v>
      </c>
      <c r="C41" s="151">
        <v>167.32556999999963</v>
      </c>
    </row>
    <row r="42" spans="1:3">
      <c r="A42" s="148" t="s">
        <v>27</v>
      </c>
      <c r="B42" s="151">
        <v>2.13</v>
      </c>
      <c r="C42" s="151">
        <v>3.6960000000000002</v>
      </c>
    </row>
    <row r="43" spans="1:3">
      <c r="A43" s="148" t="s">
        <v>28</v>
      </c>
      <c r="B43" s="151">
        <v>10.486999999999998</v>
      </c>
      <c r="C43" s="151">
        <v>0</v>
      </c>
    </row>
    <row r="44" spans="1:3">
      <c r="A44" s="148" t="s">
        <v>61</v>
      </c>
      <c r="B44" s="151">
        <v>37.400000000000006</v>
      </c>
      <c r="C44" s="151"/>
    </row>
    <row r="45" spans="1:3">
      <c r="A45" s="148" t="s">
        <v>62</v>
      </c>
      <c r="B45" s="151">
        <v>37.400000000000006</v>
      </c>
      <c r="C45" s="151"/>
    </row>
    <row r="46" spans="1:3">
      <c r="A46" s="153" t="s">
        <v>5</v>
      </c>
      <c r="B46" s="154">
        <f>SUM(B33:B45)</f>
        <v>2285.0295449999999</v>
      </c>
      <c r="C46" s="154">
        <f>SUM(C33:C45)</f>
        <v>2997.0559699999994</v>
      </c>
    </row>
    <row r="50" spans="1:8">
      <c r="A50" s="113" t="s">
        <v>35</v>
      </c>
      <c r="B50" s="114"/>
      <c r="C50" s="114"/>
      <c r="F50" s="113" t="s">
        <v>39</v>
      </c>
      <c r="G50" s="114"/>
      <c r="H50" s="114"/>
    </row>
    <row r="51" spans="1:8">
      <c r="A51" s="116"/>
      <c r="B51" s="117" t="s">
        <v>34</v>
      </c>
      <c r="C51" s="117" t="s">
        <v>31</v>
      </c>
      <c r="F51" s="116"/>
      <c r="G51" s="117" t="s">
        <v>34</v>
      </c>
      <c r="H51" s="117" t="s">
        <v>31</v>
      </c>
    </row>
    <row r="52" spans="1:8">
      <c r="A52" s="118" t="s">
        <v>16</v>
      </c>
      <c r="B52" s="119">
        <f>B34</f>
        <v>468.4</v>
      </c>
      <c r="C52" s="120">
        <f>100-SUM(C53:C62)</f>
        <v>20.500000000000014</v>
      </c>
      <c r="F52" s="118" t="s">
        <v>15</v>
      </c>
      <c r="G52" s="119">
        <f>C35</f>
        <v>495.92000000000013</v>
      </c>
      <c r="H52" s="120">
        <f>ROUND(G52/$G$62*100,1)</f>
        <v>16.5</v>
      </c>
    </row>
    <row r="53" spans="1:8">
      <c r="A53" s="118" t="s">
        <v>15</v>
      </c>
      <c r="B53" s="119">
        <f>B35</f>
        <v>182</v>
      </c>
      <c r="C53" s="120">
        <f t="shared" ref="C53:C62" si="0">ROUND(B53/$B$63*100,1)</f>
        <v>8</v>
      </c>
      <c r="F53" s="118" t="s">
        <v>14</v>
      </c>
      <c r="G53" s="119">
        <f>C36</f>
        <v>557.1400000000001</v>
      </c>
      <c r="H53" s="120">
        <f>ROUND(G53/$G$62*100,1)</f>
        <v>18.600000000000001</v>
      </c>
    </row>
    <row r="54" spans="1:8">
      <c r="A54" s="118" t="s">
        <v>14</v>
      </c>
      <c r="B54" s="119">
        <f>B36</f>
        <v>605.4</v>
      </c>
      <c r="C54" s="120">
        <f t="shared" si="0"/>
        <v>26.5</v>
      </c>
      <c r="F54" s="118" t="s">
        <v>13</v>
      </c>
      <c r="G54" s="119">
        <f>C37</f>
        <v>482.64</v>
      </c>
      <c r="H54" s="120">
        <f>ROUND(G54/$G$62*100,1)</f>
        <v>16.100000000000001</v>
      </c>
    </row>
    <row r="55" spans="1:8">
      <c r="A55" s="118" t="s">
        <v>30</v>
      </c>
      <c r="B55" s="119">
        <f>B38</f>
        <v>857.95</v>
      </c>
      <c r="C55" s="120">
        <f t="shared" si="0"/>
        <v>37.5</v>
      </c>
      <c r="F55" s="118" t="s">
        <v>30</v>
      </c>
      <c r="G55" s="119">
        <f>C38</f>
        <v>864.2</v>
      </c>
      <c r="H55" s="120">
        <f>100-SUM(H52:H54,H56:H61)</f>
        <v>28.800000000000011</v>
      </c>
    </row>
    <row r="56" spans="1:8">
      <c r="A56" s="118" t="s">
        <v>29</v>
      </c>
      <c r="B56" s="119"/>
      <c r="C56" s="120">
        <f>ROUND(B56/$B$63*100,1)</f>
        <v>0</v>
      </c>
      <c r="F56" s="118" t="s">
        <v>28</v>
      </c>
      <c r="G56" s="119">
        <f>C44</f>
        <v>0</v>
      </c>
      <c r="H56" s="120">
        <f t="shared" ref="H56:H61" si="1">ROUND(G56/$G$62*100,1)</f>
        <v>0</v>
      </c>
    </row>
    <row r="57" spans="1:8">
      <c r="A57" s="118" t="s">
        <v>28</v>
      </c>
      <c r="B57" s="119">
        <f>B43</f>
        <v>10.486999999999998</v>
      </c>
      <c r="C57" s="120">
        <f t="shared" si="0"/>
        <v>0.5</v>
      </c>
      <c r="F57" s="118" t="s">
        <v>17</v>
      </c>
      <c r="G57" s="120">
        <f>C33</f>
        <v>2.02</v>
      </c>
      <c r="H57" s="120">
        <f t="shared" si="1"/>
        <v>0.1</v>
      </c>
    </row>
    <row r="58" spans="1:8">
      <c r="A58" s="118" t="s">
        <v>62</v>
      </c>
      <c r="B58" s="119">
        <f>B44</f>
        <v>37.400000000000006</v>
      </c>
      <c r="C58" s="120">
        <f t="shared" si="0"/>
        <v>1.6</v>
      </c>
      <c r="F58" s="118" t="s">
        <v>9</v>
      </c>
      <c r="G58" s="119">
        <f>C39</f>
        <v>11.39</v>
      </c>
      <c r="H58" s="120">
        <f t="shared" si="1"/>
        <v>0.4</v>
      </c>
    </row>
    <row r="59" spans="1:8">
      <c r="A59" s="118" t="s">
        <v>61</v>
      </c>
      <c r="B59" s="119">
        <f>B45</f>
        <v>37.400000000000006</v>
      </c>
      <c r="C59" s="120">
        <f t="shared" si="0"/>
        <v>1.6</v>
      </c>
      <c r="F59" s="118" t="s">
        <v>8</v>
      </c>
      <c r="G59" s="119">
        <f>C40</f>
        <v>412.7244</v>
      </c>
      <c r="H59" s="120">
        <f t="shared" si="1"/>
        <v>13.8</v>
      </c>
    </row>
    <row r="60" spans="1:8">
      <c r="A60" s="118" t="s">
        <v>8</v>
      </c>
      <c r="B60" s="119">
        <f>B40</f>
        <v>3.6374999999999909</v>
      </c>
      <c r="C60" s="120">
        <f t="shared" si="0"/>
        <v>0.2</v>
      </c>
      <c r="F60" s="118" t="s">
        <v>7</v>
      </c>
      <c r="G60" s="119">
        <f>C41</f>
        <v>167.32556999999963</v>
      </c>
      <c r="H60" s="120">
        <f t="shared" si="1"/>
        <v>5.6</v>
      </c>
    </row>
    <row r="61" spans="1:8">
      <c r="A61" s="118" t="s">
        <v>7</v>
      </c>
      <c r="B61" s="119">
        <f>B41</f>
        <v>80.225044999999852</v>
      </c>
      <c r="C61" s="120">
        <f t="shared" si="0"/>
        <v>3.5</v>
      </c>
      <c r="F61" s="118" t="s">
        <v>27</v>
      </c>
      <c r="G61" s="119">
        <f>C42</f>
        <v>3.6960000000000002</v>
      </c>
      <c r="H61" s="120">
        <f t="shared" si="1"/>
        <v>0.1</v>
      </c>
    </row>
    <row r="62" spans="1:8">
      <c r="A62" s="118" t="s">
        <v>27</v>
      </c>
      <c r="B62" s="119">
        <f>B42</f>
        <v>2.13</v>
      </c>
      <c r="C62" s="120">
        <f t="shared" si="0"/>
        <v>0.1</v>
      </c>
      <c r="F62" s="121" t="s">
        <v>25</v>
      </c>
      <c r="G62" s="122">
        <f>SUM(G52:G61)</f>
        <v>2997.0559699999999</v>
      </c>
      <c r="H62" s="123">
        <f>SUM(H52:H61)</f>
        <v>100</v>
      </c>
    </row>
    <row r="63" spans="1:8">
      <c r="A63" s="121" t="s">
        <v>25</v>
      </c>
      <c r="B63" s="122">
        <f>SUM(B52:B62)</f>
        <v>2285.0295449999999</v>
      </c>
      <c r="C63" s="123">
        <f>SUM(C52:C62)</f>
        <v>100</v>
      </c>
    </row>
    <row r="66" spans="1:7">
      <c r="A66" s="113" t="s">
        <v>32</v>
      </c>
      <c r="B66" s="114"/>
      <c r="F66" s="113" t="s">
        <v>38</v>
      </c>
      <c r="G66" s="114"/>
    </row>
    <row r="67" spans="1:7">
      <c r="A67" s="116"/>
      <c r="B67" s="117" t="s">
        <v>31</v>
      </c>
      <c r="F67" s="116"/>
      <c r="G67" s="117" t="s">
        <v>31</v>
      </c>
    </row>
    <row r="68" spans="1:7">
      <c r="A68" s="118" t="s">
        <v>16</v>
      </c>
      <c r="B68" s="120">
        <f>100-SUM(B69:B79)</f>
        <v>39.4</v>
      </c>
      <c r="F68" s="118" t="s">
        <v>15</v>
      </c>
      <c r="G68" s="120">
        <f>ROUND((Z10/Z$24)*100,1)</f>
        <v>22.5</v>
      </c>
    </row>
    <row r="69" spans="1:7">
      <c r="A69" s="118" t="s">
        <v>15</v>
      </c>
      <c r="B69" s="120">
        <f>ROUND((R10/R$24)*100,1)</f>
        <v>6.4</v>
      </c>
      <c r="F69" s="118" t="s">
        <v>14</v>
      </c>
      <c r="G69" s="120">
        <f>ROUND((Z11/Z$24)*100,1)</f>
        <v>2.8</v>
      </c>
    </row>
    <row r="70" spans="1:7">
      <c r="A70" s="118" t="s">
        <v>14</v>
      </c>
      <c r="B70" s="120">
        <f t="shared" ref="B70" si="2">ROUND((R11/R$24)*100,1)</f>
        <v>5.5</v>
      </c>
      <c r="F70" s="118" t="s">
        <v>13</v>
      </c>
      <c r="G70" s="120">
        <f>ROUND((Z12/Z$24)*100,1)</f>
        <v>31.4</v>
      </c>
    </row>
    <row r="71" spans="1:7">
      <c r="A71" s="118" t="s">
        <v>30</v>
      </c>
      <c r="B71" s="120">
        <f>ROUND((R13/R$24)*100,1)</f>
        <v>13.4</v>
      </c>
      <c r="F71" s="118" t="s">
        <v>30</v>
      </c>
      <c r="G71" s="120">
        <f>100-SUM(G68:G70,G72:G77)</f>
        <v>32.900000000000006</v>
      </c>
    </row>
    <row r="72" spans="1:7">
      <c r="A72" s="118" t="s">
        <v>29</v>
      </c>
      <c r="B72" s="120">
        <f>ROUND((R14/R$24)*100,1)</f>
        <v>0</v>
      </c>
      <c r="F72" s="118" t="s">
        <v>28</v>
      </c>
      <c r="G72" s="120">
        <f>ROUND((Z19/Z$24)*100,1)</f>
        <v>0</v>
      </c>
    </row>
    <row r="73" spans="1:7">
      <c r="A73" s="118" t="s">
        <v>28</v>
      </c>
      <c r="B73" s="120">
        <f>ROUND((R19/R$24)*100,1)</f>
        <v>0.8</v>
      </c>
      <c r="F73" s="118" t="s">
        <v>17</v>
      </c>
      <c r="G73" s="120">
        <f>ROUND((Z8/Z$24)*100,1)</f>
        <v>0</v>
      </c>
    </row>
    <row r="74" spans="1:7">
      <c r="A74" s="118" t="s">
        <v>62</v>
      </c>
      <c r="B74" s="120">
        <f>ROUND((R21/R$24)*100,1)</f>
        <v>1.7</v>
      </c>
      <c r="F74" s="118" t="s">
        <v>9</v>
      </c>
      <c r="G74" s="120">
        <f>ROUND((Z15/Z$24)*100,1)</f>
        <v>0.1</v>
      </c>
    </row>
    <row r="75" spans="1:7">
      <c r="A75" s="118" t="s">
        <v>61</v>
      </c>
      <c r="B75" s="120">
        <f>ROUND((R20/R$24)*100,1)</f>
        <v>1.7</v>
      </c>
      <c r="F75" s="118" t="s">
        <v>8</v>
      </c>
      <c r="G75" s="120">
        <f>ROUND((Z16/Z$24)*100,1)</f>
        <v>7.1</v>
      </c>
    </row>
    <row r="76" spans="1:7">
      <c r="A76" s="118" t="s">
        <v>8</v>
      </c>
      <c r="B76" s="120">
        <f>ROUND((R16/R$24)*100,1)</f>
        <v>0.1</v>
      </c>
      <c r="F76" s="118" t="s">
        <v>7</v>
      </c>
      <c r="G76" s="120">
        <f>ROUND((Z17/Z$24)*100,1)</f>
        <v>3.1</v>
      </c>
    </row>
    <row r="77" spans="1:7">
      <c r="A77" s="118" t="s">
        <v>7</v>
      </c>
      <c r="B77" s="120">
        <f>ROUND((R17/R$24)*100,1)</f>
        <v>2.2000000000000002</v>
      </c>
      <c r="F77" s="118" t="s">
        <v>27</v>
      </c>
      <c r="G77" s="120">
        <f>ROUND((Z18/Z$24)*100,1)</f>
        <v>0.1</v>
      </c>
    </row>
    <row r="78" spans="1:7">
      <c r="A78" s="118" t="s">
        <v>27</v>
      </c>
      <c r="B78" s="120">
        <f>ROUND((R18/R$24)*100,1)</f>
        <v>0</v>
      </c>
      <c r="F78" s="121" t="s">
        <v>25</v>
      </c>
      <c r="G78" s="123">
        <f>SUM(G68:G77)</f>
        <v>99.999999999999986</v>
      </c>
    </row>
    <row r="79" spans="1:7">
      <c r="A79" s="118" t="s">
        <v>26</v>
      </c>
      <c r="B79" s="120">
        <f>ROUND((R23/R$24)*100,1)</f>
        <v>28.8</v>
      </c>
    </row>
    <row r="80" spans="1:7">
      <c r="A80" s="121" t="s">
        <v>25</v>
      </c>
      <c r="B80" s="123">
        <f>SUM(B68:B79)</f>
        <v>100</v>
      </c>
    </row>
    <row r="85" spans="1:26" ht="15">
      <c r="A85" s="149"/>
      <c r="B85" s="149" t="s">
        <v>79</v>
      </c>
      <c r="C85" s="211" t="s">
        <v>18</v>
      </c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/>
      <c r="S85"/>
      <c r="T85"/>
      <c r="U85"/>
      <c r="V85"/>
      <c r="W85"/>
      <c r="X85"/>
      <c r="Y85"/>
      <c r="Z85"/>
    </row>
    <row r="86" spans="1:26" ht="15">
      <c r="A86" s="149"/>
      <c r="B86" s="147" t="s">
        <v>77</v>
      </c>
      <c r="C86" s="187" t="s">
        <v>83</v>
      </c>
      <c r="D86" s="187" t="s">
        <v>66</v>
      </c>
      <c r="E86" s="187" t="s">
        <v>90</v>
      </c>
      <c r="F86" s="187" t="s">
        <v>89</v>
      </c>
      <c r="G86" s="187" t="s">
        <v>91</v>
      </c>
      <c r="H86" s="187" t="s">
        <v>95</v>
      </c>
      <c r="I86" s="187" t="s">
        <v>96</v>
      </c>
      <c r="J86" s="187" t="s">
        <v>92</v>
      </c>
      <c r="K86" s="187" t="s">
        <v>99</v>
      </c>
      <c r="L86" s="187" t="s">
        <v>100</v>
      </c>
      <c r="M86" s="187" t="s">
        <v>101</v>
      </c>
      <c r="N86" s="187" t="s">
        <v>102</v>
      </c>
      <c r="O86" s="187" t="s">
        <v>103</v>
      </c>
      <c r="P86" s="187" t="s">
        <v>104</v>
      </c>
      <c r="Q86" s="187" t="s">
        <v>106</v>
      </c>
      <c r="R86"/>
      <c r="S86"/>
      <c r="T86"/>
      <c r="U86"/>
      <c r="V86"/>
      <c r="W86"/>
      <c r="X86"/>
      <c r="Y86"/>
      <c r="Z86"/>
    </row>
    <row r="87" spans="1:26" ht="15">
      <c r="A87" s="149" t="s">
        <v>78</v>
      </c>
      <c r="B87" s="149" t="s">
        <v>80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/>
      <c r="S87"/>
      <c r="T87"/>
      <c r="U87"/>
      <c r="V87"/>
      <c r="W87"/>
      <c r="X87"/>
      <c r="Y87"/>
      <c r="Z87"/>
    </row>
    <row r="88" spans="1:26" ht="15">
      <c r="A88" s="210" t="s">
        <v>67</v>
      </c>
      <c r="B88" s="148" t="s">
        <v>16</v>
      </c>
      <c r="C88" s="151">
        <v>198.55502899999999</v>
      </c>
      <c r="D88" s="151">
        <v>192.79493400000001</v>
      </c>
      <c r="E88" s="151">
        <v>199.82157000000001</v>
      </c>
      <c r="F88" s="151">
        <v>183.05622099999999</v>
      </c>
      <c r="G88" s="151">
        <v>187.058672</v>
      </c>
      <c r="H88" s="151">
        <v>204.87973099999999</v>
      </c>
      <c r="I88" s="151">
        <v>242.068479</v>
      </c>
      <c r="J88" s="151">
        <v>257.31310999999999</v>
      </c>
      <c r="K88" s="151">
        <v>250.63039499999999</v>
      </c>
      <c r="L88" s="151">
        <v>186.34634299999999</v>
      </c>
      <c r="M88" s="151">
        <v>108.147407</v>
      </c>
      <c r="N88" s="151">
        <v>181.17789999999999</v>
      </c>
      <c r="O88" s="151">
        <v>216.788162</v>
      </c>
      <c r="P88" s="151">
        <v>163.68409500000001</v>
      </c>
      <c r="Q88" s="151">
        <v>52.202165999999998</v>
      </c>
      <c r="R88"/>
      <c r="S88"/>
      <c r="T88"/>
      <c r="U88"/>
      <c r="V88"/>
      <c r="W88"/>
      <c r="X88"/>
      <c r="Y88"/>
      <c r="Z88"/>
    </row>
    <row r="89" spans="1:26" ht="15">
      <c r="A89" s="208"/>
      <c r="B89" s="148" t="s">
        <v>93</v>
      </c>
      <c r="C89" s="151">
        <v>35.080182000000001</v>
      </c>
      <c r="D89" s="151">
        <v>38.969616000000002</v>
      </c>
      <c r="E89" s="151">
        <v>35.928452</v>
      </c>
      <c r="F89" s="151">
        <v>37.207234999999997</v>
      </c>
      <c r="G89" s="151">
        <v>51.279922999999997</v>
      </c>
      <c r="H89" s="151">
        <v>59.423205000000003</v>
      </c>
      <c r="I89" s="151">
        <v>82.636359999999996</v>
      </c>
      <c r="J89" s="151">
        <v>89.525766000000004</v>
      </c>
      <c r="K89" s="151">
        <v>72.079989999999995</v>
      </c>
      <c r="L89" s="151">
        <v>57.770246999999998</v>
      </c>
      <c r="M89" s="151">
        <v>42.036839000000001</v>
      </c>
      <c r="N89" s="151">
        <v>32.932130000000001</v>
      </c>
      <c r="O89" s="151">
        <v>35.212248000000002</v>
      </c>
      <c r="P89" s="151">
        <v>26.576927000000001</v>
      </c>
      <c r="Q89" s="151">
        <v>7.4737200000000001</v>
      </c>
      <c r="R89"/>
      <c r="S89"/>
      <c r="T89"/>
      <c r="U89"/>
      <c r="V89"/>
      <c r="W89"/>
      <c r="X89"/>
      <c r="Y89"/>
      <c r="Z89"/>
    </row>
    <row r="90" spans="1:26" ht="15">
      <c r="A90" s="208"/>
      <c r="B90" s="148" t="s">
        <v>14</v>
      </c>
      <c r="C90" s="151">
        <v>59.852255999999997</v>
      </c>
      <c r="D90" s="151">
        <v>59.882575000000003</v>
      </c>
      <c r="E90" s="151">
        <v>61.051561</v>
      </c>
      <c r="F90" s="151">
        <v>57.191896</v>
      </c>
      <c r="G90" s="151">
        <v>66.096778</v>
      </c>
      <c r="H90" s="151">
        <v>77.051412999999997</v>
      </c>
      <c r="I90" s="151">
        <v>95.847725999999994</v>
      </c>
      <c r="J90" s="151">
        <v>91.166568999999996</v>
      </c>
      <c r="K90" s="151">
        <v>75.102127999999993</v>
      </c>
      <c r="L90" s="151">
        <v>54.458812999999999</v>
      </c>
      <c r="M90" s="151">
        <v>47.932189000000001</v>
      </c>
      <c r="N90" s="151">
        <v>19.365110999999999</v>
      </c>
      <c r="O90" s="151">
        <v>22.524488000000002</v>
      </c>
      <c r="P90" s="151">
        <v>22.600860000000001</v>
      </c>
      <c r="Q90" s="151">
        <v>12.326041</v>
      </c>
      <c r="R90"/>
      <c r="S90"/>
      <c r="T90"/>
      <c r="U90"/>
      <c r="V90"/>
      <c r="W90"/>
      <c r="X90"/>
      <c r="Y90"/>
      <c r="Z90"/>
    </row>
    <row r="91" spans="1:26" ht="15">
      <c r="A91" s="208"/>
      <c r="B91" s="148" t="s">
        <v>30</v>
      </c>
      <c r="C91" s="151">
        <v>31.200264000000001</v>
      </c>
      <c r="D91" s="151">
        <v>48.135339999999999</v>
      </c>
      <c r="E91" s="151">
        <v>39.439261999999999</v>
      </c>
      <c r="F91" s="151">
        <v>48.047037000000003</v>
      </c>
      <c r="G91" s="151">
        <v>45.724513999999999</v>
      </c>
      <c r="H91" s="151">
        <v>36.755218999999997</v>
      </c>
      <c r="I91" s="151">
        <v>53.754595000000002</v>
      </c>
      <c r="J91" s="151">
        <v>62.510635000000001</v>
      </c>
      <c r="K91" s="151">
        <v>31.104752999999999</v>
      </c>
      <c r="L91" s="151">
        <v>45.569164000000001</v>
      </c>
      <c r="M91" s="151">
        <v>109.56093300000001</v>
      </c>
      <c r="N91" s="151">
        <v>38.727547999999999</v>
      </c>
      <c r="O91" s="151">
        <v>34.412135999999997</v>
      </c>
      <c r="P91" s="151">
        <v>55.402149000000001</v>
      </c>
      <c r="Q91" s="151">
        <v>34.701385999999999</v>
      </c>
      <c r="R91"/>
      <c r="S91"/>
      <c r="T91"/>
      <c r="U91"/>
      <c r="V91"/>
      <c r="W91"/>
      <c r="X91"/>
      <c r="Y91"/>
      <c r="Z91"/>
    </row>
    <row r="92" spans="1:26" ht="15">
      <c r="A92" s="208"/>
      <c r="B92" s="148" t="s">
        <v>29</v>
      </c>
      <c r="C92" s="151">
        <v>0</v>
      </c>
      <c r="D92" s="151">
        <v>0</v>
      </c>
      <c r="E92" s="151">
        <v>0</v>
      </c>
      <c r="F92" s="151">
        <v>0</v>
      </c>
      <c r="G92" s="151">
        <v>0.258189</v>
      </c>
      <c r="H92" s="151">
        <v>1.4068510000000001</v>
      </c>
      <c r="I92" s="151">
        <v>3.4087329999999998</v>
      </c>
      <c r="J92" s="151">
        <v>5.1961240000000002</v>
      </c>
      <c r="K92" s="151">
        <v>2.2653319999999999</v>
      </c>
      <c r="L92" s="151">
        <v>0.27849499999999999</v>
      </c>
      <c r="M92" s="151">
        <v>0</v>
      </c>
      <c r="N92" s="151">
        <v>0</v>
      </c>
      <c r="O92" s="151">
        <v>0</v>
      </c>
      <c r="P92" s="151">
        <v>0</v>
      </c>
      <c r="Q92" s="151">
        <v>0</v>
      </c>
      <c r="R92"/>
      <c r="S92"/>
      <c r="T92"/>
      <c r="U92"/>
      <c r="V92"/>
      <c r="W92"/>
      <c r="X92"/>
      <c r="Y92"/>
      <c r="Z92"/>
    </row>
    <row r="93" spans="1:26" ht="15">
      <c r="A93" s="208"/>
      <c r="B93" s="148" t="s">
        <v>8</v>
      </c>
      <c r="C93" s="151">
        <v>0.25263999999999998</v>
      </c>
      <c r="D93" s="151">
        <v>0.32401200000000002</v>
      </c>
      <c r="E93" s="151">
        <v>0.40592400000000001</v>
      </c>
      <c r="F93" s="151">
        <v>0.28265000000000001</v>
      </c>
      <c r="G93" s="151">
        <v>0.22889300000000001</v>
      </c>
      <c r="H93" s="151">
        <v>0.138682</v>
      </c>
      <c r="I93" s="151">
        <v>0.13932900000000001</v>
      </c>
      <c r="J93" s="151">
        <v>0.19220799999999999</v>
      </c>
      <c r="K93" s="151">
        <v>0.19817599999999999</v>
      </c>
      <c r="L93" s="151">
        <v>0.620313</v>
      </c>
      <c r="M93" s="151">
        <v>0.555396</v>
      </c>
      <c r="N93" s="151">
        <v>0.41894799999999999</v>
      </c>
      <c r="O93" s="151">
        <v>0.805427</v>
      </c>
      <c r="P93" s="151">
        <v>0.49932900000000002</v>
      </c>
      <c r="Q93" s="151">
        <v>0.19888</v>
      </c>
      <c r="R93"/>
      <c r="S93"/>
      <c r="T93"/>
      <c r="U93"/>
      <c r="V93"/>
      <c r="W93"/>
      <c r="X93"/>
      <c r="Y93"/>
      <c r="Z93"/>
    </row>
    <row r="94" spans="1:26" ht="15">
      <c r="A94" s="208"/>
      <c r="B94" s="148" t="s">
        <v>7</v>
      </c>
      <c r="C94" s="151">
        <v>7.0445000000000002</v>
      </c>
      <c r="D94" s="151">
        <v>5.3380900000000002</v>
      </c>
      <c r="E94" s="151">
        <v>10.194158</v>
      </c>
      <c r="F94" s="151">
        <v>11.477546</v>
      </c>
      <c r="G94" s="151">
        <v>11.83853</v>
      </c>
      <c r="H94" s="151">
        <v>12.382847999999999</v>
      </c>
      <c r="I94" s="151">
        <v>13.341704</v>
      </c>
      <c r="J94" s="151">
        <v>11.250524</v>
      </c>
      <c r="K94" s="151">
        <v>9.0263849999999994</v>
      </c>
      <c r="L94" s="151">
        <v>7.8414849999999996</v>
      </c>
      <c r="M94" s="151">
        <v>5.9794580000000002</v>
      </c>
      <c r="N94" s="151">
        <v>6.5364139999999997</v>
      </c>
      <c r="O94" s="151">
        <v>7.2096450000000001</v>
      </c>
      <c r="P94" s="151">
        <v>9.3192470000000007</v>
      </c>
      <c r="Q94" s="151">
        <v>4.2243000000000004</v>
      </c>
      <c r="R94"/>
      <c r="S94"/>
      <c r="T94"/>
      <c r="U94"/>
      <c r="V94"/>
      <c r="W94"/>
      <c r="X94"/>
      <c r="Y94"/>
      <c r="Z94"/>
    </row>
    <row r="95" spans="1:26" ht="15">
      <c r="A95" s="208"/>
      <c r="B95" s="148" t="s">
        <v>27</v>
      </c>
      <c r="C95" s="151">
        <v>0.219363</v>
      </c>
      <c r="D95" s="151">
        <v>0.16624</v>
      </c>
      <c r="E95" s="151">
        <v>0.184165</v>
      </c>
      <c r="F95" s="151">
        <v>0.130801</v>
      </c>
      <c r="G95" s="151">
        <v>0.12767999999999999</v>
      </c>
      <c r="H95" s="151">
        <v>0.110028</v>
      </c>
      <c r="I95" s="151">
        <v>5.7736999999999997E-2</v>
      </c>
      <c r="J95" s="151">
        <v>5.6852E-2</v>
      </c>
      <c r="K95" s="151">
        <v>1.917E-2</v>
      </c>
      <c r="L95" s="151">
        <v>6.0415000000000003E-2</v>
      </c>
      <c r="M95" s="151">
        <v>6.8765999999999994E-2</v>
      </c>
      <c r="N95" s="151">
        <v>0.13137799999999999</v>
      </c>
      <c r="O95" s="151">
        <v>0.107643</v>
      </c>
      <c r="P95" s="151">
        <v>8.2346000000000003E-2</v>
      </c>
      <c r="Q95" s="151">
        <v>5.3400000000000003E-2</v>
      </c>
      <c r="R95"/>
      <c r="S95"/>
      <c r="T95"/>
      <c r="U95"/>
      <c r="V95"/>
      <c r="W95"/>
      <c r="X95"/>
      <c r="Y95"/>
      <c r="Z95"/>
    </row>
    <row r="96" spans="1:26" ht="15">
      <c r="A96" s="208"/>
      <c r="B96" s="148" t="s">
        <v>28</v>
      </c>
      <c r="C96" s="151">
        <v>3.1829869999999998</v>
      </c>
      <c r="D96" s="151">
        <v>3.0836540000000001</v>
      </c>
      <c r="E96" s="151">
        <v>2.2946849999999999</v>
      </c>
      <c r="F96" s="151">
        <v>1.9821660000000001</v>
      </c>
      <c r="G96" s="151">
        <v>2.5785749999999998</v>
      </c>
      <c r="H96" s="151">
        <v>3.3572419999999998</v>
      </c>
      <c r="I96" s="151">
        <v>3.5655640000000002</v>
      </c>
      <c r="J96" s="151">
        <v>3.5154580000000002</v>
      </c>
      <c r="K96" s="151">
        <v>2.43655</v>
      </c>
      <c r="L96" s="151">
        <v>2.5715089999999998</v>
      </c>
      <c r="M96" s="151">
        <v>3.145667</v>
      </c>
      <c r="N96" s="151">
        <v>3.260389</v>
      </c>
      <c r="O96" s="151">
        <v>3.3415469999999998</v>
      </c>
      <c r="P96" s="151">
        <v>3.483536</v>
      </c>
      <c r="Q96" s="151">
        <v>1.38612</v>
      </c>
      <c r="R96"/>
      <c r="S96"/>
      <c r="T96"/>
      <c r="U96"/>
      <c r="V96"/>
      <c r="W96"/>
      <c r="X96"/>
      <c r="Y96"/>
      <c r="Z96"/>
    </row>
    <row r="97" spans="1:26" ht="15">
      <c r="A97" s="208"/>
      <c r="B97" s="148" t="s">
        <v>61</v>
      </c>
      <c r="C97" s="151">
        <v>7.4814245000000001</v>
      </c>
      <c r="D97" s="151">
        <v>4.4559544999999998</v>
      </c>
      <c r="E97" s="151">
        <v>11.199851499999999</v>
      </c>
      <c r="F97" s="151">
        <v>10.4867385</v>
      </c>
      <c r="G97" s="151">
        <v>10.524592</v>
      </c>
      <c r="H97" s="151">
        <v>14.7091545</v>
      </c>
      <c r="I97" s="151">
        <v>14.429119</v>
      </c>
      <c r="J97" s="151">
        <v>14.9613625</v>
      </c>
      <c r="K97" s="151">
        <v>13.4535695</v>
      </c>
      <c r="L97" s="151">
        <v>13.8976735</v>
      </c>
      <c r="M97" s="151">
        <v>7.0333759999999996</v>
      </c>
      <c r="N97" s="151">
        <v>13.124928499999999</v>
      </c>
      <c r="O97" s="151">
        <v>9.5605395000000009</v>
      </c>
      <c r="P97" s="151">
        <v>6.8600294999999996</v>
      </c>
      <c r="Q97" s="151">
        <v>3.8409499999999999</v>
      </c>
      <c r="R97"/>
      <c r="S97"/>
      <c r="T97"/>
      <c r="U97"/>
      <c r="V97"/>
      <c r="W97"/>
      <c r="X97"/>
      <c r="Y97"/>
      <c r="Z97"/>
    </row>
    <row r="98" spans="1:26" ht="15">
      <c r="A98" s="208"/>
      <c r="B98" s="148" t="s">
        <v>62</v>
      </c>
      <c r="C98" s="151">
        <v>7.4814245000000001</v>
      </c>
      <c r="D98" s="151">
        <v>4.4559544999999998</v>
      </c>
      <c r="E98" s="151">
        <v>11.199851499999999</v>
      </c>
      <c r="F98" s="151">
        <v>10.4867385</v>
      </c>
      <c r="G98" s="151">
        <v>10.524592</v>
      </c>
      <c r="H98" s="151">
        <v>14.7091545</v>
      </c>
      <c r="I98" s="151">
        <v>14.429119</v>
      </c>
      <c r="J98" s="151">
        <v>14.9613625</v>
      </c>
      <c r="K98" s="151">
        <v>13.4535695</v>
      </c>
      <c r="L98" s="151">
        <v>13.8976735</v>
      </c>
      <c r="M98" s="151">
        <v>7.0333759999999996</v>
      </c>
      <c r="N98" s="151">
        <v>13.124928499999999</v>
      </c>
      <c r="O98" s="151">
        <v>9.5605395000000009</v>
      </c>
      <c r="P98" s="151">
        <v>6.8600294999999996</v>
      </c>
      <c r="Q98" s="151">
        <v>3.8409499999999999</v>
      </c>
      <c r="R98"/>
      <c r="S98"/>
      <c r="T98"/>
      <c r="U98"/>
      <c r="V98"/>
      <c r="W98"/>
      <c r="X98"/>
      <c r="Y98"/>
      <c r="Z98"/>
    </row>
    <row r="99" spans="1:26" ht="15">
      <c r="A99" s="208"/>
      <c r="B99" s="153" t="s">
        <v>5</v>
      </c>
      <c r="C99" s="154">
        <v>350.35007000000002</v>
      </c>
      <c r="D99" s="154">
        <v>357.60637000000003</v>
      </c>
      <c r="E99" s="154">
        <v>371.71947999999998</v>
      </c>
      <c r="F99" s="154">
        <v>360.34902899999997</v>
      </c>
      <c r="G99" s="154">
        <v>386.24093800000003</v>
      </c>
      <c r="H99" s="154">
        <v>424.92352799999998</v>
      </c>
      <c r="I99" s="154">
        <v>523.67846499999996</v>
      </c>
      <c r="J99" s="154">
        <v>550.64997100000005</v>
      </c>
      <c r="K99" s="154">
        <v>469.77001799999999</v>
      </c>
      <c r="L99" s="154">
        <v>383.31213100000002</v>
      </c>
      <c r="M99" s="154">
        <v>331.49340699999999</v>
      </c>
      <c r="N99" s="154">
        <v>308.79967499999998</v>
      </c>
      <c r="O99" s="154">
        <v>339.52237500000001</v>
      </c>
      <c r="P99" s="154">
        <v>295.36854799999998</v>
      </c>
      <c r="Q99" s="154">
        <v>120.247913</v>
      </c>
      <c r="R99"/>
      <c r="S99"/>
      <c r="T99"/>
      <c r="U99"/>
      <c r="V99"/>
      <c r="W99"/>
      <c r="X99"/>
      <c r="Y99"/>
      <c r="Z99"/>
    </row>
    <row r="100" spans="1:26" ht="15">
      <c r="A100" s="208"/>
      <c r="B100" s="148" t="s">
        <v>26</v>
      </c>
      <c r="C100" s="151">
        <v>86.203828999999999</v>
      </c>
      <c r="D100" s="151">
        <v>99.993398999999997</v>
      </c>
      <c r="E100" s="151">
        <v>89.996875000000003</v>
      </c>
      <c r="F100" s="151">
        <v>66.467519999999993</v>
      </c>
      <c r="G100" s="151">
        <v>89.565090999999995</v>
      </c>
      <c r="H100" s="151">
        <v>108.62363499999999</v>
      </c>
      <c r="I100" s="151">
        <v>161.79160300000001</v>
      </c>
      <c r="J100" s="151">
        <v>153.133589</v>
      </c>
      <c r="K100" s="151">
        <v>107.931268</v>
      </c>
      <c r="L100" s="151">
        <v>92.007576999999998</v>
      </c>
      <c r="M100" s="151">
        <v>65.068314999999998</v>
      </c>
      <c r="N100" s="151">
        <v>112.575441</v>
      </c>
      <c r="O100" s="151">
        <v>137.254998</v>
      </c>
      <c r="P100" s="151">
        <v>119.223619</v>
      </c>
      <c r="Q100" s="151">
        <v>46.006999999999998</v>
      </c>
      <c r="R100"/>
      <c r="S100"/>
      <c r="T100"/>
      <c r="U100"/>
      <c r="V100"/>
      <c r="W100"/>
      <c r="X100"/>
      <c r="Y100"/>
      <c r="Z100"/>
    </row>
    <row r="101" spans="1:26" ht="15">
      <c r="A101" s="209"/>
      <c r="B101" s="153" t="s">
        <v>94</v>
      </c>
      <c r="C101" s="154">
        <v>436.553899</v>
      </c>
      <c r="D101" s="154">
        <v>457.59976899999998</v>
      </c>
      <c r="E101" s="154">
        <v>461.71635500000002</v>
      </c>
      <c r="F101" s="154">
        <v>426.81654900000001</v>
      </c>
      <c r="G101" s="154">
        <v>475.80602900000002</v>
      </c>
      <c r="H101" s="154">
        <v>533.54716299999995</v>
      </c>
      <c r="I101" s="154">
        <v>685.47006799999997</v>
      </c>
      <c r="J101" s="154">
        <v>703.78355999999997</v>
      </c>
      <c r="K101" s="154">
        <v>577.70128599999998</v>
      </c>
      <c r="L101" s="154">
        <v>475.31970799999999</v>
      </c>
      <c r="M101" s="154">
        <v>396.56172199999997</v>
      </c>
      <c r="N101" s="154">
        <v>421.37511599999999</v>
      </c>
      <c r="O101" s="154">
        <v>476.77737300000001</v>
      </c>
      <c r="P101" s="154">
        <v>414.59216700000002</v>
      </c>
      <c r="Q101" s="154">
        <v>166.25491299999999</v>
      </c>
      <c r="R101"/>
      <c r="S101"/>
      <c r="T101"/>
      <c r="U101"/>
      <c r="V101"/>
      <c r="W101"/>
      <c r="X101"/>
      <c r="Y101"/>
      <c r="Z101"/>
    </row>
    <row r="102" spans="1:26" ht="15">
      <c r="A102" s="207" t="s">
        <v>68</v>
      </c>
      <c r="B102" s="148" t="s">
        <v>17</v>
      </c>
      <c r="C102" s="151">
        <v>0.27943200000000001</v>
      </c>
      <c r="D102" s="151">
        <v>3.4173000000000002E-2</v>
      </c>
      <c r="E102" s="151">
        <v>0.309946</v>
      </c>
      <c r="F102" s="151">
        <v>0.27612300000000001</v>
      </c>
      <c r="G102" s="151">
        <v>0.308334</v>
      </c>
      <c r="H102" s="151">
        <v>0.29448200000000002</v>
      </c>
      <c r="I102" s="151">
        <v>0.29559600000000003</v>
      </c>
      <c r="J102" s="151">
        <v>0.30764000000000002</v>
      </c>
      <c r="K102" s="151">
        <v>0.28839900000000002</v>
      </c>
      <c r="L102" s="151">
        <v>0.29697000000000001</v>
      </c>
      <c r="M102" s="151">
        <v>0.28850700000000001</v>
      </c>
      <c r="N102" s="151">
        <v>0.29630699999999999</v>
      </c>
      <c r="O102" s="151">
        <v>0.29291600000000001</v>
      </c>
      <c r="P102" s="151">
        <v>0.26504899999999998</v>
      </c>
      <c r="Q102" s="151">
        <v>6.5629999999999994E-2</v>
      </c>
      <c r="R102"/>
      <c r="S102"/>
      <c r="T102"/>
      <c r="U102"/>
      <c r="V102"/>
      <c r="W102"/>
      <c r="X102"/>
      <c r="Y102"/>
      <c r="Z102"/>
    </row>
    <row r="103" spans="1:26" ht="15">
      <c r="A103" s="208"/>
      <c r="B103" s="148" t="s">
        <v>93</v>
      </c>
      <c r="C103" s="151">
        <v>184.470955</v>
      </c>
      <c r="D103" s="151">
        <v>165.51885899999999</v>
      </c>
      <c r="E103" s="151">
        <v>176.17658599999999</v>
      </c>
      <c r="F103" s="151">
        <v>171.46459999999999</v>
      </c>
      <c r="G103" s="151">
        <v>172.14836700000001</v>
      </c>
      <c r="H103" s="151">
        <v>162.83670599999999</v>
      </c>
      <c r="I103" s="151">
        <v>173.812749</v>
      </c>
      <c r="J103" s="151">
        <v>196.43005099999999</v>
      </c>
      <c r="K103" s="151">
        <v>187.12256099999999</v>
      </c>
      <c r="L103" s="151">
        <v>190.675118</v>
      </c>
      <c r="M103" s="151">
        <v>163.85602700000001</v>
      </c>
      <c r="N103" s="151">
        <v>176.651453</v>
      </c>
      <c r="O103" s="151">
        <v>174.26427200000001</v>
      </c>
      <c r="P103" s="151">
        <v>152.846857</v>
      </c>
      <c r="Q103" s="151">
        <v>59.004125000000002</v>
      </c>
      <c r="R103"/>
      <c r="S103"/>
      <c r="T103"/>
      <c r="U103"/>
      <c r="V103"/>
      <c r="W103"/>
      <c r="X103"/>
      <c r="Y103"/>
      <c r="Z103"/>
    </row>
    <row r="104" spans="1:26" ht="15">
      <c r="A104" s="208"/>
      <c r="B104" s="148" t="s">
        <v>14</v>
      </c>
      <c r="C104" s="151">
        <v>27.249141000000002</v>
      </c>
      <c r="D104" s="151">
        <v>24.751363999999999</v>
      </c>
      <c r="E104" s="151">
        <v>19.300775999999999</v>
      </c>
      <c r="F104" s="151">
        <v>22.020657</v>
      </c>
      <c r="G104" s="151">
        <v>27.236414</v>
      </c>
      <c r="H104" s="151">
        <v>24.035202999999999</v>
      </c>
      <c r="I104" s="151">
        <v>19.071615000000001</v>
      </c>
      <c r="J104" s="151">
        <v>22.472683</v>
      </c>
      <c r="K104" s="151">
        <v>28.508217999999999</v>
      </c>
      <c r="L104" s="151">
        <v>25.162983000000001</v>
      </c>
      <c r="M104" s="151">
        <v>25.639095999999999</v>
      </c>
      <c r="N104" s="151">
        <v>18.905633999999999</v>
      </c>
      <c r="O104" s="151">
        <v>21.945627999999999</v>
      </c>
      <c r="P104" s="151">
        <v>18.942269</v>
      </c>
      <c r="Q104" s="151">
        <v>5.2435840000000002</v>
      </c>
      <c r="R104"/>
      <c r="S104"/>
      <c r="T104"/>
      <c r="U104"/>
      <c r="V104"/>
      <c r="W104"/>
      <c r="X104"/>
      <c r="Y104"/>
      <c r="Z104"/>
    </row>
    <row r="105" spans="1:26" ht="15">
      <c r="A105" s="208"/>
      <c r="B105" s="148" t="s">
        <v>13</v>
      </c>
      <c r="C105" s="151">
        <v>230.384784</v>
      </c>
      <c r="D105" s="151">
        <v>210.40916100000001</v>
      </c>
      <c r="E105" s="151">
        <v>195.20305200000001</v>
      </c>
      <c r="F105" s="151">
        <v>189.55861100000001</v>
      </c>
      <c r="G105" s="151">
        <v>186.40918600000001</v>
      </c>
      <c r="H105" s="151">
        <v>200.03084899999999</v>
      </c>
      <c r="I105" s="151">
        <v>206.69372799999999</v>
      </c>
      <c r="J105" s="151">
        <v>214.943949</v>
      </c>
      <c r="K105" s="151">
        <v>188.605344</v>
      </c>
      <c r="L105" s="151">
        <v>201.924623</v>
      </c>
      <c r="M105" s="151">
        <v>224.02625399999999</v>
      </c>
      <c r="N105" s="151">
        <v>207.24283</v>
      </c>
      <c r="O105" s="151">
        <v>218.650612</v>
      </c>
      <c r="P105" s="151">
        <v>212.98181099999999</v>
      </c>
      <c r="Q105" s="151">
        <v>80.732534000000001</v>
      </c>
      <c r="R105"/>
      <c r="S105"/>
      <c r="T105"/>
      <c r="U105"/>
      <c r="V105"/>
      <c r="W105"/>
      <c r="X105"/>
      <c r="Y105"/>
      <c r="Z105"/>
    </row>
    <row r="106" spans="1:26" ht="15">
      <c r="A106" s="208"/>
      <c r="B106" s="148" t="s">
        <v>30</v>
      </c>
      <c r="C106" s="151">
        <v>233.901625</v>
      </c>
      <c r="D106" s="151">
        <v>215.21677199999999</v>
      </c>
      <c r="E106" s="151">
        <v>260.839181</v>
      </c>
      <c r="F106" s="151">
        <v>246.337683</v>
      </c>
      <c r="G106" s="151">
        <v>248.61678900000001</v>
      </c>
      <c r="H106" s="151">
        <v>234.94823600000001</v>
      </c>
      <c r="I106" s="151">
        <v>230.14559600000001</v>
      </c>
      <c r="J106" s="151">
        <v>251.789052</v>
      </c>
      <c r="K106" s="151">
        <v>281.47467399999999</v>
      </c>
      <c r="L106" s="151">
        <v>317.069143</v>
      </c>
      <c r="M106" s="151">
        <v>256.69696599999997</v>
      </c>
      <c r="N106" s="151">
        <v>273.98589099999998</v>
      </c>
      <c r="O106" s="151">
        <v>264.507273</v>
      </c>
      <c r="P106" s="151">
        <v>221.964823</v>
      </c>
      <c r="Q106" s="151">
        <v>87.403610999999998</v>
      </c>
      <c r="R106"/>
      <c r="S106"/>
      <c r="T106"/>
      <c r="U106"/>
      <c r="V106"/>
      <c r="W106"/>
      <c r="X106"/>
      <c r="Y106"/>
      <c r="Z106"/>
    </row>
    <row r="107" spans="1:26" ht="15">
      <c r="A107" s="208"/>
      <c r="B107" s="148" t="s">
        <v>9</v>
      </c>
      <c r="C107" s="151">
        <v>2.2577669999999999</v>
      </c>
      <c r="D107" s="151">
        <v>1.754305</v>
      </c>
      <c r="E107" s="151">
        <v>1.5995220000000001</v>
      </c>
      <c r="F107" s="151">
        <v>2.2626460000000002</v>
      </c>
      <c r="G107" s="151">
        <v>2.0342030000000002</v>
      </c>
      <c r="H107" s="151">
        <v>2.3218040000000002</v>
      </c>
      <c r="I107" s="151">
        <v>3.7162829999999998</v>
      </c>
      <c r="J107" s="151">
        <v>2.859321</v>
      </c>
      <c r="K107" s="151">
        <v>2.165861</v>
      </c>
      <c r="L107" s="151">
        <v>0.87331099999999995</v>
      </c>
      <c r="M107" s="151">
        <v>0.90078800000000003</v>
      </c>
      <c r="N107" s="151">
        <v>0.90973300000000001</v>
      </c>
      <c r="O107" s="151">
        <v>1.109656</v>
      </c>
      <c r="P107" s="151">
        <v>0.97254499999999999</v>
      </c>
      <c r="Q107" s="151">
        <v>0.84636500000000003</v>
      </c>
      <c r="R107"/>
      <c r="S107"/>
      <c r="T107"/>
      <c r="U107"/>
      <c r="V107"/>
      <c r="W107"/>
      <c r="X107"/>
      <c r="Y107"/>
      <c r="Z107"/>
    </row>
    <row r="108" spans="1:26" ht="15">
      <c r="A108" s="208"/>
      <c r="B108" s="148" t="s">
        <v>8</v>
      </c>
      <c r="C108" s="151">
        <v>56.908338999999998</v>
      </c>
      <c r="D108" s="151">
        <v>46.206065000000002</v>
      </c>
      <c r="E108" s="151">
        <v>50.516177999999996</v>
      </c>
      <c r="F108" s="151">
        <v>45.545817999999997</v>
      </c>
      <c r="G108" s="151">
        <v>55.351522000000003</v>
      </c>
      <c r="H108" s="151">
        <v>56.421117000000002</v>
      </c>
      <c r="I108" s="151">
        <v>95.158366999999998</v>
      </c>
      <c r="J108" s="151">
        <v>65.080791000000005</v>
      </c>
      <c r="K108" s="151">
        <v>51.688220999999999</v>
      </c>
      <c r="L108" s="151">
        <v>22.335968000000001</v>
      </c>
      <c r="M108" s="151">
        <v>32.426611999999999</v>
      </c>
      <c r="N108" s="151">
        <v>42.931705999999998</v>
      </c>
      <c r="O108" s="151">
        <v>55.782074999999999</v>
      </c>
      <c r="P108" s="151">
        <v>48.408240999999997</v>
      </c>
      <c r="Q108" s="151">
        <v>43.505496000000001</v>
      </c>
      <c r="R108"/>
      <c r="S108"/>
      <c r="T108"/>
      <c r="U108"/>
      <c r="V108"/>
      <c r="W108"/>
      <c r="X108"/>
      <c r="Y108"/>
      <c r="Z108"/>
    </row>
    <row r="109" spans="1:26" ht="15">
      <c r="A109" s="208"/>
      <c r="B109" s="148" t="s">
        <v>7</v>
      </c>
      <c r="C109" s="151">
        <v>19.072745000000001</v>
      </c>
      <c r="D109" s="151">
        <v>17.886313000000001</v>
      </c>
      <c r="E109" s="151">
        <v>25.105015000000002</v>
      </c>
      <c r="F109" s="151">
        <v>25.211383999999999</v>
      </c>
      <c r="G109" s="151">
        <v>23.07987</v>
      </c>
      <c r="H109" s="151">
        <v>25.992826000000001</v>
      </c>
      <c r="I109" s="151">
        <v>29.45045</v>
      </c>
      <c r="J109" s="151">
        <v>27.718481000000001</v>
      </c>
      <c r="K109" s="151">
        <v>24.127853999999999</v>
      </c>
      <c r="L109" s="151">
        <v>19.456084000000001</v>
      </c>
      <c r="M109" s="151">
        <v>16.088982000000001</v>
      </c>
      <c r="N109" s="151">
        <v>18.423207999999999</v>
      </c>
      <c r="O109" s="151">
        <v>17.483564999999999</v>
      </c>
      <c r="P109" s="151">
        <v>21.221177999999998</v>
      </c>
      <c r="Q109" s="151">
        <v>6.8669320000000003</v>
      </c>
      <c r="R109"/>
      <c r="S109"/>
      <c r="T109"/>
      <c r="U109"/>
      <c r="V109"/>
      <c r="W109"/>
      <c r="X109"/>
      <c r="Y109"/>
      <c r="Z109"/>
    </row>
    <row r="110" spans="1:26" ht="15">
      <c r="A110" s="208"/>
      <c r="B110" s="148" t="s">
        <v>27</v>
      </c>
      <c r="C110" s="151">
        <v>0.76242299999999996</v>
      </c>
      <c r="D110" s="151">
        <v>0.64657299999999995</v>
      </c>
      <c r="E110" s="151">
        <v>0.83729399999999998</v>
      </c>
      <c r="F110" s="151">
        <v>0.53889699999999996</v>
      </c>
      <c r="G110" s="151">
        <v>0.75060099999999996</v>
      </c>
      <c r="H110" s="151">
        <v>0.53101500000000001</v>
      </c>
      <c r="I110" s="151">
        <v>0.70239399999999996</v>
      </c>
      <c r="J110" s="151">
        <v>0.81645199999999996</v>
      </c>
      <c r="K110" s="151">
        <v>0.78290899999999997</v>
      </c>
      <c r="L110" s="151">
        <v>0.813334</v>
      </c>
      <c r="M110" s="151">
        <v>0.85025300000000004</v>
      </c>
      <c r="N110" s="151">
        <v>0.89945200000000003</v>
      </c>
      <c r="O110" s="151">
        <v>0.96332899999999999</v>
      </c>
      <c r="P110" s="151">
        <v>0.82279800000000003</v>
      </c>
      <c r="Q110" s="151">
        <v>0.186197</v>
      </c>
      <c r="R110"/>
      <c r="S110"/>
      <c r="T110"/>
      <c r="U110"/>
      <c r="V110"/>
      <c r="W110"/>
      <c r="X110"/>
      <c r="Y110"/>
      <c r="Z110"/>
    </row>
    <row r="111" spans="1:26" ht="15">
      <c r="A111" s="208"/>
      <c r="B111" s="153" t="s">
        <v>5</v>
      </c>
      <c r="C111" s="154">
        <v>755.28721099999996</v>
      </c>
      <c r="D111" s="154">
        <v>682.423585</v>
      </c>
      <c r="E111" s="154">
        <v>729.88755000000003</v>
      </c>
      <c r="F111" s="154">
        <v>703.21641899999997</v>
      </c>
      <c r="G111" s="154">
        <v>715.93528600000002</v>
      </c>
      <c r="H111" s="154">
        <v>707.412238</v>
      </c>
      <c r="I111" s="154">
        <v>759.04677800000002</v>
      </c>
      <c r="J111" s="154">
        <v>782.41841999999997</v>
      </c>
      <c r="K111" s="154">
        <v>764.76404100000002</v>
      </c>
      <c r="L111" s="154">
        <v>778.60753399999999</v>
      </c>
      <c r="M111" s="154">
        <v>720.77348500000005</v>
      </c>
      <c r="N111" s="154">
        <v>740.24621400000001</v>
      </c>
      <c r="O111" s="154">
        <v>754.999326</v>
      </c>
      <c r="P111" s="154">
        <v>678.42557099999999</v>
      </c>
      <c r="Q111" s="154">
        <v>283.85447399999998</v>
      </c>
      <c r="R111"/>
      <c r="S111"/>
      <c r="T111"/>
      <c r="U111"/>
      <c r="V111"/>
      <c r="W111"/>
      <c r="X111"/>
      <c r="Y111"/>
      <c r="Z111"/>
    </row>
    <row r="112" spans="1:26" ht="15">
      <c r="A112" s="209"/>
      <c r="B112" s="153" t="s">
        <v>94</v>
      </c>
      <c r="C112" s="154">
        <v>755.28721099999996</v>
      </c>
      <c r="D112" s="154">
        <v>682.423585</v>
      </c>
      <c r="E112" s="154">
        <v>729.88755000000003</v>
      </c>
      <c r="F112" s="154">
        <v>703.21641899999997</v>
      </c>
      <c r="G112" s="154">
        <v>715.93528600000002</v>
      </c>
      <c r="H112" s="154">
        <v>707.412238</v>
      </c>
      <c r="I112" s="154">
        <v>759.04677800000002</v>
      </c>
      <c r="J112" s="154">
        <v>782.41841999999997</v>
      </c>
      <c r="K112" s="154">
        <v>764.76404100000002</v>
      </c>
      <c r="L112" s="154">
        <v>778.60753399999999</v>
      </c>
      <c r="M112" s="154">
        <v>720.77348500000005</v>
      </c>
      <c r="N112" s="154">
        <v>740.24621400000001</v>
      </c>
      <c r="O112" s="154">
        <v>754.999326</v>
      </c>
      <c r="P112" s="154">
        <v>678.42557099999999</v>
      </c>
      <c r="Q112" s="154">
        <v>283.85447399999998</v>
      </c>
      <c r="R112"/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05" t="s">
        <v>84</v>
      </c>
      <c r="C117" s="124" t="str">
        <f>TEXT(EDATE(D117,-1),"mmmm aaaa")</f>
        <v>febrero 2018</v>
      </c>
      <c r="D117" s="124" t="str">
        <f t="shared" ref="D117:M117" si="3">TEXT(EDATE(E117,-1),"mmmm aaaa")</f>
        <v>marzo 2018</v>
      </c>
      <c r="E117" s="124" t="str">
        <f t="shared" si="3"/>
        <v>abril 2018</v>
      </c>
      <c r="F117" s="124" t="str">
        <f t="shared" si="3"/>
        <v>mayo 2018</v>
      </c>
      <c r="G117" s="124" t="str">
        <f t="shared" si="3"/>
        <v>junio 2018</v>
      </c>
      <c r="H117" s="124" t="str">
        <f t="shared" si="3"/>
        <v>julio 2018</v>
      </c>
      <c r="I117" s="124" t="str">
        <f t="shared" si="3"/>
        <v>agosto 2018</v>
      </c>
      <c r="J117" s="124" t="str">
        <f t="shared" si="3"/>
        <v>septiembre 2018</v>
      </c>
      <c r="K117" s="124" t="str">
        <f t="shared" si="3"/>
        <v>octubre 2018</v>
      </c>
      <c r="L117" s="124" t="str">
        <f t="shared" si="3"/>
        <v>noviembre 2018</v>
      </c>
      <c r="M117" s="124" t="str">
        <f t="shared" si="3"/>
        <v>diciembre 2018</v>
      </c>
      <c r="N117" s="124" t="str">
        <f>TEXT(EDATE(O117,-1),"mmmm aaaa")</f>
        <v>enero 2019</v>
      </c>
      <c r="O117" s="125" t="str">
        <f>A2</f>
        <v>Febrero 2019</v>
      </c>
    </row>
    <row r="118" spans="1:19">
      <c r="B118" s="206"/>
      <c r="C118" s="135" t="str">
        <f>TEXT(EDATE($A$2,-12),"mmm")&amp;".-"&amp;TEXT(EDATE($A$2,-12),"aa")</f>
        <v>feb.-18</v>
      </c>
      <c r="D118" s="135" t="str">
        <f>TEXT(EDATE($A$2,-11),"mmm")&amp;".-"&amp;TEXT(EDATE($A$2,-11),"aa")</f>
        <v>mar.-18</v>
      </c>
      <c r="E118" s="135" t="str">
        <f>TEXT(EDATE($A$2,-10),"mmm")&amp;".-"&amp;TEXT(EDATE($A$2,-10),"aa")</f>
        <v>abr.-18</v>
      </c>
      <c r="F118" s="135" t="str">
        <f>TEXT(EDATE($A$2,-9),"mmm")&amp;".-"&amp;TEXT(EDATE($A$2,-9),"aa")</f>
        <v>may.-18</v>
      </c>
      <c r="G118" s="135" t="str">
        <f>TEXT(EDATE($A$2,-8),"mmm")&amp;".-"&amp;TEXT(EDATE($A$2,-8),"aa")</f>
        <v>jun.-18</v>
      </c>
      <c r="H118" s="135" t="str">
        <f>TEXT(EDATE($A$2,-7),"mmm")&amp;".-"&amp;TEXT(EDATE($A$2,-7),"aa")</f>
        <v>jul.-18</v>
      </c>
      <c r="I118" s="135" t="str">
        <f>TEXT(EDATE($A$2,-6),"mmm")&amp;".-"&amp;TEXT(EDATE($A$2,-6),"aa")</f>
        <v>ago.-18</v>
      </c>
      <c r="J118" s="135" t="str">
        <f>TEXT(EDATE($A$2,-5),"mmm")&amp;".-"&amp;TEXT(EDATE($A$2,-5),"aa")</f>
        <v>sep.-18</v>
      </c>
      <c r="K118" s="135" t="str">
        <f>TEXT(EDATE($A$2,-4),"mmm")&amp;".-"&amp;TEXT(EDATE($A$2,-4),"aa")</f>
        <v>oct.-18</v>
      </c>
      <c r="L118" s="135" t="str">
        <f>TEXT(EDATE($A$2,-3),"mmm")&amp;".-"&amp;TEXT(EDATE($A$2,-3),"aa")</f>
        <v>nov.-18</v>
      </c>
      <c r="M118" s="135" t="str">
        <f>TEXT(EDATE($A$2,-2),"mmm")&amp;".-"&amp;TEXT(EDATE($A$2,-2),"aa")</f>
        <v>dic.-18</v>
      </c>
      <c r="N118" s="135" t="str">
        <f>TEXT(EDATE($A$2,-1),"mmm")&amp;".-"&amp;TEXT(EDATE($A$2,-1),"aa")</f>
        <v>ene.-19</v>
      </c>
      <c r="O118" s="164" t="str">
        <f>TEXT($A$2,"mmm")&amp;".-"&amp;TEXT($A$2,"aa")</f>
        <v>feb.-19</v>
      </c>
    </row>
    <row r="119" spans="1:19">
      <c r="A119" s="202" t="s">
        <v>87</v>
      </c>
      <c r="B119" s="136" t="s">
        <v>16</v>
      </c>
      <c r="C119" s="137">
        <f>HLOOKUP(C$117,$86:$101,3,FALSE)</f>
        <v>192.79493400000001</v>
      </c>
      <c r="D119" s="137">
        <f t="shared" ref="D119:O119" si="4">HLOOKUP(D$117,$86:$101,3,FALSE)</f>
        <v>199.82157000000001</v>
      </c>
      <c r="E119" s="137">
        <f t="shared" si="4"/>
        <v>183.05622099999999</v>
      </c>
      <c r="F119" s="137">
        <f t="shared" si="4"/>
        <v>187.058672</v>
      </c>
      <c r="G119" s="137">
        <f t="shared" si="4"/>
        <v>204.87973099999999</v>
      </c>
      <c r="H119" s="137">
        <f t="shared" si="4"/>
        <v>242.068479</v>
      </c>
      <c r="I119" s="137">
        <f t="shared" si="4"/>
        <v>257.31310999999999</v>
      </c>
      <c r="J119" s="137">
        <f t="shared" si="4"/>
        <v>250.63039499999999</v>
      </c>
      <c r="K119" s="137">
        <f t="shared" si="4"/>
        <v>186.34634299999999</v>
      </c>
      <c r="L119" s="137">
        <f t="shared" si="4"/>
        <v>108.147407</v>
      </c>
      <c r="M119" s="137">
        <f t="shared" si="4"/>
        <v>181.17789999999999</v>
      </c>
      <c r="N119" s="137">
        <f t="shared" si="4"/>
        <v>216.788162</v>
      </c>
      <c r="O119" s="138">
        <f t="shared" si="4"/>
        <v>163.68409500000001</v>
      </c>
    </row>
    <row r="120" spans="1:19">
      <c r="A120" s="203"/>
      <c r="B120" s="126" t="s">
        <v>15</v>
      </c>
      <c r="C120" s="120">
        <f>HLOOKUP(C$117,$86:$101,4,FALSE)</f>
        <v>38.969616000000002</v>
      </c>
      <c r="D120" s="120">
        <f t="shared" ref="D120:O120" si="5">HLOOKUP(D$117,$86:$101,4,FALSE)</f>
        <v>35.928452</v>
      </c>
      <c r="E120" s="120">
        <f t="shared" si="5"/>
        <v>37.207234999999997</v>
      </c>
      <c r="F120" s="120">
        <f t="shared" si="5"/>
        <v>51.279922999999997</v>
      </c>
      <c r="G120" s="120">
        <f t="shared" si="5"/>
        <v>59.423205000000003</v>
      </c>
      <c r="H120" s="120">
        <f t="shared" si="5"/>
        <v>82.636359999999996</v>
      </c>
      <c r="I120" s="120">
        <f t="shared" si="5"/>
        <v>89.525766000000004</v>
      </c>
      <c r="J120" s="120">
        <f t="shared" si="5"/>
        <v>72.079989999999995</v>
      </c>
      <c r="K120" s="120">
        <f t="shared" si="5"/>
        <v>57.770246999999998</v>
      </c>
      <c r="L120" s="120">
        <f t="shared" si="5"/>
        <v>42.036839000000001</v>
      </c>
      <c r="M120" s="120">
        <f t="shared" si="5"/>
        <v>32.932130000000001</v>
      </c>
      <c r="N120" s="120">
        <f t="shared" si="5"/>
        <v>35.212248000000002</v>
      </c>
      <c r="O120" s="138">
        <f t="shared" si="5"/>
        <v>26.576927000000001</v>
      </c>
    </row>
    <row r="121" spans="1:19">
      <c r="A121" s="203"/>
      <c r="B121" s="126" t="s">
        <v>14</v>
      </c>
      <c r="C121" s="120">
        <f>HLOOKUP(C$117,$86:$101,5,FALSE)</f>
        <v>59.882575000000003</v>
      </c>
      <c r="D121" s="120">
        <f t="shared" ref="D121:O121" si="6">HLOOKUP(D$117,$86:$101,5,FALSE)</f>
        <v>61.051561</v>
      </c>
      <c r="E121" s="120">
        <f t="shared" si="6"/>
        <v>57.191896</v>
      </c>
      <c r="F121" s="120">
        <f t="shared" si="6"/>
        <v>66.096778</v>
      </c>
      <c r="G121" s="120">
        <f t="shared" si="6"/>
        <v>77.051412999999997</v>
      </c>
      <c r="H121" s="120">
        <f t="shared" si="6"/>
        <v>95.847725999999994</v>
      </c>
      <c r="I121" s="120">
        <f t="shared" si="6"/>
        <v>91.166568999999996</v>
      </c>
      <c r="J121" s="120">
        <f t="shared" si="6"/>
        <v>75.102127999999993</v>
      </c>
      <c r="K121" s="120">
        <f t="shared" si="6"/>
        <v>54.458812999999999</v>
      </c>
      <c r="L121" s="120">
        <f t="shared" si="6"/>
        <v>47.932189000000001</v>
      </c>
      <c r="M121" s="120">
        <f t="shared" si="6"/>
        <v>19.365110999999999</v>
      </c>
      <c r="N121" s="120">
        <f t="shared" si="6"/>
        <v>22.524488000000002</v>
      </c>
      <c r="O121" s="138">
        <f t="shared" si="6"/>
        <v>22.600860000000001</v>
      </c>
    </row>
    <row r="122" spans="1:19" ht="14.25">
      <c r="A122" s="203"/>
      <c r="B122" s="126" t="s">
        <v>85</v>
      </c>
      <c r="C122" s="120">
        <f>HLOOKUP(C$117,$86:$101,6,FALSE)</f>
        <v>48.135339999999999</v>
      </c>
      <c r="D122" s="120">
        <f t="shared" ref="D122:O122" si="7">HLOOKUP(D$117,$86:$101,6,FALSE)</f>
        <v>39.439261999999999</v>
      </c>
      <c r="E122" s="120">
        <f t="shared" si="7"/>
        <v>48.047037000000003</v>
      </c>
      <c r="F122" s="120">
        <f t="shared" si="7"/>
        <v>45.724513999999999</v>
      </c>
      <c r="G122" s="120">
        <f t="shared" si="7"/>
        <v>36.755218999999997</v>
      </c>
      <c r="H122" s="120">
        <f t="shared" si="7"/>
        <v>53.754595000000002</v>
      </c>
      <c r="I122" s="120">
        <f t="shared" si="7"/>
        <v>62.510635000000001</v>
      </c>
      <c r="J122" s="120">
        <f t="shared" si="7"/>
        <v>31.104752999999999</v>
      </c>
      <c r="K122" s="120">
        <f t="shared" si="7"/>
        <v>45.569164000000001</v>
      </c>
      <c r="L122" s="120">
        <f t="shared" si="7"/>
        <v>109.56093300000001</v>
      </c>
      <c r="M122" s="120">
        <f t="shared" si="7"/>
        <v>38.727547999999999</v>
      </c>
      <c r="N122" s="120">
        <f t="shared" si="7"/>
        <v>34.412135999999997</v>
      </c>
      <c r="O122" s="138">
        <f t="shared" si="7"/>
        <v>55.402149000000001</v>
      </c>
    </row>
    <row r="123" spans="1:19">
      <c r="A123" s="203"/>
      <c r="B123" s="126" t="s">
        <v>29</v>
      </c>
      <c r="C123" s="120">
        <f>HLOOKUP(C$117,$86:$101,7,FALSE)</f>
        <v>0</v>
      </c>
      <c r="D123" s="120">
        <f t="shared" ref="D123:O123" si="8">HLOOKUP(D$117,$86:$101,7,FALSE)</f>
        <v>0</v>
      </c>
      <c r="E123" s="120">
        <f t="shared" si="8"/>
        <v>0</v>
      </c>
      <c r="F123" s="120">
        <f t="shared" si="8"/>
        <v>0.258189</v>
      </c>
      <c r="G123" s="120">
        <f t="shared" si="8"/>
        <v>1.4068510000000001</v>
      </c>
      <c r="H123" s="120">
        <f t="shared" si="8"/>
        <v>3.4087329999999998</v>
      </c>
      <c r="I123" s="120">
        <f t="shared" si="8"/>
        <v>5.1961240000000002</v>
      </c>
      <c r="J123" s="120">
        <f t="shared" si="8"/>
        <v>2.2653319999999999</v>
      </c>
      <c r="K123" s="120">
        <f t="shared" si="8"/>
        <v>0.27849499999999999</v>
      </c>
      <c r="L123" s="120">
        <f t="shared" si="8"/>
        <v>0</v>
      </c>
      <c r="M123" s="120">
        <f t="shared" si="8"/>
        <v>0</v>
      </c>
      <c r="N123" s="120">
        <f t="shared" si="8"/>
        <v>0</v>
      </c>
      <c r="O123" s="138">
        <f t="shared" si="8"/>
        <v>0</v>
      </c>
    </row>
    <row r="124" spans="1:19">
      <c r="A124" s="203"/>
      <c r="B124" s="126" t="s">
        <v>8</v>
      </c>
      <c r="C124" s="120">
        <f>HLOOKUP(C$117,$86:$102,8,FALSE)</f>
        <v>0.32401200000000002</v>
      </c>
      <c r="D124" s="120">
        <f t="shared" ref="D124:O124" si="9">HLOOKUP(D$117,$86:$102,8,FALSE)</f>
        <v>0.40592400000000001</v>
      </c>
      <c r="E124" s="120">
        <f t="shared" si="9"/>
        <v>0.28265000000000001</v>
      </c>
      <c r="F124" s="120">
        <f t="shared" si="9"/>
        <v>0.22889300000000001</v>
      </c>
      <c r="G124" s="120">
        <f t="shared" si="9"/>
        <v>0.138682</v>
      </c>
      <c r="H124" s="120">
        <f t="shared" si="9"/>
        <v>0.13932900000000001</v>
      </c>
      <c r="I124" s="120">
        <f t="shared" si="9"/>
        <v>0.19220799999999999</v>
      </c>
      <c r="J124" s="120">
        <f t="shared" si="9"/>
        <v>0.19817599999999999</v>
      </c>
      <c r="K124" s="120">
        <f t="shared" si="9"/>
        <v>0.620313</v>
      </c>
      <c r="L124" s="120">
        <f t="shared" si="9"/>
        <v>0.555396</v>
      </c>
      <c r="M124" s="120">
        <f t="shared" si="9"/>
        <v>0.41894799999999999</v>
      </c>
      <c r="N124" s="120">
        <f t="shared" si="9"/>
        <v>0.805427</v>
      </c>
      <c r="O124" s="138">
        <f t="shared" si="9"/>
        <v>0.49932900000000002</v>
      </c>
    </row>
    <row r="125" spans="1:19">
      <c r="A125" s="203"/>
      <c r="B125" s="126" t="s">
        <v>7</v>
      </c>
      <c r="C125" s="120">
        <f>HLOOKUP(C$117,$86:$102,9,FALSE)</f>
        <v>5.3380900000000002</v>
      </c>
      <c r="D125" s="120">
        <f t="shared" ref="D125:O125" si="10">HLOOKUP(D$117,$86:$102,9,FALSE)</f>
        <v>10.194158</v>
      </c>
      <c r="E125" s="120">
        <f t="shared" si="10"/>
        <v>11.477546</v>
      </c>
      <c r="F125" s="120">
        <f t="shared" si="10"/>
        <v>11.83853</v>
      </c>
      <c r="G125" s="120">
        <f t="shared" si="10"/>
        <v>12.382847999999999</v>
      </c>
      <c r="H125" s="120">
        <f t="shared" si="10"/>
        <v>13.341704</v>
      </c>
      <c r="I125" s="120">
        <f t="shared" si="10"/>
        <v>11.250524</v>
      </c>
      <c r="J125" s="120">
        <f t="shared" si="10"/>
        <v>9.0263849999999994</v>
      </c>
      <c r="K125" s="120">
        <f t="shared" si="10"/>
        <v>7.8414849999999996</v>
      </c>
      <c r="L125" s="120">
        <f t="shared" si="10"/>
        <v>5.9794580000000002</v>
      </c>
      <c r="M125" s="120">
        <f t="shared" si="10"/>
        <v>6.5364139999999997</v>
      </c>
      <c r="N125" s="120">
        <f t="shared" si="10"/>
        <v>7.2096450000000001</v>
      </c>
      <c r="O125" s="138">
        <f t="shared" si="10"/>
        <v>9.3192470000000007</v>
      </c>
    </row>
    <row r="126" spans="1:19">
      <c r="A126" s="203"/>
      <c r="B126" s="127" t="s">
        <v>27</v>
      </c>
      <c r="C126" s="120">
        <f>HLOOKUP(C$117,$86:$102,10,FALSE)</f>
        <v>0.16624</v>
      </c>
      <c r="D126" s="120">
        <f t="shared" ref="D126:O126" si="11">HLOOKUP(D$117,$86:$102,10,FALSE)</f>
        <v>0.184165</v>
      </c>
      <c r="E126" s="120">
        <f t="shared" si="11"/>
        <v>0.130801</v>
      </c>
      <c r="F126" s="120">
        <f t="shared" si="11"/>
        <v>0.12767999999999999</v>
      </c>
      <c r="G126" s="120">
        <f t="shared" si="11"/>
        <v>0.110028</v>
      </c>
      <c r="H126" s="120">
        <f t="shared" si="11"/>
        <v>5.7736999999999997E-2</v>
      </c>
      <c r="I126" s="120">
        <f t="shared" si="11"/>
        <v>5.6852E-2</v>
      </c>
      <c r="J126" s="120">
        <f t="shared" si="11"/>
        <v>1.917E-2</v>
      </c>
      <c r="K126" s="120">
        <f t="shared" si="11"/>
        <v>6.0415000000000003E-2</v>
      </c>
      <c r="L126" s="120">
        <f t="shared" si="11"/>
        <v>6.8765999999999994E-2</v>
      </c>
      <c r="M126" s="120">
        <f t="shared" si="11"/>
        <v>0.13137799999999999</v>
      </c>
      <c r="N126" s="120">
        <f t="shared" si="11"/>
        <v>0.107643</v>
      </c>
      <c r="O126" s="138">
        <f t="shared" si="11"/>
        <v>8.2346000000000003E-2</v>
      </c>
    </row>
    <row r="127" spans="1:19">
      <c r="A127" s="203"/>
      <c r="B127" s="127" t="s">
        <v>28</v>
      </c>
      <c r="C127" s="120">
        <f>HLOOKUP(C$117,$86:$102,11,FALSE)</f>
        <v>3.0836540000000001</v>
      </c>
      <c r="D127" s="120">
        <f t="shared" ref="D127:O127" si="12">HLOOKUP(D$117,$86:$102,11,FALSE)</f>
        <v>2.2946849999999999</v>
      </c>
      <c r="E127" s="120">
        <f t="shared" si="12"/>
        <v>1.9821660000000001</v>
      </c>
      <c r="F127" s="120">
        <f t="shared" si="12"/>
        <v>2.5785749999999998</v>
      </c>
      <c r="G127" s="120">
        <f t="shared" si="12"/>
        <v>3.3572419999999998</v>
      </c>
      <c r="H127" s="120">
        <f t="shared" si="12"/>
        <v>3.5655640000000002</v>
      </c>
      <c r="I127" s="120">
        <f t="shared" si="12"/>
        <v>3.5154580000000002</v>
      </c>
      <c r="J127" s="120">
        <f t="shared" si="12"/>
        <v>2.43655</v>
      </c>
      <c r="K127" s="120">
        <f t="shared" si="12"/>
        <v>2.5715089999999998</v>
      </c>
      <c r="L127" s="120">
        <f t="shared" si="12"/>
        <v>3.145667</v>
      </c>
      <c r="M127" s="120">
        <f t="shared" si="12"/>
        <v>3.260389</v>
      </c>
      <c r="N127" s="120">
        <f t="shared" si="12"/>
        <v>3.3415469999999998</v>
      </c>
      <c r="O127" s="138">
        <f t="shared" si="12"/>
        <v>3.483536</v>
      </c>
    </row>
    <row r="128" spans="1:19">
      <c r="A128" s="203"/>
      <c r="B128" s="126" t="s">
        <v>62</v>
      </c>
      <c r="C128" s="120">
        <f t="shared" ref="C128:O128" si="13">HLOOKUP(C$117,$86:$102,13,FALSE)</f>
        <v>4.4559544999999998</v>
      </c>
      <c r="D128" s="120">
        <f t="shared" si="13"/>
        <v>11.199851499999999</v>
      </c>
      <c r="E128" s="120">
        <f t="shared" si="13"/>
        <v>10.4867385</v>
      </c>
      <c r="F128" s="120">
        <f t="shared" si="13"/>
        <v>10.524592</v>
      </c>
      <c r="G128" s="120">
        <f t="shared" si="13"/>
        <v>14.7091545</v>
      </c>
      <c r="H128" s="120">
        <f t="shared" si="13"/>
        <v>14.429119</v>
      </c>
      <c r="I128" s="120">
        <f t="shared" si="13"/>
        <v>14.9613625</v>
      </c>
      <c r="J128" s="120">
        <f t="shared" si="13"/>
        <v>13.4535695</v>
      </c>
      <c r="K128" s="120">
        <f t="shared" si="13"/>
        <v>13.8976735</v>
      </c>
      <c r="L128" s="120">
        <f t="shared" si="13"/>
        <v>7.0333759999999996</v>
      </c>
      <c r="M128" s="120">
        <f t="shared" si="13"/>
        <v>13.124928499999999</v>
      </c>
      <c r="N128" s="120">
        <f t="shared" si="13"/>
        <v>9.5605395000000009</v>
      </c>
      <c r="O128" s="138">
        <f t="shared" si="13"/>
        <v>6.8600294999999996</v>
      </c>
    </row>
    <row r="129" spans="1:15">
      <c r="A129" s="203"/>
      <c r="B129" s="126" t="s">
        <v>61</v>
      </c>
      <c r="C129" s="120">
        <f>HLOOKUP(C$117,$86:$102,12,FALSE)</f>
        <v>4.4559544999999998</v>
      </c>
      <c r="D129" s="120">
        <f t="shared" ref="D129:O129" si="14">HLOOKUP(D$117,$86:$102,12,FALSE)</f>
        <v>11.199851499999999</v>
      </c>
      <c r="E129" s="120">
        <f t="shared" si="14"/>
        <v>10.4867385</v>
      </c>
      <c r="F129" s="120">
        <f t="shared" si="14"/>
        <v>10.524592</v>
      </c>
      <c r="G129" s="120">
        <f t="shared" si="14"/>
        <v>14.7091545</v>
      </c>
      <c r="H129" s="120">
        <f t="shared" si="14"/>
        <v>14.429119</v>
      </c>
      <c r="I129" s="120">
        <f t="shared" si="14"/>
        <v>14.9613625</v>
      </c>
      <c r="J129" s="120">
        <f t="shared" si="14"/>
        <v>13.4535695</v>
      </c>
      <c r="K129" s="120">
        <f t="shared" si="14"/>
        <v>13.8976735</v>
      </c>
      <c r="L129" s="120">
        <f t="shared" si="14"/>
        <v>7.0333759999999996</v>
      </c>
      <c r="M129" s="120">
        <f t="shared" si="14"/>
        <v>13.124928499999999</v>
      </c>
      <c r="N129" s="120">
        <f t="shared" si="14"/>
        <v>9.5605395000000009</v>
      </c>
      <c r="O129" s="138">
        <f t="shared" si="14"/>
        <v>6.8600294999999996</v>
      </c>
    </row>
    <row r="130" spans="1:15">
      <c r="A130" s="203"/>
      <c r="B130" s="128" t="s">
        <v>5</v>
      </c>
      <c r="C130" s="129">
        <f>HLOOKUP(C$117,$86:$102,14,FALSE)</f>
        <v>357.60637000000003</v>
      </c>
      <c r="D130" s="129">
        <f t="shared" ref="D130:O130" si="15">HLOOKUP(D$117,$86:$102,14,FALSE)</f>
        <v>371.71947999999998</v>
      </c>
      <c r="E130" s="129">
        <f t="shared" si="15"/>
        <v>360.34902899999997</v>
      </c>
      <c r="F130" s="129">
        <f t="shared" si="15"/>
        <v>386.24093800000003</v>
      </c>
      <c r="G130" s="129">
        <f t="shared" si="15"/>
        <v>424.92352799999998</v>
      </c>
      <c r="H130" s="129">
        <f t="shared" si="15"/>
        <v>523.67846499999996</v>
      </c>
      <c r="I130" s="129">
        <f t="shared" si="15"/>
        <v>550.64997100000005</v>
      </c>
      <c r="J130" s="129">
        <f t="shared" si="15"/>
        <v>469.77001799999999</v>
      </c>
      <c r="K130" s="129">
        <f t="shared" si="15"/>
        <v>383.31213100000002</v>
      </c>
      <c r="L130" s="129">
        <f t="shared" si="15"/>
        <v>331.49340699999999</v>
      </c>
      <c r="M130" s="129">
        <f t="shared" si="15"/>
        <v>308.79967499999998</v>
      </c>
      <c r="N130" s="129">
        <f t="shared" si="15"/>
        <v>339.52237500000001</v>
      </c>
      <c r="O130" s="139">
        <f t="shared" si="15"/>
        <v>295.36854799999998</v>
      </c>
    </row>
    <row r="131" spans="1:15">
      <c r="A131" s="203"/>
      <c r="B131" s="126" t="s">
        <v>26</v>
      </c>
      <c r="C131" s="130">
        <f>HLOOKUP(C$117,$86:$102,15,FALSE)</f>
        <v>99.993398999999997</v>
      </c>
      <c r="D131" s="130">
        <f t="shared" ref="D131:O131" si="16">HLOOKUP(D$117,$86:$102,15,FALSE)</f>
        <v>89.996875000000003</v>
      </c>
      <c r="E131" s="130">
        <f t="shared" si="16"/>
        <v>66.467519999999993</v>
      </c>
      <c r="F131" s="130">
        <f t="shared" si="16"/>
        <v>89.565090999999995</v>
      </c>
      <c r="G131" s="130">
        <f t="shared" si="16"/>
        <v>108.62363499999999</v>
      </c>
      <c r="H131" s="130">
        <f t="shared" si="16"/>
        <v>161.79160300000001</v>
      </c>
      <c r="I131" s="130">
        <f t="shared" si="16"/>
        <v>153.133589</v>
      </c>
      <c r="J131" s="130">
        <f t="shared" si="16"/>
        <v>107.931268</v>
      </c>
      <c r="K131" s="130">
        <f t="shared" si="16"/>
        <v>92.007576999999998</v>
      </c>
      <c r="L131" s="130">
        <f t="shared" si="16"/>
        <v>65.068314999999998</v>
      </c>
      <c r="M131" s="130">
        <f t="shared" si="16"/>
        <v>112.575441</v>
      </c>
      <c r="N131" s="130">
        <f t="shared" si="16"/>
        <v>137.254998</v>
      </c>
      <c r="O131" s="130">
        <f t="shared" si="16"/>
        <v>119.223619</v>
      </c>
    </row>
    <row r="132" spans="1:15">
      <c r="A132" s="203"/>
      <c r="B132" s="131" t="s">
        <v>4</v>
      </c>
      <c r="C132" s="132">
        <f>HLOOKUP(C$117,$86:$102,16,FALSE)</f>
        <v>457.59976899999998</v>
      </c>
      <c r="D132" s="132">
        <f t="shared" ref="D132:O132" si="17">HLOOKUP(D$117,$86:$102,16,FALSE)</f>
        <v>461.71635500000002</v>
      </c>
      <c r="E132" s="132">
        <f t="shared" si="17"/>
        <v>426.81654900000001</v>
      </c>
      <c r="F132" s="132">
        <f t="shared" si="17"/>
        <v>475.80602900000002</v>
      </c>
      <c r="G132" s="132">
        <f t="shared" si="17"/>
        <v>533.54716299999995</v>
      </c>
      <c r="H132" s="132">
        <f t="shared" si="17"/>
        <v>685.47006799999997</v>
      </c>
      <c r="I132" s="132">
        <f t="shared" si="17"/>
        <v>703.78355999999997</v>
      </c>
      <c r="J132" s="132">
        <f t="shared" si="17"/>
        <v>577.70128599999998</v>
      </c>
      <c r="K132" s="132">
        <f t="shared" si="17"/>
        <v>475.31970799999999</v>
      </c>
      <c r="L132" s="132">
        <f t="shared" si="17"/>
        <v>396.56172199999997</v>
      </c>
      <c r="M132" s="132">
        <f t="shared" si="17"/>
        <v>421.37511599999999</v>
      </c>
      <c r="N132" s="132">
        <f t="shared" si="17"/>
        <v>476.77737300000001</v>
      </c>
      <c r="O132" s="132">
        <f t="shared" si="17"/>
        <v>414.59216700000002</v>
      </c>
    </row>
    <row r="133" spans="1:15" ht="14.25">
      <c r="A133" s="204"/>
      <c r="B133" s="141" t="s">
        <v>86</v>
      </c>
      <c r="C133" s="142">
        <f>C120+C121+C123</f>
        <v>98.852191000000005</v>
      </c>
      <c r="D133" s="142">
        <f t="shared" ref="D133:O133" si="18">D120+D121+D123</f>
        <v>96.980013</v>
      </c>
      <c r="E133" s="142">
        <f t="shared" si="18"/>
        <v>94.399130999999997</v>
      </c>
      <c r="F133" s="142">
        <f t="shared" si="18"/>
        <v>117.63489</v>
      </c>
      <c r="G133" s="142">
        <f t="shared" si="18"/>
        <v>137.88146899999998</v>
      </c>
      <c r="H133" s="142">
        <f t="shared" si="18"/>
        <v>181.892819</v>
      </c>
      <c r="I133" s="142">
        <f t="shared" si="18"/>
        <v>185.88845900000001</v>
      </c>
      <c r="J133" s="142">
        <f t="shared" si="18"/>
        <v>149.44745</v>
      </c>
      <c r="K133" s="142">
        <f t="shared" si="18"/>
        <v>112.50755500000001</v>
      </c>
      <c r="L133" s="142">
        <f t="shared" si="18"/>
        <v>89.969028000000009</v>
      </c>
      <c r="M133" s="142">
        <f t="shared" si="18"/>
        <v>52.297241</v>
      </c>
      <c r="N133" s="142">
        <f t="shared" si="18"/>
        <v>57.736736000000008</v>
      </c>
      <c r="O133" s="142">
        <f t="shared" si="18"/>
        <v>49.177787000000002</v>
      </c>
    </row>
    <row r="134" spans="1:15">
      <c r="A134" s="202" t="s">
        <v>88</v>
      </c>
      <c r="B134" s="143" t="s">
        <v>84</v>
      </c>
      <c r="C134" s="124" t="str">
        <f>TEXT(EDATE($A$2,-12),"mmm")&amp;".-"&amp;TEXT(EDATE($A$2,-12),"aa")</f>
        <v>feb.-18</v>
      </c>
      <c r="D134" s="124" t="str">
        <f>TEXT(EDATE($A$2,-11),"mmm")&amp;".-"&amp;TEXT(EDATE($A$2,-11),"aa")</f>
        <v>mar.-18</v>
      </c>
      <c r="E134" s="124" t="str">
        <f>TEXT(EDATE($A$2,-10),"mmm")&amp;".-"&amp;TEXT(EDATE($A$2,-10),"aa")</f>
        <v>abr.-18</v>
      </c>
      <c r="F134" s="124" t="str">
        <f>TEXT(EDATE($A$2,-9),"mmm")&amp;".-"&amp;TEXT(EDATE($A$2,-9),"aa")</f>
        <v>may.-18</v>
      </c>
      <c r="G134" s="124" t="str">
        <f>TEXT(EDATE($A$2,-8),"mmm")&amp;".-"&amp;TEXT(EDATE($A$2,-8),"aa")</f>
        <v>jun.-18</v>
      </c>
      <c r="H134" s="124" t="str">
        <f>TEXT(EDATE($A$2,-7),"mmm")&amp;".-"&amp;TEXT(EDATE($A$2,-7),"aa")</f>
        <v>jul.-18</v>
      </c>
      <c r="I134" s="124" t="str">
        <f>TEXT(EDATE($A$2,-6),"mmm")&amp;".-"&amp;TEXT(EDATE($A$2,-6),"aa")</f>
        <v>ago.-18</v>
      </c>
      <c r="J134" s="124" t="str">
        <f>TEXT(EDATE($A$2,-5),"mmm")&amp;".-"&amp;TEXT(EDATE($A$2,-5),"aa")</f>
        <v>sep.-18</v>
      </c>
      <c r="K134" s="124" t="str">
        <f>TEXT(EDATE($A$2,-4),"mmm")&amp;".-"&amp;TEXT(EDATE($A$2,-4),"aa")</f>
        <v>oct.-18</v>
      </c>
      <c r="L134" s="124" t="str">
        <f>TEXT(EDATE($A$2,-3),"mmm")&amp;".-"&amp;TEXT(EDATE($A$2,-3),"aa")</f>
        <v>nov.-18</v>
      </c>
      <c r="M134" s="124" t="str">
        <f>TEXT(EDATE($A$2,-2),"mmm")&amp;".-"&amp;TEXT(EDATE($A$2,-2),"aa")</f>
        <v>dic.-18</v>
      </c>
      <c r="N134" s="124" t="str">
        <f>TEXT(EDATE($A$2,-1),"mmm")&amp;".-"&amp;TEXT(EDATE($A$2,-1),"aa")</f>
        <v>ene.-19</v>
      </c>
      <c r="O134" s="125" t="str">
        <f>TEXT($A$2,"mmm")&amp;".-"&amp;TEXT($A$2,"aa")</f>
        <v>feb.-19</v>
      </c>
    </row>
    <row r="135" spans="1:15" ht="15" customHeight="1">
      <c r="A135" s="203"/>
      <c r="B135" s="126" t="s">
        <v>17</v>
      </c>
      <c r="C135" s="120">
        <f>HLOOKUP(C$117,$86:$115,17,FALSE)</f>
        <v>3.4173000000000002E-2</v>
      </c>
      <c r="D135" s="120">
        <f t="shared" ref="D135:O135" si="19">HLOOKUP(D$117,$86:$115,17,FALSE)</f>
        <v>0.309946</v>
      </c>
      <c r="E135" s="120">
        <f t="shared" si="19"/>
        <v>0.27612300000000001</v>
      </c>
      <c r="F135" s="120">
        <f t="shared" si="19"/>
        <v>0.308334</v>
      </c>
      <c r="G135" s="120">
        <f t="shared" si="19"/>
        <v>0.29448200000000002</v>
      </c>
      <c r="H135" s="120">
        <f t="shared" si="19"/>
        <v>0.29559600000000003</v>
      </c>
      <c r="I135" s="120">
        <f t="shared" si="19"/>
        <v>0.30764000000000002</v>
      </c>
      <c r="J135" s="120">
        <f t="shared" si="19"/>
        <v>0.28839900000000002</v>
      </c>
      <c r="K135" s="120">
        <f t="shared" si="19"/>
        <v>0.29697000000000001</v>
      </c>
      <c r="L135" s="120">
        <f t="shared" si="19"/>
        <v>0.28850700000000001</v>
      </c>
      <c r="M135" s="120">
        <f t="shared" si="19"/>
        <v>0.29630699999999999</v>
      </c>
      <c r="N135" s="120">
        <f t="shared" si="19"/>
        <v>0.29291600000000001</v>
      </c>
      <c r="O135" s="165">
        <f t="shared" si="19"/>
        <v>0.26504899999999998</v>
      </c>
    </row>
    <row r="136" spans="1:15">
      <c r="A136" s="203"/>
      <c r="B136" s="126" t="s">
        <v>15</v>
      </c>
      <c r="C136" s="120">
        <f>HLOOKUP(C$117,$86:$115,18,FALSE)</f>
        <v>165.51885899999999</v>
      </c>
      <c r="D136" s="120">
        <f t="shared" ref="D136:O136" si="20">HLOOKUP(D$117,$86:$115,18,FALSE)</f>
        <v>176.17658599999999</v>
      </c>
      <c r="E136" s="120">
        <f t="shared" si="20"/>
        <v>171.46459999999999</v>
      </c>
      <c r="F136" s="120">
        <f t="shared" si="20"/>
        <v>172.14836700000001</v>
      </c>
      <c r="G136" s="120">
        <f t="shared" si="20"/>
        <v>162.83670599999999</v>
      </c>
      <c r="H136" s="120">
        <f t="shared" si="20"/>
        <v>173.812749</v>
      </c>
      <c r="I136" s="120">
        <f t="shared" si="20"/>
        <v>196.43005099999999</v>
      </c>
      <c r="J136" s="120">
        <f t="shared" si="20"/>
        <v>187.12256099999999</v>
      </c>
      <c r="K136" s="120">
        <f t="shared" si="20"/>
        <v>190.675118</v>
      </c>
      <c r="L136" s="120">
        <f t="shared" si="20"/>
        <v>163.85602700000001</v>
      </c>
      <c r="M136" s="120">
        <f t="shared" si="20"/>
        <v>176.651453</v>
      </c>
      <c r="N136" s="120">
        <f t="shared" si="20"/>
        <v>174.26427200000001</v>
      </c>
      <c r="O136" s="138">
        <f t="shared" si="20"/>
        <v>152.846857</v>
      </c>
    </row>
    <row r="137" spans="1:15">
      <c r="A137" s="203"/>
      <c r="B137" s="126" t="s">
        <v>14</v>
      </c>
      <c r="C137" s="120">
        <f>HLOOKUP(C$117,$86:$115,19,FALSE)</f>
        <v>24.751363999999999</v>
      </c>
      <c r="D137" s="120">
        <f t="shared" ref="D137:O137" si="21">HLOOKUP(D$117,$86:$115,19,FALSE)</f>
        <v>19.300775999999999</v>
      </c>
      <c r="E137" s="120">
        <f t="shared" si="21"/>
        <v>22.020657</v>
      </c>
      <c r="F137" s="120">
        <f t="shared" si="21"/>
        <v>27.236414</v>
      </c>
      <c r="G137" s="120">
        <f t="shared" si="21"/>
        <v>24.035202999999999</v>
      </c>
      <c r="H137" s="120">
        <f t="shared" si="21"/>
        <v>19.071615000000001</v>
      </c>
      <c r="I137" s="120">
        <f t="shared" si="21"/>
        <v>22.472683</v>
      </c>
      <c r="J137" s="120">
        <f t="shared" si="21"/>
        <v>28.508217999999999</v>
      </c>
      <c r="K137" s="120">
        <f t="shared" si="21"/>
        <v>25.162983000000001</v>
      </c>
      <c r="L137" s="120">
        <f t="shared" si="21"/>
        <v>25.639095999999999</v>
      </c>
      <c r="M137" s="120">
        <f t="shared" si="21"/>
        <v>18.905633999999999</v>
      </c>
      <c r="N137" s="120">
        <f t="shared" si="21"/>
        <v>21.945627999999999</v>
      </c>
      <c r="O137" s="138">
        <f t="shared" si="21"/>
        <v>18.942269</v>
      </c>
    </row>
    <row r="138" spans="1:15">
      <c r="A138" s="203"/>
      <c r="B138" s="126" t="s">
        <v>13</v>
      </c>
      <c r="C138" s="120">
        <f>HLOOKUP(C$117,$86:$115,20,FALSE)</f>
        <v>210.40916100000001</v>
      </c>
      <c r="D138" s="120">
        <f t="shared" ref="D138:O138" si="22">HLOOKUP(D$117,$86:$115,20,FALSE)</f>
        <v>195.20305200000001</v>
      </c>
      <c r="E138" s="120">
        <f t="shared" si="22"/>
        <v>189.55861100000001</v>
      </c>
      <c r="F138" s="120">
        <f t="shared" si="22"/>
        <v>186.40918600000001</v>
      </c>
      <c r="G138" s="120">
        <f t="shared" si="22"/>
        <v>200.03084899999999</v>
      </c>
      <c r="H138" s="120">
        <f t="shared" si="22"/>
        <v>206.69372799999999</v>
      </c>
      <c r="I138" s="120">
        <f t="shared" si="22"/>
        <v>214.943949</v>
      </c>
      <c r="J138" s="120">
        <f t="shared" si="22"/>
        <v>188.605344</v>
      </c>
      <c r="K138" s="120">
        <f t="shared" si="22"/>
        <v>201.924623</v>
      </c>
      <c r="L138" s="120">
        <f t="shared" si="22"/>
        <v>224.02625399999999</v>
      </c>
      <c r="M138" s="120">
        <f t="shared" si="22"/>
        <v>207.24283</v>
      </c>
      <c r="N138" s="120">
        <f t="shared" si="22"/>
        <v>218.650612</v>
      </c>
      <c r="O138" s="138">
        <f t="shared" si="22"/>
        <v>212.98181099999999</v>
      </c>
    </row>
    <row r="139" spans="1:15" ht="14.25">
      <c r="A139" s="203"/>
      <c r="B139" s="126" t="s">
        <v>85</v>
      </c>
      <c r="C139" s="120">
        <f>HLOOKUP(C$117,$86:$115,21,FALSE)</f>
        <v>215.21677199999999</v>
      </c>
      <c r="D139" s="120">
        <f t="shared" ref="D139:O139" si="23">HLOOKUP(D$117,$86:$115,21,FALSE)</f>
        <v>260.839181</v>
      </c>
      <c r="E139" s="120">
        <f t="shared" si="23"/>
        <v>246.337683</v>
      </c>
      <c r="F139" s="120">
        <f t="shared" si="23"/>
        <v>248.61678900000001</v>
      </c>
      <c r="G139" s="120">
        <f t="shared" si="23"/>
        <v>234.94823600000001</v>
      </c>
      <c r="H139" s="120">
        <f t="shared" si="23"/>
        <v>230.14559600000001</v>
      </c>
      <c r="I139" s="120">
        <f t="shared" si="23"/>
        <v>251.789052</v>
      </c>
      <c r="J139" s="120">
        <f t="shared" si="23"/>
        <v>281.47467399999999</v>
      </c>
      <c r="K139" s="120">
        <f t="shared" si="23"/>
        <v>317.069143</v>
      </c>
      <c r="L139" s="120">
        <f t="shared" si="23"/>
        <v>256.69696599999997</v>
      </c>
      <c r="M139" s="120">
        <f t="shared" si="23"/>
        <v>273.98589099999998</v>
      </c>
      <c r="N139" s="120">
        <f t="shared" si="23"/>
        <v>264.507273</v>
      </c>
      <c r="O139" s="138">
        <f t="shared" si="23"/>
        <v>221.964823</v>
      </c>
    </row>
    <row r="140" spans="1:15">
      <c r="A140" s="203"/>
      <c r="B140" s="126" t="s">
        <v>9</v>
      </c>
      <c r="C140" s="120">
        <f>HLOOKUP(C$117,$86:$115,22,FALSE)</f>
        <v>1.754305</v>
      </c>
      <c r="D140" s="120">
        <f t="shared" ref="D140:O140" si="24">HLOOKUP(D$117,$86:$115,22,FALSE)</f>
        <v>1.5995220000000001</v>
      </c>
      <c r="E140" s="120">
        <f t="shared" si="24"/>
        <v>2.2626460000000002</v>
      </c>
      <c r="F140" s="120">
        <f t="shared" si="24"/>
        <v>2.0342030000000002</v>
      </c>
      <c r="G140" s="120">
        <f t="shared" si="24"/>
        <v>2.3218040000000002</v>
      </c>
      <c r="H140" s="120">
        <f t="shared" si="24"/>
        <v>3.7162829999999998</v>
      </c>
      <c r="I140" s="120">
        <f t="shared" si="24"/>
        <v>2.859321</v>
      </c>
      <c r="J140" s="120">
        <f t="shared" si="24"/>
        <v>2.165861</v>
      </c>
      <c r="K140" s="120">
        <f t="shared" si="24"/>
        <v>0.87331099999999995</v>
      </c>
      <c r="L140" s="120">
        <f t="shared" si="24"/>
        <v>0.90078800000000003</v>
      </c>
      <c r="M140" s="120">
        <f t="shared" si="24"/>
        <v>0.90973300000000001</v>
      </c>
      <c r="N140" s="120">
        <f t="shared" si="24"/>
        <v>1.109656</v>
      </c>
      <c r="O140" s="138">
        <f t="shared" si="24"/>
        <v>0.97254499999999999</v>
      </c>
    </row>
    <row r="141" spans="1:15">
      <c r="A141" s="203"/>
      <c r="B141" s="126" t="s">
        <v>8</v>
      </c>
      <c r="C141" s="120">
        <f>HLOOKUP(C$117,$86:$115,23,FALSE)</f>
        <v>46.206065000000002</v>
      </c>
      <c r="D141" s="120">
        <f t="shared" ref="D141:O141" si="25">HLOOKUP(D$117,$86:$115,23,FALSE)</f>
        <v>50.516177999999996</v>
      </c>
      <c r="E141" s="120">
        <f t="shared" si="25"/>
        <v>45.545817999999997</v>
      </c>
      <c r="F141" s="120">
        <f t="shared" si="25"/>
        <v>55.351522000000003</v>
      </c>
      <c r="G141" s="120">
        <f t="shared" si="25"/>
        <v>56.421117000000002</v>
      </c>
      <c r="H141" s="120">
        <f t="shared" si="25"/>
        <v>95.158366999999998</v>
      </c>
      <c r="I141" s="120">
        <f t="shared" si="25"/>
        <v>65.080791000000005</v>
      </c>
      <c r="J141" s="120">
        <f t="shared" si="25"/>
        <v>51.688220999999999</v>
      </c>
      <c r="K141" s="120">
        <f t="shared" si="25"/>
        <v>22.335968000000001</v>
      </c>
      <c r="L141" s="120">
        <f t="shared" si="25"/>
        <v>32.426611999999999</v>
      </c>
      <c r="M141" s="120">
        <f t="shared" si="25"/>
        <v>42.931705999999998</v>
      </c>
      <c r="N141" s="120">
        <f t="shared" si="25"/>
        <v>55.782074999999999</v>
      </c>
      <c r="O141" s="138">
        <f t="shared" si="25"/>
        <v>48.408240999999997</v>
      </c>
    </row>
    <row r="142" spans="1:15">
      <c r="A142" s="203"/>
      <c r="B142" s="126" t="s">
        <v>7</v>
      </c>
      <c r="C142" s="120">
        <f>HLOOKUP(C$117,$86:$115,24,FALSE)</f>
        <v>17.886313000000001</v>
      </c>
      <c r="D142" s="120">
        <f t="shared" ref="D142:O142" si="26">HLOOKUP(D$117,$86:$115,24,FALSE)</f>
        <v>25.105015000000002</v>
      </c>
      <c r="E142" s="120">
        <f t="shared" si="26"/>
        <v>25.211383999999999</v>
      </c>
      <c r="F142" s="120">
        <f t="shared" si="26"/>
        <v>23.07987</v>
      </c>
      <c r="G142" s="120">
        <f t="shared" si="26"/>
        <v>25.992826000000001</v>
      </c>
      <c r="H142" s="120">
        <f t="shared" si="26"/>
        <v>29.45045</v>
      </c>
      <c r="I142" s="120">
        <f t="shared" si="26"/>
        <v>27.718481000000001</v>
      </c>
      <c r="J142" s="120">
        <f t="shared" si="26"/>
        <v>24.127853999999999</v>
      </c>
      <c r="K142" s="120">
        <f t="shared" si="26"/>
        <v>19.456084000000001</v>
      </c>
      <c r="L142" s="120">
        <f t="shared" si="26"/>
        <v>16.088982000000001</v>
      </c>
      <c r="M142" s="120">
        <f t="shared" si="26"/>
        <v>18.423207999999999</v>
      </c>
      <c r="N142" s="120">
        <f t="shared" si="26"/>
        <v>17.483564999999999</v>
      </c>
      <c r="O142" s="138">
        <f t="shared" si="26"/>
        <v>21.221177999999998</v>
      </c>
    </row>
    <row r="143" spans="1:15">
      <c r="A143" s="203"/>
      <c r="B143" s="126" t="s">
        <v>27</v>
      </c>
      <c r="C143" s="120">
        <f>HLOOKUP(C$117,$86:$115,25,FALSE)</f>
        <v>0.64657299999999995</v>
      </c>
      <c r="D143" s="120">
        <f t="shared" ref="D143:O143" si="27">HLOOKUP(D$117,$86:$115,25,FALSE)</f>
        <v>0.83729399999999998</v>
      </c>
      <c r="E143" s="120">
        <f t="shared" si="27"/>
        <v>0.53889699999999996</v>
      </c>
      <c r="F143" s="120">
        <f t="shared" si="27"/>
        <v>0.75060099999999996</v>
      </c>
      <c r="G143" s="120">
        <f t="shared" si="27"/>
        <v>0.53101500000000001</v>
      </c>
      <c r="H143" s="120">
        <f t="shared" si="27"/>
        <v>0.70239399999999996</v>
      </c>
      <c r="I143" s="120">
        <f t="shared" si="27"/>
        <v>0.81645199999999996</v>
      </c>
      <c r="J143" s="120">
        <f t="shared" si="27"/>
        <v>0.78290899999999997</v>
      </c>
      <c r="K143" s="120">
        <f t="shared" si="27"/>
        <v>0.813334</v>
      </c>
      <c r="L143" s="120">
        <f t="shared" si="27"/>
        <v>0.85025300000000004</v>
      </c>
      <c r="M143" s="120">
        <f t="shared" si="27"/>
        <v>0.89945200000000003</v>
      </c>
      <c r="N143" s="120">
        <f t="shared" si="27"/>
        <v>0.96332899999999999</v>
      </c>
      <c r="O143" s="138">
        <f t="shared" si="27"/>
        <v>0.82279800000000003</v>
      </c>
    </row>
    <row r="144" spans="1:15">
      <c r="A144" s="203"/>
      <c r="B144" s="131" t="s">
        <v>4</v>
      </c>
      <c r="C144" s="132">
        <f>HLOOKUP(C$117,$86:$115,26,FALSE)</f>
        <v>682.423585</v>
      </c>
      <c r="D144" s="132">
        <f t="shared" ref="D144:O144" si="28">HLOOKUP(D$117,$86:$115,26,FALSE)</f>
        <v>729.88755000000003</v>
      </c>
      <c r="E144" s="132">
        <f t="shared" si="28"/>
        <v>703.21641899999997</v>
      </c>
      <c r="F144" s="132">
        <f t="shared" si="28"/>
        <v>715.93528600000002</v>
      </c>
      <c r="G144" s="132">
        <f t="shared" si="28"/>
        <v>707.412238</v>
      </c>
      <c r="H144" s="132">
        <f t="shared" si="28"/>
        <v>759.04677800000002</v>
      </c>
      <c r="I144" s="132">
        <f t="shared" si="28"/>
        <v>782.41841999999997</v>
      </c>
      <c r="J144" s="132">
        <f t="shared" si="28"/>
        <v>764.76404100000002</v>
      </c>
      <c r="K144" s="132">
        <f t="shared" si="28"/>
        <v>778.60753399999999</v>
      </c>
      <c r="L144" s="132">
        <f t="shared" si="28"/>
        <v>720.77348500000005</v>
      </c>
      <c r="M144" s="132">
        <f t="shared" si="28"/>
        <v>740.24621400000001</v>
      </c>
      <c r="N144" s="132">
        <f t="shared" si="28"/>
        <v>754.999326</v>
      </c>
      <c r="O144" s="140">
        <f t="shared" si="28"/>
        <v>678.42557099999999</v>
      </c>
    </row>
    <row r="145" spans="1:15">
      <c r="A145" s="203"/>
      <c r="B145" s="133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44"/>
    </row>
    <row r="146" spans="1:15" ht="14.25">
      <c r="A146" s="204"/>
      <c r="B146" s="141" t="s">
        <v>86</v>
      </c>
      <c r="C146" s="145">
        <f>SUM(C136:C138)</f>
        <v>400.67938400000003</v>
      </c>
      <c r="D146" s="145">
        <f t="shared" ref="D146:O146" si="29">SUM(D136:D138)</f>
        <v>390.68041399999998</v>
      </c>
      <c r="E146" s="145">
        <f t="shared" si="29"/>
        <v>383.04386799999997</v>
      </c>
      <c r="F146" s="145">
        <f t="shared" si="29"/>
        <v>385.79396700000001</v>
      </c>
      <c r="G146" s="145">
        <f t="shared" si="29"/>
        <v>386.90275799999995</v>
      </c>
      <c r="H146" s="145">
        <f t="shared" si="29"/>
        <v>399.57809199999997</v>
      </c>
      <c r="I146" s="145">
        <f t="shared" si="29"/>
        <v>433.84668299999998</v>
      </c>
      <c r="J146" s="145">
        <f t="shared" si="29"/>
        <v>404.23612300000002</v>
      </c>
      <c r="K146" s="145">
        <f t="shared" si="29"/>
        <v>417.76272399999999</v>
      </c>
      <c r="L146" s="145">
        <f t="shared" si="29"/>
        <v>413.52137700000003</v>
      </c>
      <c r="M146" s="145">
        <f t="shared" si="29"/>
        <v>402.79991699999999</v>
      </c>
      <c r="N146" s="145">
        <f t="shared" si="29"/>
        <v>414.86051199999997</v>
      </c>
      <c r="O146" s="146">
        <f t="shared" si="29"/>
        <v>384.770937</v>
      </c>
    </row>
  </sheetData>
  <mergeCells count="13">
    <mergeCell ref="C85:Q85"/>
    <mergeCell ref="B30:C30"/>
    <mergeCell ref="B4:AG4"/>
    <mergeCell ref="B5:I5"/>
    <mergeCell ref="J5:Q5"/>
    <mergeCell ref="R5:Y5"/>
    <mergeCell ref="Z5:AG5"/>
    <mergeCell ref="B29:C29"/>
    <mergeCell ref="A134:A146"/>
    <mergeCell ref="A119:A133"/>
    <mergeCell ref="B117:B118"/>
    <mergeCell ref="A102:A112"/>
    <mergeCell ref="A88:A10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7"/>
  <sheetViews>
    <sheetView showGridLines="0" showRowColHeaders="0" workbookViewId="0">
      <selection activeCell="C11" sqref="C11"/>
    </sheetView>
  </sheetViews>
  <sheetFormatPr baseColWidth="10" defaultRowHeight="15"/>
  <cols>
    <col min="1" max="1" width="11.42578125" style="171"/>
    <col min="2" max="2" width="19.42578125" style="171" customWidth="1"/>
    <col min="3" max="16384" width="11.42578125" style="171"/>
  </cols>
  <sheetData>
    <row r="2" spans="2:4">
      <c r="B2" s="169" t="s">
        <v>35</v>
      </c>
      <c r="C2" s="170"/>
      <c r="D2" s="170"/>
    </row>
    <row r="3" spans="2:4">
      <c r="B3" s="172"/>
      <c r="C3" s="173" t="s">
        <v>34</v>
      </c>
      <c r="D3" s="173" t="s">
        <v>31</v>
      </c>
    </row>
    <row r="4" spans="2:4">
      <c r="B4" s="174" t="s">
        <v>16</v>
      </c>
      <c r="C4" s="157">
        <f>Dat_01!B52</f>
        <v>468.4</v>
      </c>
      <c r="D4" s="20">
        <f>100-SUM(D5:D14)</f>
        <v>20.500000000000014</v>
      </c>
    </row>
    <row r="5" spans="2:4">
      <c r="B5" s="174" t="s">
        <v>15</v>
      </c>
      <c r="C5" s="157">
        <f>Dat_01!B53</f>
        <v>182</v>
      </c>
      <c r="D5" s="20">
        <f t="shared" ref="D5:D14" si="0">ROUND(C5/$C$15*100,1)</f>
        <v>8</v>
      </c>
    </row>
    <row r="6" spans="2:4">
      <c r="B6" s="174" t="s">
        <v>14</v>
      </c>
      <c r="C6" s="157">
        <f>Dat_01!B54</f>
        <v>605.4</v>
      </c>
      <c r="D6" s="20">
        <f t="shared" si="0"/>
        <v>26.5</v>
      </c>
    </row>
    <row r="7" spans="2:4">
      <c r="B7" s="174" t="s">
        <v>30</v>
      </c>
      <c r="C7" s="157">
        <f>Dat_01!B55</f>
        <v>857.95</v>
      </c>
      <c r="D7" s="20">
        <f t="shared" si="0"/>
        <v>37.5</v>
      </c>
    </row>
    <row r="8" spans="2:4">
      <c r="B8" s="174" t="s">
        <v>29</v>
      </c>
      <c r="C8" s="157">
        <f>Dat_01!B56</f>
        <v>0</v>
      </c>
      <c r="D8" s="20">
        <f t="shared" si="0"/>
        <v>0</v>
      </c>
    </row>
    <row r="9" spans="2:4">
      <c r="B9" s="174" t="s">
        <v>28</v>
      </c>
      <c r="C9" s="157">
        <f>Dat_01!B57</f>
        <v>10.486999999999998</v>
      </c>
      <c r="D9" s="20">
        <f t="shared" si="0"/>
        <v>0.5</v>
      </c>
    </row>
    <row r="10" spans="2:4">
      <c r="B10" s="174" t="s">
        <v>62</v>
      </c>
      <c r="C10" s="157">
        <f>Dat_01!B58</f>
        <v>37.400000000000006</v>
      </c>
      <c r="D10" s="20">
        <f t="shared" si="0"/>
        <v>1.6</v>
      </c>
    </row>
    <row r="11" spans="2:4">
      <c r="B11" s="174" t="s">
        <v>61</v>
      </c>
      <c r="C11" s="157">
        <f>Dat_01!B59</f>
        <v>37.400000000000006</v>
      </c>
      <c r="D11" s="20">
        <f t="shared" si="0"/>
        <v>1.6</v>
      </c>
    </row>
    <row r="12" spans="2:4">
      <c r="B12" s="174" t="s">
        <v>8</v>
      </c>
      <c r="C12" s="157">
        <f>Dat_01!B60</f>
        <v>3.6374999999999909</v>
      </c>
      <c r="D12" s="20">
        <f t="shared" si="0"/>
        <v>0.2</v>
      </c>
    </row>
    <row r="13" spans="2:4">
      <c r="B13" s="174" t="s">
        <v>7</v>
      </c>
      <c r="C13" s="157">
        <f>Dat_01!B61</f>
        <v>80.225044999999852</v>
      </c>
      <c r="D13" s="20">
        <f t="shared" si="0"/>
        <v>3.5</v>
      </c>
    </row>
    <row r="14" spans="2:4">
      <c r="B14" s="174" t="s">
        <v>27</v>
      </c>
      <c r="C14" s="157">
        <f>Dat_01!B62</f>
        <v>2.13</v>
      </c>
      <c r="D14" s="20">
        <f t="shared" si="0"/>
        <v>0.1</v>
      </c>
    </row>
    <row r="15" spans="2:4">
      <c r="B15" s="175" t="s">
        <v>25</v>
      </c>
      <c r="C15" s="176">
        <f>SUM(C4:C14)</f>
        <v>2285.0295449999999</v>
      </c>
      <c r="D15" s="177">
        <f>SUM(D4:D14)</f>
        <v>100</v>
      </c>
    </row>
    <row r="16" spans="2:4">
      <c r="B16" s="170"/>
      <c r="C16" s="178"/>
      <c r="D16" s="178"/>
    </row>
    <row r="17" spans="2:4">
      <c r="B17" s="169" t="s">
        <v>32</v>
      </c>
      <c r="C17" s="170"/>
      <c r="D17" s="170"/>
    </row>
    <row r="18" spans="2:4">
      <c r="B18" s="172"/>
      <c r="C18" s="173" t="s">
        <v>31</v>
      </c>
      <c r="D18" s="178"/>
    </row>
    <row r="19" spans="2:4">
      <c r="B19" s="174" t="s">
        <v>16</v>
      </c>
      <c r="C19" s="20">
        <f>100-SUM(C20:C30)</f>
        <v>39.4</v>
      </c>
      <c r="D19" s="178"/>
    </row>
    <row r="20" spans="2:4">
      <c r="B20" s="174" t="s">
        <v>15</v>
      </c>
      <c r="C20" s="20">
        <f>ROUND((O37/$O$49)*100,1)</f>
        <v>6.4</v>
      </c>
      <c r="D20" s="178"/>
    </row>
    <row r="21" spans="2:4">
      <c r="B21" s="174" t="s">
        <v>14</v>
      </c>
      <c r="C21" s="20">
        <f>ROUND((O38/$O$49)*100,1)</f>
        <v>5.5</v>
      </c>
      <c r="D21" s="178"/>
    </row>
    <row r="22" spans="2:4">
      <c r="B22" s="174" t="s">
        <v>30</v>
      </c>
      <c r="C22" s="20">
        <f>ROUND((O39/$O$49)*100,1)</f>
        <v>13.4</v>
      </c>
      <c r="D22" s="178"/>
    </row>
    <row r="23" spans="2:4">
      <c r="B23" s="174" t="s">
        <v>29</v>
      </c>
      <c r="C23" s="20">
        <f>ROUND((O40/$O$49)*100,1)</f>
        <v>0</v>
      </c>
      <c r="D23" s="178"/>
    </row>
    <row r="24" spans="2:4">
      <c r="B24" s="174" t="s">
        <v>28</v>
      </c>
      <c r="C24" s="20">
        <f>ROUND((O44/$O$49)*100,1)</f>
        <v>0.8</v>
      </c>
      <c r="D24" s="178"/>
    </row>
    <row r="25" spans="2:4">
      <c r="B25" s="174" t="s">
        <v>62</v>
      </c>
      <c r="C25" s="20">
        <f>ROUND((O45/$O$49)*100,1)</f>
        <v>1.7</v>
      </c>
      <c r="D25" s="178"/>
    </row>
    <row r="26" spans="2:4">
      <c r="B26" s="174" t="s">
        <v>61</v>
      </c>
      <c r="C26" s="20">
        <f>ROUND((O46/$O$49)*100,1)</f>
        <v>1.7</v>
      </c>
      <c r="D26" s="178"/>
    </row>
    <row r="27" spans="2:4">
      <c r="B27" s="174" t="s">
        <v>8</v>
      </c>
      <c r="C27" s="20">
        <f>ROUND((O41/$O$49)*100,1)</f>
        <v>0.1</v>
      </c>
      <c r="D27" s="178"/>
    </row>
    <row r="28" spans="2:4">
      <c r="B28" s="174" t="s">
        <v>7</v>
      </c>
      <c r="C28" s="20">
        <f>ROUND((O42/$O$49)*100,1)</f>
        <v>2.2000000000000002</v>
      </c>
      <c r="D28" s="178"/>
    </row>
    <row r="29" spans="2:4">
      <c r="B29" s="174" t="s">
        <v>27</v>
      </c>
      <c r="C29" s="20">
        <f>ROUND((O43/$O$49)*100,1)</f>
        <v>0</v>
      </c>
      <c r="D29" s="178"/>
    </row>
    <row r="30" spans="2:4">
      <c r="B30" s="174" t="s">
        <v>26</v>
      </c>
      <c r="C30" s="20">
        <f>ROUND((O48/$O$49)*100,1)</f>
        <v>28.8</v>
      </c>
      <c r="D30" s="178"/>
    </row>
    <row r="31" spans="2:4">
      <c r="B31" s="175" t="s">
        <v>25</v>
      </c>
      <c r="C31" s="177">
        <f>SUM(C19:C30)</f>
        <v>100</v>
      </c>
    </row>
    <row r="34" spans="2:15">
      <c r="B34" s="169" t="s">
        <v>97</v>
      </c>
    </row>
    <row r="35" spans="2:15">
      <c r="B35" s="172"/>
      <c r="C35" s="179">
        <v>42948</v>
      </c>
      <c r="D35" s="179">
        <v>42979</v>
      </c>
      <c r="E35" s="179">
        <v>43009</v>
      </c>
      <c r="F35" s="179">
        <v>43040</v>
      </c>
      <c r="G35" s="179">
        <v>43070</v>
      </c>
      <c r="H35" s="179">
        <v>43101</v>
      </c>
      <c r="I35" s="179">
        <v>43132</v>
      </c>
      <c r="J35" s="179">
        <v>43160</v>
      </c>
      <c r="K35" s="179">
        <v>43191</v>
      </c>
      <c r="L35" s="179">
        <v>43221</v>
      </c>
      <c r="M35" s="179">
        <v>43252</v>
      </c>
      <c r="N35" s="179">
        <v>43282</v>
      </c>
      <c r="O35" s="179">
        <v>43313</v>
      </c>
    </row>
    <row r="36" spans="2:15">
      <c r="B36" s="174" t="s">
        <v>16</v>
      </c>
      <c r="C36" s="157">
        <f>Dat_01!C119</f>
        <v>192.79493400000001</v>
      </c>
      <c r="D36" s="157">
        <f>Dat_01!D119</f>
        <v>199.82157000000001</v>
      </c>
      <c r="E36" s="157">
        <f>Dat_01!E119</f>
        <v>183.05622099999999</v>
      </c>
      <c r="F36" s="157">
        <f>Dat_01!F119</f>
        <v>187.058672</v>
      </c>
      <c r="G36" s="157">
        <f>Dat_01!G119</f>
        <v>204.87973099999999</v>
      </c>
      <c r="H36" s="157">
        <f>Dat_01!H119</f>
        <v>242.068479</v>
      </c>
      <c r="I36" s="157">
        <f>Dat_01!I119</f>
        <v>257.31310999999999</v>
      </c>
      <c r="J36" s="157">
        <f>Dat_01!J119</f>
        <v>250.63039499999999</v>
      </c>
      <c r="K36" s="157">
        <f>Dat_01!K119</f>
        <v>186.34634299999999</v>
      </c>
      <c r="L36" s="157">
        <f>Dat_01!L119</f>
        <v>108.147407</v>
      </c>
      <c r="M36" s="157">
        <f>Dat_01!M119</f>
        <v>181.17789999999999</v>
      </c>
      <c r="N36" s="157">
        <f>Dat_01!N119</f>
        <v>216.788162</v>
      </c>
      <c r="O36" s="157">
        <f>Dat_01!O119</f>
        <v>163.68409500000001</v>
      </c>
    </row>
    <row r="37" spans="2:15">
      <c r="B37" s="174" t="s">
        <v>15</v>
      </c>
      <c r="C37" s="157">
        <f>Dat_01!C120</f>
        <v>38.969616000000002</v>
      </c>
      <c r="D37" s="157">
        <f>Dat_01!D120</f>
        <v>35.928452</v>
      </c>
      <c r="E37" s="157">
        <f>Dat_01!E120</f>
        <v>37.207234999999997</v>
      </c>
      <c r="F37" s="157">
        <f>Dat_01!F120</f>
        <v>51.279922999999997</v>
      </c>
      <c r="G37" s="157">
        <f>Dat_01!G120</f>
        <v>59.423205000000003</v>
      </c>
      <c r="H37" s="157">
        <f>Dat_01!H120</f>
        <v>82.636359999999996</v>
      </c>
      <c r="I37" s="157">
        <f>Dat_01!I120</f>
        <v>89.525766000000004</v>
      </c>
      <c r="J37" s="157">
        <f>Dat_01!J120</f>
        <v>72.079989999999995</v>
      </c>
      <c r="K37" s="157">
        <f>Dat_01!K120</f>
        <v>57.770246999999998</v>
      </c>
      <c r="L37" s="157">
        <f>Dat_01!L120</f>
        <v>42.036839000000001</v>
      </c>
      <c r="M37" s="157">
        <f>Dat_01!M120</f>
        <v>32.932130000000001</v>
      </c>
      <c r="N37" s="157">
        <f>Dat_01!N120</f>
        <v>35.212248000000002</v>
      </c>
      <c r="O37" s="157">
        <f>Dat_01!O120</f>
        <v>26.576927000000001</v>
      </c>
    </row>
    <row r="38" spans="2:15">
      <c r="B38" s="174" t="s">
        <v>14</v>
      </c>
      <c r="C38" s="157">
        <f>Dat_01!C121</f>
        <v>59.882575000000003</v>
      </c>
      <c r="D38" s="157">
        <f>Dat_01!D121</f>
        <v>61.051561</v>
      </c>
      <c r="E38" s="157">
        <f>Dat_01!E121</f>
        <v>57.191896</v>
      </c>
      <c r="F38" s="157">
        <f>Dat_01!F121</f>
        <v>66.096778</v>
      </c>
      <c r="G38" s="157">
        <f>Dat_01!G121</f>
        <v>77.051412999999997</v>
      </c>
      <c r="H38" s="157">
        <f>Dat_01!H121</f>
        <v>95.847725999999994</v>
      </c>
      <c r="I38" s="157">
        <f>Dat_01!I121</f>
        <v>91.166568999999996</v>
      </c>
      <c r="J38" s="157">
        <f>Dat_01!J121</f>
        <v>75.102127999999993</v>
      </c>
      <c r="K38" s="157">
        <f>Dat_01!K121</f>
        <v>54.458812999999999</v>
      </c>
      <c r="L38" s="157">
        <f>Dat_01!L121</f>
        <v>47.932189000000001</v>
      </c>
      <c r="M38" s="157">
        <f>Dat_01!M121</f>
        <v>19.365110999999999</v>
      </c>
      <c r="N38" s="157">
        <f>Dat_01!N121</f>
        <v>22.524488000000002</v>
      </c>
      <c r="O38" s="157">
        <f>Dat_01!O121</f>
        <v>22.600860000000001</v>
      </c>
    </row>
    <row r="39" spans="2:15">
      <c r="B39" s="174" t="s">
        <v>11</v>
      </c>
      <c r="C39" s="157">
        <f>Dat_01!C122</f>
        <v>48.135339999999999</v>
      </c>
      <c r="D39" s="157">
        <f>Dat_01!D122</f>
        <v>39.439261999999999</v>
      </c>
      <c r="E39" s="157">
        <f>Dat_01!E122</f>
        <v>48.047037000000003</v>
      </c>
      <c r="F39" s="157">
        <f>Dat_01!F122</f>
        <v>45.724513999999999</v>
      </c>
      <c r="G39" s="157">
        <f>Dat_01!G122</f>
        <v>36.755218999999997</v>
      </c>
      <c r="H39" s="157">
        <f>Dat_01!H122</f>
        <v>53.754595000000002</v>
      </c>
      <c r="I39" s="157">
        <f>Dat_01!I122</f>
        <v>62.510635000000001</v>
      </c>
      <c r="J39" s="157">
        <f>Dat_01!J122</f>
        <v>31.104752999999999</v>
      </c>
      <c r="K39" s="157">
        <f>Dat_01!K122</f>
        <v>45.569164000000001</v>
      </c>
      <c r="L39" s="157">
        <f>Dat_01!L122</f>
        <v>109.56093300000001</v>
      </c>
      <c r="M39" s="157">
        <f>Dat_01!M122</f>
        <v>38.727547999999999</v>
      </c>
      <c r="N39" s="157">
        <f>Dat_01!N122</f>
        <v>34.412135999999997</v>
      </c>
      <c r="O39" s="157">
        <f>Dat_01!O122</f>
        <v>55.402149000000001</v>
      </c>
    </row>
    <row r="40" spans="2:15">
      <c r="B40" s="174" t="s">
        <v>29</v>
      </c>
      <c r="C40" s="157">
        <f>Dat_01!C123</f>
        <v>0</v>
      </c>
      <c r="D40" s="157">
        <f>Dat_01!D123</f>
        <v>0</v>
      </c>
      <c r="E40" s="157">
        <f>Dat_01!E123</f>
        <v>0</v>
      </c>
      <c r="F40" s="157">
        <f>Dat_01!F123</f>
        <v>0.258189</v>
      </c>
      <c r="G40" s="157">
        <f>Dat_01!G123</f>
        <v>1.4068510000000001</v>
      </c>
      <c r="H40" s="157">
        <f>Dat_01!H123</f>
        <v>3.4087329999999998</v>
      </c>
      <c r="I40" s="157">
        <f>Dat_01!I123</f>
        <v>5.1961240000000002</v>
      </c>
      <c r="J40" s="157">
        <f>Dat_01!J123</f>
        <v>2.2653319999999999</v>
      </c>
      <c r="K40" s="157">
        <f>Dat_01!K123</f>
        <v>0.27849499999999999</v>
      </c>
      <c r="L40" s="157">
        <f>Dat_01!L123</f>
        <v>0</v>
      </c>
      <c r="M40" s="157">
        <f>Dat_01!M123</f>
        <v>0</v>
      </c>
      <c r="N40" s="157">
        <f>Dat_01!N123</f>
        <v>0</v>
      </c>
      <c r="O40" s="157">
        <f>Dat_01!O123</f>
        <v>0</v>
      </c>
    </row>
    <row r="41" spans="2:15">
      <c r="B41" s="174" t="s">
        <v>8</v>
      </c>
      <c r="C41" s="157">
        <f>Dat_01!C124</f>
        <v>0.32401200000000002</v>
      </c>
      <c r="D41" s="157">
        <f>Dat_01!D124</f>
        <v>0.40592400000000001</v>
      </c>
      <c r="E41" s="157">
        <f>Dat_01!E124</f>
        <v>0.28265000000000001</v>
      </c>
      <c r="F41" s="157">
        <f>Dat_01!F124</f>
        <v>0.22889300000000001</v>
      </c>
      <c r="G41" s="157">
        <f>Dat_01!G124</f>
        <v>0.138682</v>
      </c>
      <c r="H41" s="157">
        <f>Dat_01!H124</f>
        <v>0.13932900000000001</v>
      </c>
      <c r="I41" s="157">
        <f>Dat_01!I124</f>
        <v>0.19220799999999999</v>
      </c>
      <c r="J41" s="157">
        <f>Dat_01!J124</f>
        <v>0.19817599999999999</v>
      </c>
      <c r="K41" s="157">
        <f>Dat_01!K124</f>
        <v>0.620313</v>
      </c>
      <c r="L41" s="157">
        <f>Dat_01!L124</f>
        <v>0.555396</v>
      </c>
      <c r="M41" s="157">
        <f>Dat_01!M124</f>
        <v>0.41894799999999999</v>
      </c>
      <c r="N41" s="157">
        <f>Dat_01!N124</f>
        <v>0.805427</v>
      </c>
      <c r="O41" s="157">
        <f>Dat_01!O124</f>
        <v>0.49932900000000002</v>
      </c>
    </row>
    <row r="42" spans="2:15">
      <c r="B42" s="174" t="s">
        <v>7</v>
      </c>
      <c r="C42" s="157">
        <f>Dat_01!C125</f>
        <v>5.3380900000000002</v>
      </c>
      <c r="D42" s="157">
        <f>Dat_01!D125</f>
        <v>10.194158</v>
      </c>
      <c r="E42" s="157">
        <f>Dat_01!E125</f>
        <v>11.477546</v>
      </c>
      <c r="F42" s="157">
        <f>Dat_01!F125</f>
        <v>11.83853</v>
      </c>
      <c r="G42" s="157">
        <f>Dat_01!G125</f>
        <v>12.382847999999999</v>
      </c>
      <c r="H42" s="157">
        <f>Dat_01!H125</f>
        <v>13.341704</v>
      </c>
      <c r="I42" s="157">
        <f>Dat_01!I125</f>
        <v>11.250524</v>
      </c>
      <c r="J42" s="157">
        <f>Dat_01!J125</f>
        <v>9.0263849999999994</v>
      </c>
      <c r="K42" s="157">
        <f>Dat_01!K125</f>
        <v>7.8414849999999996</v>
      </c>
      <c r="L42" s="157">
        <f>Dat_01!L125</f>
        <v>5.9794580000000002</v>
      </c>
      <c r="M42" s="157">
        <f>Dat_01!M125</f>
        <v>6.5364139999999997</v>
      </c>
      <c r="N42" s="157">
        <f>Dat_01!N125</f>
        <v>7.2096450000000001</v>
      </c>
      <c r="O42" s="157">
        <f>Dat_01!O125</f>
        <v>9.3192470000000007</v>
      </c>
    </row>
    <row r="43" spans="2:15">
      <c r="B43" s="21" t="s">
        <v>27</v>
      </c>
      <c r="C43" s="157">
        <f>Dat_01!C126</f>
        <v>0.16624</v>
      </c>
      <c r="D43" s="157">
        <f>Dat_01!D126</f>
        <v>0.184165</v>
      </c>
      <c r="E43" s="157">
        <f>Dat_01!E126</f>
        <v>0.130801</v>
      </c>
      <c r="F43" s="157">
        <f>Dat_01!F126</f>
        <v>0.12767999999999999</v>
      </c>
      <c r="G43" s="157">
        <f>Dat_01!G126</f>
        <v>0.110028</v>
      </c>
      <c r="H43" s="157">
        <f>Dat_01!H126</f>
        <v>5.7736999999999997E-2</v>
      </c>
      <c r="I43" s="157">
        <f>Dat_01!I126</f>
        <v>5.6852E-2</v>
      </c>
      <c r="J43" s="157">
        <f>Dat_01!J126</f>
        <v>1.917E-2</v>
      </c>
      <c r="K43" s="157">
        <f>Dat_01!K126</f>
        <v>6.0415000000000003E-2</v>
      </c>
      <c r="L43" s="157">
        <f>Dat_01!L126</f>
        <v>6.8765999999999994E-2</v>
      </c>
      <c r="M43" s="157">
        <f>Dat_01!M126</f>
        <v>0.13137799999999999</v>
      </c>
      <c r="N43" s="157">
        <f>Dat_01!N126</f>
        <v>0.107643</v>
      </c>
      <c r="O43" s="157">
        <f>Dat_01!O126</f>
        <v>8.2346000000000003E-2</v>
      </c>
    </row>
    <row r="44" spans="2:15">
      <c r="B44" s="21" t="s">
        <v>28</v>
      </c>
      <c r="C44" s="157">
        <f>Dat_01!C127</f>
        <v>3.0836540000000001</v>
      </c>
      <c r="D44" s="157">
        <f>Dat_01!D127</f>
        <v>2.2946849999999999</v>
      </c>
      <c r="E44" s="157">
        <f>Dat_01!E127</f>
        <v>1.9821660000000001</v>
      </c>
      <c r="F44" s="157">
        <f>Dat_01!F127</f>
        <v>2.5785749999999998</v>
      </c>
      <c r="G44" s="157">
        <f>Dat_01!G127</f>
        <v>3.3572419999999998</v>
      </c>
      <c r="H44" s="157">
        <f>Dat_01!H127</f>
        <v>3.5655640000000002</v>
      </c>
      <c r="I44" s="157">
        <f>Dat_01!I127</f>
        <v>3.5154580000000002</v>
      </c>
      <c r="J44" s="157">
        <f>Dat_01!J127</f>
        <v>2.43655</v>
      </c>
      <c r="K44" s="157">
        <f>Dat_01!K127</f>
        <v>2.5715089999999998</v>
      </c>
      <c r="L44" s="157">
        <f>Dat_01!L127</f>
        <v>3.145667</v>
      </c>
      <c r="M44" s="157">
        <f>Dat_01!M127</f>
        <v>3.260389</v>
      </c>
      <c r="N44" s="157">
        <f>Dat_01!N127</f>
        <v>3.3415469999999998</v>
      </c>
      <c r="O44" s="157">
        <f>Dat_01!O127</f>
        <v>3.483536</v>
      </c>
    </row>
    <row r="45" spans="2:15">
      <c r="B45" s="174" t="s">
        <v>62</v>
      </c>
      <c r="C45" s="157">
        <f>Dat_01!C128</f>
        <v>4.4559544999999998</v>
      </c>
      <c r="D45" s="157">
        <f>Dat_01!D128</f>
        <v>11.199851499999999</v>
      </c>
      <c r="E45" s="157">
        <f>Dat_01!E128</f>
        <v>10.4867385</v>
      </c>
      <c r="F45" s="157">
        <f>Dat_01!F128</f>
        <v>10.524592</v>
      </c>
      <c r="G45" s="157">
        <f>Dat_01!G128</f>
        <v>14.7091545</v>
      </c>
      <c r="H45" s="157">
        <f>Dat_01!H128</f>
        <v>14.429119</v>
      </c>
      <c r="I45" s="157">
        <f>Dat_01!I128</f>
        <v>14.9613625</v>
      </c>
      <c r="J45" s="157">
        <f>Dat_01!J128</f>
        <v>13.4535695</v>
      </c>
      <c r="K45" s="157">
        <f>Dat_01!K128</f>
        <v>13.8976735</v>
      </c>
      <c r="L45" s="157">
        <f>Dat_01!L128</f>
        <v>7.0333759999999996</v>
      </c>
      <c r="M45" s="157">
        <f>Dat_01!M128</f>
        <v>13.124928499999999</v>
      </c>
      <c r="N45" s="157">
        <f>Dat_01!N128</f>
        <v>9.5605395000000009</v>
      </c>
      <c r="O45" s="157">
        <f>Dat_01!O128</f>
        <v>6.8600294999999996</v>
      </c>
    </row>
    <row r="46" spans="2:15">
      <c r="B46" s="174" t="s">
        <v>61</v>
      </c>
      <c r="C46" s="157">
        <f>Dat_01!C129</f>
        <v>4.4559544999999998</v>
      </c>
      <c r="D46" s="157">
        <f>Dat_01!D129</f>
        <v>11.199851499999999</v>
      </c>
      <c r="E46" s="157">
        <f>Dat_01!E129</f>
        <v>10.4867385</v>
      </c>
      <c r="F46" s="157">
        <f>Dat_01!F129</f>
        <v>10.524592</v>
      </c>
      <c r="G46" s="157">
        <f>Dat_01!G129</f>
        <v>14.7091545</v>
      </c>
      <c r="H46" s="157">
        <f>Dat_01!H129</f>
        <v>14.429119</v>
      </c>
      <c r="I46" s="157">
        <f>Dat_01!I129</f>
        <v>14.9613625</v>
      </c>
      <c r="J46" s="157">
        <f>Dat_01!J129</f>
        <v>13.4535695</v>
      </c>
      <c r="K46" s="157">
        <f>Dat_01!K129</f>
        <v>13.8976735</v>
      </c>
      <c r="L46" s="157">
        <f>Dat_01!L129</f>
        <v>7.0333759999999996</v>
      </c>
      <c r="M46" s="157">
        <f>Dat_01!M129</f>
        <v>13.124928499999999</v>
      </c>
      <c r="N46" s="157">
        <f>Dat_01!N129</f>
        <v>9.5605395000000009</v>
      </c>
      <c r="O46" s="157">
        <f>Dat_01!O129</f>
        <v>6.8600294999999996</v>
      </c>
    </row>
    <row r="47" spans="2:15">
      <c r="B47" s="180" t="s">
        <v>5</v>
      </c>
      <c r="C47" s="18">
        <f>SUM(C36:C46)</f>
        <v>357.60637000000008</v>
      </c>
      <c r="D47" s="18">
        <f t="shared" ref="D47:O47" si="1">SUM(D36:D46)</f>
        <v>371.71948000000009</v>
      </c>
      <c r="E47" s="18">
        <f t="shared" si="1"/>
        <v>360.34902900000003</v>
      </c>
      <c r="F47" s="18">
        <f t="shared" si="1"/>
        <v>386.24093800000003</v>
      </c>
      <c r="G47" s="18">
        <f t="shared" si="1"/>
        <v>424.92352800000003</v>
      </c>
      <c r="H47" s="18">
        <f t="shared" si="1"/>
        <v>523.67846499999985</v>
      </c>
      <c r="I47" s="18">
        <f t="shared" si="1"/>
        <v>550.64997099999994</v>
      </c>
      <c r="J47" s="18">
        <f t="shared" si="1"/>
        <v>469.77001799999999</v>
      </c>
      <c r="K47" s="18">
        <f t="shared" si="1"/>
        <v>383.31213099999997</v>
      </c>
      <c r="L47" s="18">
        <f t="shared" si="1"/>
        <v>331.49340699999993</v>
      </c>
      <c r="M47" s="18">
        <f t="shared" si="1"/>
        <v>308.79967499999998</v>
      </c>
      <c r="N47" s="18">
        <f t="shared" si="1"/>
        <v>339.52237500000001</v>
      </c>
      <c r="O47" s="18">
        <f t="shared" si="1"/>
        <v>295.36854800000003</v>
      </c>
    </row>
    <row r="48" spans="2:15">
      <c r="B48" s="174" t="s">
        <v>26</v>
      </c>
      <c r="C48" s="160">
        <f>Dat_01!C131</f>
        <v>99.993398999999997</v>
      </c>
      <c r="D48" s="160">
        <f>Dat_01!D131</f>
        <v>89.996875000000003</v>
      </c>
      <c r="E48" s="160">
        <f>Dat_01!E131</f>
        <v>66.467519999999993</v>
      </c>
      <c r="F48" s="160">
        <f>Dat_01!F131</f>
        <v>89.565090999999995</v>
      </c>
      <c r="G48" s="160">
        <f>Dat_01!G131</f>
        <v>108.62363499999999</v>
      </c>
      <c r="H48" s="160">
        <f>Dat_01!H131</f>
        <v>161.79160300000001</v>
      </c>
      <c r="I48" s="160">
        <f>Dat_01!I131</f>
        <v>153.133589</v>
      </c>
      <c r="J48" s="160">
        <f>Dat_01!J131</f>
        <v>107.931268</v>
      </c>
      <c r="K48" s="160">
        <f>Dat_01!K131</f>
        <v>92.007576999999998</v>
      </c>
      <c r="L48" s="160">
        <f>Dat_01!L131</f>
        <v>65.068314999999998</v>
      </c>
      <c r="M48" s="160">
        <f>Dat_01!M131</f>
        <v>112.575441</v>
      </c>
      <c r="N48" s="160">
        <f>Dat_01!N131</f>
        <v>137.254998</v>
      </c>
      <c r="O48" s="160">
        <f>Dat_01!O131</f>
        <v>119.223619</v>
      </c>
    </row>
    <row r="49" spans="2:15">
      <c r="B49" s="181" t="s">
        <v>4</v>
      </c>
      <c r="C49" s="161">
        <f>SUM(C47:C48)</f>
        <v>457.59976900000009</v>
      </c>
      <c r="D49" s="161">
        <f t="shared" ref="D49:O49" si="2">SUM(D47:D48)</f>
        <v>461.71635500000008</v>
      </c>
      <c r="E49" s="161">
        <f t="shared" si="2"/>
        <v>426.81654900000001</v>
      </c>
      <c r="F49" s="161">
        <f t="shared" si="2"/>
        <v>475.80602900000002</v>
      </c>
      <c r="G49" s="161">
        <f t="shared" si="2"/>
        <v>533.54716300000007</v>
      </c>
      <c r="H49" s="161">
        <f t="shared" si="2"/>
        <v>685.47006799999986</v>
      </c>
      <c r="I49" s="161">
        <f t="shared" si="2"/>
        <v>703.78355999999997</v>
      </c>
      <c r="J49" s="161">
        <f t="shared" si="2"/>
        <v>577.70128599999998</v>
      </c>
      <c r="K49" s="161">
        <f t="shared" si="2"/>
        <v>475.31970799999999</v>
      </c>
      <c r="L49" s="161">
        <f t="shared" si="2"/>
        <v>396.56172199999992</v>
      </c>
      <c r="M49" s="161">
        <f t="shared" si="2"/>
        <v>421.37511599999999</v>
      </c>
      <c r="N49" s="161">
        <f t="shared" si="2"/>
        <v>476.77737300000001</v>
      </c>
      <c r="O49" s="161">
        <f t="shared" si="2"/>
        <v>414.59216700000002</v>
      </c>
    </row>
    <row r="50" spans="2:15">
      <c r="B50" s="182" t="s">
        <v>98</v>
      </c>
      <c r="C50" s="183">
        <f>SUM(C37:C38,C40)</f>
        <v>98.852191000000005</v>
      </c>
      <c r="D50" s="183">
        <f t="shared" ref="D50:O50" si="3">SUM(D37:D38,D40)</f>
        <v>96.980013</v>
      </c>
      <c r="E50" s="183">
        <f t="shared" si="3"/>
        <v>94.399130999999997</v>
      </c>
      <c r="F50" s="183">
        <f t="shared" si="3"/>
        <v>117.63489</v>
      </c>
      <c r="G50" s="183">
        <f t="shared" si="3"/>
        <v>137.88146899999998</v>
      </c>
      <c r="H50" s="183">
        <f t="shared" si="3"/>
        <v>181.892819</v>
      </c>
      <c r="I50" s="183">
        <f t="shared" si="3"/>
        <v>185.88845900000001</v>
      </c>
      <c r="J50" s="183">
        <f t="shared" si="3"/>
        <v>149.44745</v>
      </c>
      <c r="K50" s="183">
        <f t="shared" si="3"/>
        <v>112.50755500000001</v>
      </c>
      <c r="L50" s="183">
        <f t="shared" si="3"/>
        <v>89.969028000000009</v>
      </c>
      <c r="M50" s="183">
        <f t="shared" si="3"/>
        <v>52.297241</v>
      </c>
      <c r="N50" s="183">
        <f t="shared" si="3"/>
        <v>57.736736000000008</v>
      </c>
      <c r="O50" s="183">
        <f t="shared" si="3"/>
        <v>49.177787000000002</v>
      </c>
    </row>
    <row r="52" spans="2:15">
      <c r="B52" s="169" t="s">
        <v>39</v>
      </c>
      <c r="C52" s="170"/>
      <c r="D52" s="170"/>
    </row>
    <row r="53" spans="2:15">
      <c r="B53" s="172"/>
      <c r="C53" s="173" t="s">
        <v>34</v>
      </c>
      <c r="D53" s="173" t="s">
        <v>31</v>
      </c>
    </row>
    <row r="54" spans="2:15">
      <c r="B54" s="174" t="s">
        <v>15</v>
      </c>
      <c r="C54" s="157">
        <f>Dat_01!G52</f>
        <v>495.92000000000013</v>
      </c>
      <c r="D54" s="20">
        <f>ROUND(C54/$C$64*100,1)</f>
        <v>16.5</v>
      </c>
    </row>
    <row r="55" spans="2:15">
      <c r="B55" s="174" t="s">
        <v>14</v>
      </c>
      <c r="C55" s="157">
        <f>Dat_01!G53</f>
        <v>557.1400000000001</v>
      </c>
      <c r="D55" s="20">
        <f>ROUND(C55/$C$64*100,1)</f>
        <v>18.600000000000001</v>
      </c>
    </row>
    <row r="56" spans="2:15">
      <c r="B56" s="174" t="s">
        <v>13</v>
      </c>
      <c r="C56" s="157">
        <f>Dat_01!G54</f>
        <v>482.64</v>
      </c>
      <c r="D56" s="20">
        <f t="shared" ref="D56:D63" si="4">ROUND(C56/$C$64*100,1)</f>
        <v>16.100000000000001</v>
      </c>
    </row>
    <row r="57" spans="2:15">
      <c r="B57" s="174" t="s">
        <v>30</v>
      </c>
      <c r="C57" s="157">
        <f>Dat_01!G55</f>
        <v>864.2</v>
      </c>
      <c r="D57" s="20">
        <f>100-SUM(D54:D56,D58:D63)</f>
        <v>28.800000000000011</v>
      </c>
    </row>
    <row r="58" spans="2:15">
      <c r="B58" s="174" t="s">
        <v>28</v>
      </c>
      <c r="C58" s="157">
        <f>Dat_01!G56</f>
        <v>0</v>
      </c>
      <c r="D58" s="20">
        <f>ROUND(C58/$C$64*100,1)</f>
        <v>0</v>
      </c>
    </row>
    <row r="59" spans="2:15">
      <c r="B59" s="174" t="s">
        <v>17</v>
      </c>
      <c r="C59" s="157">
        <f>Dat_01!G57</f>
        <v>2.02</v>
      </c>
      <c r="D59" s="20">
        <f t="shared" si="4"/>
        <v>0.1</v>
      </c>
    </row>
    <row r="60" spans="2:15">
      <c r="B60" s="174" t="s">
        <v>9</v>
      </c>
      <c r="C60" s="157">
        <f>Dat_01!G58</f>
        <v>11.39</v>
      </c>
      <c r="D60" s="20">
        <f t="shared" si="4"/>
        <v>0.4</v>
      </c>
    </row>
    <row r="61" spans="2:15">
      <c r="B61" s="174" t="s">
        <v>8</v>
      </c>
      <c r="C61" s="157">
        <f>Dat_01!G59</f>
        <v>412.7244</v>
      </c>
      <c r="D61" s="20">
        <f t="shared" si="4"/>
        <v>13.8</v>
      </c>
    </row>
    <row r="62" spans="2:15">
      <c r="B62" s="174" t="s">
        <v>7</v>
      </c>
      <c r="C62" s="157">
        <f>Dat_01!G60</f>
        <v>167.32556999999963</v>
      </c>
      <c r="D62" s="20">
        <f t="shared" si="4"/>
        <v>5.6</v>
      </c>
    </row>
    <row r="63" spans="2:15">
      <c r="B63" s="174" t="s">
        <v>27</v>
      </c>
      <c r="C63" s="157">
        <f>Dat_01!G61</f>
        <v>3.6960000000000002</v>
      </c>
      <c r="D63" s="20">
        <f t="shared" si="4"/>
        <v>0.1</v>
      </c>
    </row>
    <row r="64" spans="2:15">
      <c r="B64" s="175" t="s">
        <v>25</v>
      </c>
      <c r="C64" s="176">
        <f>SUM(C54:C63)</f>
        <v>2997.0559699999999</v>
      </c>
      <c r="D64" s="177">
        <f>SUM(D54:D63)</f>
        <v>100</v>
      </c>
    </row>
    <row r="65" spans="2:4">
      <c r="B65" s="170"/>
      <c r="C65" s="170"/>
      <c r="D65" s="178"/>
    </row>
    <row r="66" spans="2:4">
      <c r="B66" s="170"/>
      <c r="C66" s="170"/>
      <c r="D66" s="178"/>
    </row>
    <row r="67" spans="2:4">
      <c r="B67" s="170"/>
      <c r="C67" s="170"/>
      <c r="D67" s="178"/>
    </row>
    <row r="68" spans="2:4">
      <c r="B68" s="170"/>
      <c r="C68" s="170"/>
      <c r="D68" s="170"/>
    </row>
    <row r="69" spans="2:4">
      <c r="B69" s="169" t="s">
        <v>38</v>
      </c>
      <c r="C69" s="170"/>
      <c r="D69" s="170"/>
    </row>
    <row r="70" spans="2:4">
      <c r="B70" s="172"/>
      <c r="C70" s="173" t="s">
        <v>31</v>
      </c>
      <c r="D70" s="178"/>
    </row>
    <row r="71" spans="2:4">
      <c r="B71" s="174" t="s">
        <v>15</v>
      </c>
      <c r="C71" s="20">
        <f>ROUND((O86/$O$95)*100,1)</f>
        <v>22.5</v>
      </c>
      <c r="D71" s="178"/>
    </row>
    <row r="72" spans="2:4">
      <c r="B72" s="174" t="s">
        <v>14</v>
      </c>
      <c r="C72" s="20">
        <f>ROUND((O87/$O$95)*100,1)</f>
        <v>2.8</v>
      </c>
      <c r="D72" s="178"/>
    </row>
    <row r="73" spans="2:4">
      <c r="B73" s="174" t="s">
        <v>13</v>
      </c>
      <c r="C73" s="20">
        <f>ROUND((O88/$O$95)*100,1)</f>
        <v>31.4</v>
      </c>
      <c r="D73" s="178"/>
    </row>
    <row r="74" spans="2:4">
      <c r="B74" s="174" t="s">
        <v>30</v>
      </c>
      <c r="C74" s="20">
        <f>100-SUM(C71:C73,C75:C80)</f>
        <v>32.900000000000006</v>
      </c>
      <c r="D74" s="178"/>
    </row>
    <row r="75" spans="2:4">
      <c r="B75" s="174" t="s">
        <v>28</v>
      </c>
      <c r="C75" s="20">
        <f>ROUND((O94/$O$95)*100,1)</f>
        <v>0</v>
      </c>
      <c r="D75" s="178"/>
    </row>
    <row r="76" spans="2:4">
      <c r="B76" s="174" t="s">
        <v>17</v>
      </c>
      <c r="C76" s="20">
        <f>ROUND((O85/$O$95)*100,1)</f>
        <v>0</v>
      </c>
      <c r="D76" s="170"/>
    </row>
    <row r="77" spans="2:4">
      <c r="B77" s="174" t="s">
        <v>9</v>
      </c>
      <c r="C77" s="20">
        <f>ROUND((O90/$O$95)*100,1)</f>
        <v>0.1</v>
      </c>
      <c r="D77" s="170"/>
    </row>
    <row r="78" spans="2:4">
      <c r="B78" s="174" t="s">
        <v>8</v>
      </c>
      <c r="C78" s="20">
        <f>ROUND((O91/$O$95)*100,1)</f>
        <v>7.1</v>
      </c>
      <c r="D78" s="178"/>
    </row>
    <row r="79" spans="2:4">
      <c r="B79" s="174" t="s">
        <v>7</v>
      </c>
      <c r="C79" s="20">
        <f>ROUND((O92/$O$95)*100,1)</f>
        <v>3.1</v>
      </c>
      <c r="D79" s="178"/>
    </row>
    <row r="80" spans="2:4">
      <c r="B80" s="174" t="s">
        <v>27</v>
      </c>
      <c r="C80" s="20">
        <f>ROUND((O93/$O$95)*100,1)</f>
        <v>0.1</v>
      </c>
      <c r="D80" s="178"/>
    </row>
    <row r="81" spans="2:15">
      <c r="B81" s="175" t="s">
        <v>25</v>
      </c>
      <c r="C81" s="177">
        <f>SUM(C71:C80)</f>
        <v>99.999999999999986</v>
      </c>
      <c r="D81" s="178"/>
    </row>
    <row r="83" spans="2:15">
      <c r="B83" s="169" t="s">
        <v>41</v>
      </c>
    </row>
    <row r="84" spans="2:15">
      <c r="B84" s="172"/>
      <c r="C84" s="179">
        <v>42948</v>
      </c>
      <c r="D84" s="179">
        <v>42979</v>
      </c>
      <c r="E84" s="179">
        <v>43009</v>
      </c>
      <c r="F84" s="179">
        <v>43040</v>
      </c>
      <c r="G84" s="179">
        <v>43070</v>
      </c>
      <c r="H84" s="179">
        <v>43101</v>
      </c>
      <c r="I84" s="179">
        <v>43132</v>
      </c>
      <c r="J84" s="179">
        <v>43160</v>
      </c>
      <c r="K84" s="179">
        <v>43191</v>
      </c>
      <c r="L84" s="179">
        <v>43221</v>
      </c>
      <c r="M84" s="179">
        <v>43252</v>
      </c>
      <c r="N84" s="179">
        <v>43282</v>
      </c>
      <c r="O84" s="179">
        <v>43313</v>
      </c>
    </row>
    <row r="85" spans="2:15">
      <c r="B85" s="174" t="s">
        <v>17</v>
      </c>
      <c r="C85" s="157">
        <f>Dat_01!C135</f>
        <v>3.4173000000000002E-2</v>
      </c>
      <c r="D85" s="157">
        <f>Dat_01!D135</f>
        <v>0.309946</v>
      </c>
      <c r="E85" s="157">
        <f>Dat_01!E135</f>
        <v>0.27612300000000001</v>
      </c>
      <c r="F85" s="157">
        <f>Dat_01!F135</f>
        <v>0.308334</v>
      </c>
      <c r="G85" s="157">
        <f>Dat_01!G135</f>
        <v>0.29448200000000002</v>
      </c>
      <c r="H85" s="157">
        <f>Dat_01!H135</f>
        <v>0.29559600000000003</v>
      </c>
      <c r="I85" s="157">
        <f>Dat_01!I135</f>
        <v>0.30764000000000002</v>
      </c>
      <c r="J85" s="157">
        <f>Dat_01!J135</f>
        <v>0.28839900000000002</v>
      </c>
      <c r="K85" s="157">
        <f>Dat_01!K135</f>
        <v>0.29697000000000001</v>
      </c>
      <c r="L85" s="157">
        <f>Dat_01!L135</f>
        <v>0.28850700000000001</v>
      </c>
      <c r="M85" s="157">
        <f>Dat_01!M135</f>
        <v>0.29630699999999999</v>
      </c>
      <c r="N85" s="157">
        <f>Dat_01!N135</f>
        <v>0.29291600000000001</v>
      </c>
      <c r="O85" s="157">
        <f>Dat_01!O135</f>
        <v>0.26504899999999998</v>
      </c>
    </row>
    <row r="86" spans="2:15">
      <c r="B86" s="174" t="s">
        <v>15</v>
      </c>
      <c r="C86" s="157">
        <f>Dat_01!C136</f>
        <v>165.51885899999999</v>
      </c>
      <c r="D86" s="157">
        <f>Dat_01!D136</f>
        <v>176.17658599999999</v>
      </c>
      <c r="E86" s="157">
        <f>Dat_01!E136</f>
        <v>171.46459999999999</v>
      </c>
      <c r="F86" s="157">
        <f>Dat_01!F136</f>
        <v>172.14836700000001</v>
      </c>
      <c r="G86" s="157">
        <f>Dat_01!G136</f>
        <v>162.83670599999999</v>
      </c>
      <c r="H86" s="157">
        <f>Dat_01!H136</f>
        <v>173.812749</v>
      </c>
      <c r="I86" s="157">
        <f>Dat_01!I136</f>
        <v>196.43005099999999</v>
      </c>
      <c r="J86" s="157">
        <f>Dat_01!J136</f>
        <v>187.12256099999999</v>
      </c>
      <c r="K86" s="157">
        <f>Dat_01!K136</f>
        <v>190.675118</v>
      </c>
      <c r="L86" s="157">
        <f>Dat_01!L136</f>
        <v>163.85602700000001</v>
      </c>
      <c r="M86" s="157">
        <f>Dat_01!M136</f>
        <v>176.651453</v>
      </c>
      <c r="N86" s="157">
        <f>Dat_01!N136</f>
        <v>174.26427200000001</v>
      </c>
      <c r="O86" s="157">
        <f>Dat_01!O136</f>
        <v>152.846857</v>
      </c>
    </row>
    <row r="87" spans="2:15">
      <c r="B87" s="174" t="s">
        <v>14</v>
      </c>
      <c r="C87" s="157">
        <f>Dat_01!C137</f>
        <v>24.751363999999999</v>
      </c>
      <c r="D87" s="157">
        <f>Dat_01!D137</f>
        <v>19.300775999999999</v>
      </c>
      <c r="E87" s="157">
        <f>Dat_01!E137</f>
        <v>22.020657</v>
      </c>
      <c r="F87" s="157">
        <f>Dat_01!F137</f>
        <v>27.236414</v>
      </c>
      <c r="G87" s="157">
        <f>Dat_01!G137</f>
        <v>24.035202999999999</v>
      </c>
      <c r="H87" s="157">
        <f>Dat_01!H137</f>
        <v>19.071615000000001</v>
      </c>
      <c r="I87" s="157">
        <f>Dat_01!I137</f>
        <v>22.472683</v>
      </c>
      <c r="J87" s="157">
        <f>Dat_01!J137</f>
        <v>28.508217999999999</v>
      </c>
      <c r="K87" s="157">
        <f>Dat_01!K137</f>
        <v>25.162983000000001</v>
      </c>
      <c r="L87" s="157">
        <f>Dat_01!L137</f>
        <v>25.639095999999999</v>
      </c>
      <c r="M87" s="157">
        <f>Dat_01!M137</f>
        <v>18.905633999999999</v>
      </c>
      <c r="N87" s="157">
        <f>Dat_01!N137</f>
        <v>21.945627999999999</v>
      </c>
      <c r="O87" s="157">
        <f>Dat_01!O137</f>
        <v>18.942269</v>
      </c>
    </row>
    <row r="88" spans="2:15">
      <c r="B88" s="174" t="s">
        <v>13</v>
      </c>
      <c r="C88" s="157">
        <f>Dat_01!C138</f>
        <v>210.40916100000001</v>
      </c>
      <c r="D88" s="157">
        <f>Dat_01!D138</f>
        <v>195.20305200000001</v>
      </c>
      <c r="E88" s="157">
        <f>Dat_01!E138</f>
        <v>189.55861100000001</v>
      </c>
      <c r="F88" s="157">
        <f>Dat_01!F138</f>
        <v>186.40918600000001</v>
      </c>
      <c r="G88" s="157">
        <f>Dat_01!G138</f>
        <v>200.03084899999999</v>
      </c>
      <c r="H88" s="157">
        <f>Dat_01!H138</f>
        <v>206.69372799999999</v>
      </c>
      <c r="I88" s="157">
        <f>Dat_01!I138</f>
        <v>214.943949</v>
      </c>
      <c r="J88" s="157">
        <f>Dat_01!J138</f>
        <v>188.605344</v>
      </c>
      <c r="K88" s="157">
        <f>Dat_01!K138</f>
        <v>201.924623</v>
      </c>
      <c r="L88" s="157">
        <f>Dat_01!L138</f>
        <v>224.02625399999999</v>
      </c>
      <c r="M88" s="157">
        <f>Dat_01!M138</f>
        <v>207.24283</v>
      </c>
      <c r="N88" s="157">
        <f>Dat_01!N138</f>
        <v>218.650612</v>
      </c>
      <c r="O88" s="157">
        <f>Dat_01!O138</f>
        <v>212.98181099999999</v>
      </c>
    </row>
    <row r="89" spans="2:15">
      <c r="B89" s="174" t="s">
        <v>11</v>
      </c>
      <c r="C89" s="157">
        <f>Dat_01!C139</f>
        <v>215.21677199999999</v>
      </c>
      <c r="D89" s="157">
        <f>Dat_01!D139</f>
        <v>260.839181</v>
      </c>
      <c r="E89" s="157">
        <f>Dat_01!E139</f>
        <v>246.337683</v>
      </c>
      <c r="F89" s="157">
        <f>Dat_01!F139</f>
        <v>248.61678900000001</v>
      </c>
      <c r="G89" s="157">
        <f>Dat_01!G139</f>
        <v>234.94823600000001</v>
      </c>
      <c r="H89" s="157">
        <f>Dat_01!H139</f>
        <v>230.14559600000001</v>
      </c>
      <c r="I89" s="157">
        <f>Dat_01!I139</f>
        <v>251.789052</v>
      </c>
      <c r="J89" s="157">
        <f>Dat_01!J139</f>
        <v>281.47467399999999</v>
      </c>
      <c r="K89" s="157">
        <f>Dat_01!K139</f>
        <v>317.069143</v>
      </c>
      <c r="L89" s="157">
        <f>Dat_01!L139</f>
        <v>256.69696599999997</v>
      </c>
      <c r="M89" s="157">
        <f>Dat_01!M139</f>
        <v>273.98589099999998</v>
      </c>
      <c r="N89" s="157">
        <f>Dat_01!N139</f>
        <v>264.507273</v>
      </c>
      <c r="O89" s="157">
        <f>Dat_01!O139</f>
        <v>221.964823</v>
      </c>
    </row>
    <row r="90" spans="2:15">
      <c r="B90" s="174" t="s">
        <v>9</v>
      </c>
      <c r="C90" s="157">
        <f>Dat_01!C140</f>
        <v>1.754305</v>
      </c>
      <c r="D90" s="157">
        <f>Dat_01!D140</f>
        <v>1.5995220000000001</v>
      </c>
      <c r="E90" s="157">
        <f>Dat_01!E140</f>
        <v>2.2626460000000002</v>
      </c>
      <c r="F90" s="157">
        <f>Dat_01!F140</f>
        <v>2.0342030000000002</v>
      </c>
      <c r="G90" s="157">
        <f>Dat_01!G140</f>
        <v>2.3218040000000002</v>
      </c>
      <c r="H90" s="157">
        <f>Dat_01!H140</f>
        <v>3.7162829999999998</v>
      </c>
      <c r="I90" s="157">
        <f>Dat_01!I140</f>
        <v>2.859321</v>
      </c>
      <c r="J90" s="157">
        <f>Dat_01!J140</f>
        <v>2.165861</v>
      </c>
      <c r="K90" s="157">
        <f>Dat_01!K140</f>
        <v>0.87331099999999995</v>
      </c>
      <c r="L90" s="157">
        <f>Dat_01!L140</f>
        <v>0.90078800000000003</v>
      </c>
      <c r="M90" s="157">
        <f>Dat_01!M140</f>
        <v>0.90973300000000001</v>
      </c>
      <c r="N90" s="157">
        <f>Dat_01!N140</f>
        <v>1.109656</v>
      </c>
      <c r="O90" s="157">
        <f>Dat_01!O140</f>
        <v>0.97254499999999999</v>
      </c>
    </row>
    <row r="91" spans="2:15">
      <c r="B91" s="174" t="s">
        <v>8</v>
      </c>
      <c r="C91" s="157">
        <f>Dat_01!C141</f>
        <v>46.206065000000002</v>
      </c>
      <c r="D91" s="157">
        <f>Dat_01!D141</f>
        <v>50.516177999999996</v>
      </c>
      <c r="E91" s="157">
        <f>Dat_01!E141</f>
        <v>45.545817999999997</v>
      </c>
      <c r="F91" s="157">
        <f>Dat_01!F141</f>
        <v>55.351522000000003</v>
      </c>
      <c r="G91" s="157">
        <f>Dat_01!G141</f>
        <v>56.421117000000002</v>
      </c>
      <c r="H91" s="157">
        <f>Dat_01!H141</f>
        <v>95.158366999999998</v>
      </c>
      <c r="I91" s="157">
        <f>Dat_01!I141</f>
        <v>65.080791000000005</v>
      </c>
      <c r="J91" s="157">
        <f>Dat_01!J141</f>
        <v>51.688220999999999</v>
      </c>
      <c r="K91" s="157">
        <f>Dat_01!K141</f>
        <v>22.335968000000001</v>
      </c>
      <c r="L91" s="157">
        <f>Dat_01!L141</f>
        <v>32.426611999999999</v>
      </c>
      <c r="M91" s="157">
        <f>Dat_01!M141</f>
        <v>42.931705999999998</v>
      </c>
      <c r="N91" s="157">
        <f>Dat_01!N141</f>
        <v>55.782074999999999</v>
      </c>
      <c r="O91" s="157">
        <f>Dat_01!O141</f>
        <v>48.408240999999997</v>
      </c>
    </row>
    <row r="92" spans="2:15">
      <c r="B92" s="174" t="s">
        <v>7</v>
      </c>
      <c r="C92" s="157">
        <f>Dat_01!C142</f>
        <v>17.886313000000001</v>
      </c>
      <c r="D92" s="157">
        <f>Dat_01!D142</f>
        <v>25.105015000000002</v>
      </c>
      <c r="E92" s="157">
        <f>Dat_01!E142</f>
        <v>25.211383999999999</v>
      </c>
      <c r="F92" s="157">
        <f>Dat_01!F142</f>
        <v>23.07987</v>
      </c>
      <c r="G92" s="157">
        <f>Dat_01!G142</f>
        <v>25.992826000000001</v>
      </c>
      <c r="H92" s="157">
        <f>Dat_01!H142</f>
        <v>29.45045</v>
      </c>
      <c r="I92" s="157">
        <f>Dat_01!I142</f>
        <v>27.718481000000001</v>
      </c>
      <c r="J92" s="157">
        <f>Dat_01!J142</f>
        <v>24.127853999999999</v>
      </c>
      <c r="K92" s="157">
        <f>Dat_01!K142</f>
        <v>19.456084000000001</v>
      </c>
      <c r="L92" s="157">
        <f>Dat_01!L142</f>
        <v>16.088982000000001</v>
      </c>
      <c r="M92" s="157">
        <f>Dat_01!M142</f>
        <v>18.423207999999999</v>
      </c>
      <c r="N92" s="157">
        <f>Dat_01!N142</f>
        <v>17.483564999999999</v>
      </c>
      <c r="O92" s="157">
        <f>Dat_01!O142</f>
        <v>21.221177999999998</v>
      </c>
    </row>
    <row r="93" spans="2:15">
      <c r="B93" s="174" t="s">
        <v>27</v>
      </c>
      <c r="C93" s="157">
        <f>Dat_01!C143</f>
        <v>0.64657299999999995</v>
      </c>
      <c r="D93" s="157">
        <f>Dat_01!D143</f>
        <v>0.83729399999999998</v>
      </c>
      <c r="E93" s="157">
        <f>Dat_01!E143</f>
        <v>0.53889699999999996</v>
      </c>
      <c r="F93" s="157">
        <f>Dat_01!F143</f>
        <v>0.75060099999999996</v>
      </c>
      <c r="G93" s="157">
        <f>Dat_01!G143</f>
        <v>0.53101500000000001</v>
      </c>
      <c r="H93" s="157">
        <f>Dat_01!H143</f>
        <v>0.70239399999999996</v>
      </c>
      <c r="I93" s="157">
        <f>Dat_01!I143</f>
        <v>0.81645199999999996</v>
      </c>
      <c r="J93" s="157">
        <f>Dat_01!J143</f>
        <v>0.78290899999999997</v>
      </c>
      <c r="K93" s="157">
        <f>Dat_01!K143</f>
        <v>0.813334</v>
      </c>
      <c r="L93" s="157">
        <f>Dat_01!L143</f>
        <v>0.85025300000000004</v>
      </c>
      <c r="M93" s="157">
        <f>Dat_01!M143</f>
        <v>0.89945200000000003</v>
      </c>
      <c r="N93" s="157">
        <f>Dat_01!N143</f>
        <v>0.96332899999999999</v>
      </c>
      <c r="O93" s="157">
        <f>Dat_01!O143</f>
        <v>0.82279800000000003</v>
      </c>
    </row>
    <row r="94" spans="2:15">
      <c r="B94" s="174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</row>
    <row r="95" spans="2:15">
      <c r="B95" s="181" t="s">
        <v>4</v>
      </c>
      <c r="C95" s="161">
        <f>SUM(C85:C94)</f>
        <v>682.423585</v>
      </c>
      <c r="D95" s="161">
        <f t="shared" ref="D95:O95" si="5">SUM(D85:D94)</f>
        <v>729.88755000000003</v>
      </c>
      <c r="E95" s="161">
        <f t="shared" si="5"/>
        <v>703.21641899999997</v>
      </c>
      <c r="F95" s="161">
        <f t="shared" si="5"/>
        <v>715.93528600000013</v>
      </c>
      <c r="G95" s="161">
        <f t="shared" si="5"/>
        <v>707.412238</v>
      </c>
      <c r="H95" s="161">
        <f t="shared" si="5"/>
        <v>759.04677800000002</v>
      </c>
      <c r="I95" s="161">
        <f t="shared" si="5"/>
        <v>782.41841999999997</v>
      </c>
      <c r="J95" s="161">
        <f t="shared" si="5"/>
        <v>764.76404099999991</v>
      </c>
      <c r="K95" s="161">
        <f t="shared" si="5"/>
        <v>778.60753399999999</v>
      </c>
      <c r="L95" s="161">
        <f t="shared" si="5"/>
        <v>720.77348499999994</v>
      </c>
      <c r="M95" s="161">
        <f t="shared" si="5"/>
        <v>740.2462139999999</v>
      </c>
      <c r="N95" s="161">
        <f t="shared" si="5"/>
        <v>754.999326</v>
      </c>
      <c r="O95" s="161">
        <f t="shared" si="5"/>
        <v>678.42557099999999</v>
      </c>
    </row>
    <row r="96" spans="2:15">
      <c r="B96" s="184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</row>
    <row r="97" spans="2:15">
      <c r="B97" s="182" t="s">
        <v>98</v>
      </c>
      <c r="C97" s="183">
        <f>SUM(C86:C88)</f>
        <v>400.67938400000003</v>
      </c>
      <c r="D97" s="183">
        <f t="shared" ref="D97:O97" si="6">SUM(D86:D88)</f>
        <v>390.68041399999998</v>
      </c>
      <c r="E97" s="183">
        <f t="shared" si="6"/>
        <v>383.04386799999997</v>
      </c>
      <c r="F97" s="183">
        <f t="shared" si="6"/>
        <v>385.79396700000001</v>
      </c>
      <c r="G97" s="183">
        <f t="shared" si="6"/>
        <v>386.90275799999995</v>
      </c>
      <c r="H97" s="183">
        <f t="shared" si="6"/>
        <v>399.57809199999997</v>
      </c>
      <c r="I97" s="183">
        <f t="shared" si="6"/>
        <v>433.84668299999998</v>
      </c>
      <c r="J97" s="183">
        <f t="shared" si="6"/>
        <v>404.23612300000002</v>
      </c>
      <c r="K97" s="183">
        <f t="shared" si="6"/>
        <v>417.76272399999999</v>
      </c>
      <c r="L97" s="183">
        <f t="shared" si="6"/>
        <v>413.52137700000003</v>
      </c>
      <c r="M97" s="183">
        <f t="shared" si="6"/>
        <v>402.79991699999999</v>
      </c>
      <c r="N97" s="183">
        <f t="shared" si="6"/>
        <v>414.86051199999997</v>
      </c>
      <c r="O97" s="183">
        <f t="shared" si="6"/>
        <v>384.770937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R21" sqref="R21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Febrero 2019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0" t="s">
        <v>52</v>
      </c>
      <c r="E7" s="81"/>
      <c r="F7" s="191" t="str">
        <f>K3</f>
        <v>Febrero 2019</v>
      </c>
      <c r="G7" s="192"/>
      <c r="H7" s="192" t="s">
        <v>42</v>
      </c>
      <c r="I7" s="192"/>
      <c r="J7" s="192" t="s">
        <v>43</v>
      </c>
      <c r="K7" s="192"/>
    </row>
    <row r="8" spans="3:12">
      <c r="C8" s="190"/>
      <c r="E8" s="82"/>
      <c r="F8" s="83" t="s">
        <v>18</v>
      </c>
      <c r="G8" s="110" t="str">
        <f>CONCATENATE("% ",RIGHT(F7,2),"/",RIGHT(F7,2)-1)</f>
        <v>% 19/18</v>
      </c>
      <c r="H8" s="83" t="s">
        <v>18</v>
      </c>
      <c r="I8" s="84" t="str">
        <f>G8</f>
        <v>% 19/18</v>
      </c>
      <c r="J8" s="83" t="s">
        <v>18</v>
      </c>
      <c r="K8" s="84" t="str">
        <f>G8</f>
        <v>% 19/18</v>
      </c>
    </row>
    <row r="9" spans="3:12">
      <c r="C9" s="85"/>
      <c r="E9" s="86" t="s">
        <v>44</v>
      </c>
      <c r="F9" s="87">
        <f>Dat_01!R24/1000</f>
        <v>414.59216700000002</v>
      </c>
      <c r="G9" s="168">
        <f>Dat_01!T24*100</f>
        <v>-9.3985191700000001</v>
      </c>
      <c r="H9" s="87">
        <f>Dat_01!U24/1000</f>
        <v>891.36954000000003</v>
      </c>
      <c r="I9" s="168">
        <f>Dat_01!W24*100</f>
        <v>-0.31137018999999999</v>
      </c>
      <c r="J9" s="87">
        <f>Dat_01!X24/1000</f>
        <v>6049.4670960000003</v>
      </c>
      <c r="K9" s="168">
        <f>Dat_01!Y24*100</f>
        <v>0.19682067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0.53442162134046356</v>
      </c>
      <c r="H12" s="107"/>
      <c r="I12" s="107">
        <v>0.67933098761321364</v>
      </c>
      <c r="J12" s="107"/>
      <c r="K12" s="107">
        <v>0.21700378124445141</v>
      </c>
    </row>
    <row r="13" spans="3:12">
      <c r="E13" s="89" t="s">
        <v>47</v>
      </c>
      <c r="F13" s="88"/>
      <c r="G13" s="107">
        <v>-8.5690571456310671</v>
      </c>
      <c r="H13" s="107"/>
      <c r="I13" s="107">
        <v>-1.9738579843322945</v>
      </c>
      <c r="J13" s="107"/>
      <c r="K13" s="107">
        <v>-0.31060216736382706</v>
      </c>
    </row>
    <row r="14" spans="3:12">
      <c r="E14" s="90" t="s">
        <v>48</v>
      </c>
      <c r="F14" s="91"/>
      <c r="G14" s="108">
        <v>-1.363883643231099</v>
      </c>
      <c r="H14" s="108"/>
      <c r="I14" s="108">
        <v>0.98315680391682925</v>
      </c>
      <c r="J14" s="108"/>
      <c r="K14" s="108">
        <v>0.2904190552859065</v>
      </c>
    </row>
    <row r="15" spans="3:12">
      <c r="E15" s="193" t="s">
        <v>49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50</v>
      </c>
      <c r="F16" s="189"/>
      <c r="G16" s="189"/>
      <c r="H16" s="189"/>
      <c r="I16" s="189"/>
      <c r="J16" s="189"/>
      <c r="K16" s="189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Q32" sqref="Q32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Febrero 2019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0" t="s">
        <v>53</v>
      </c>
      <c r="E7" s="81"/>
      <c r="F7" s="191" t="str">
        <f>K3</f>
        <v>Febrero 2019</v>
      </c>
      <c r="G7" s="192"/>
      <c r="H7" s="192" t="s">
        <v>42</v>
      </c>
      <c r="I7" s="192"/>
      <c r="J7" s="192" t="s">
        <v>43</v>
      </c>
      <c r="K7" s="192"/>
    </row>
    <row r="8" spans="3:12">
      <c r="C8" s="190"/>
      <c r="E8" s="82"/>
      <c r="F8" s="83" t="s">
        <v>18</v>
      </c>
      <c r="G8" s="110" t="str">
        <f>CONCATENATE("% ",RIGHT(F7,2),"/",RIGHT(F7,2)-1)</f>
        <v>% 19/18</v>
      </c>
      <c r="H8" s="83" t="s">
        <v>18</v>
      </c>
      <c r="I8" s="111" t="str">
        <f>G8</f>
        <v>% 19/18</v>
      </c>
      <c r="J8" s="83" t="s">
        <v>18</v>
      </c>
      <c r="K8" s="111" t="str">
        <f>G8</f>
        <v>% 19/18</v>
      </c>
    </row>
    <row r="9" spans="3:12">
      <c r="C9" s="85"/>
      <c r="E9" s="86" t="s">
        <v>44</v>
      </c>
      <c r="F9" s="87">
        <f>Dat_01!Z24/1000</f>
        <v>678.42557099999999</v>
      </c>
      <c r="G9" s="168">
        <f>Dat_01!AB24*100</f>
        <v>-0.58585518999999997</v>
      </c>
      <c r="H9" s="87">
        <f>Dat_01!AC24/1000</f>
        <v>1433.4248970000001</v>
      </c>
      <c r="I9" s="168">
        <f>Dat_01!AE24*100</f>
        <v>-0.29810577999999999</v>
      </c>
      <c r="J9" s="87">
        <f>Dat_01!AF24/1000</f>
        <v>8835.7328619999989</v>
      </c>
      <c r="K9" s="168">
        <f>Dat_01!AG24*100</f>
        <v>-1.3666815699999999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1.0808811212482339</v>
      </c>
      <c r="H12" s="107"/>
      <c r="I12" s="107">
        <v>0.82623817015060608</v>
      </c>
      <c r="J12" s="107"/>
      <c r="K12" s="107">
        <v>0.19528028685446008</v>
      </c>
    </row>
    <row r="13" spans="3:12">
      <c r="E13" s="89" t="s">
        <v>47</v>
      </c>
      <c r="F13" s="88"/>
      <c r="G13" s="107">
        <v>-0.21934744143025098</v>
      </c>
      <c r="H13" s="107"/>
      <c r="I13" s="107">
        <v>-3.8539240556123566E-2</v>
      </c>
      <c r="J13" s="107"/>
      <c r="K13" s="107">
        <v>-7.4038739124404618E-2</v>
      </c>
    </row>
    <row r="14" spans="3:12">
      <c r="E14" s="90" t="s">
        <v>48</v>
      </c>
      <c r="F14" s="91"/>
      <c r="G14" s="108">
        <v>-1.4473888712091099</v>
      </c>
      <c r="H14" s="108"/>
      <c r="I14" s="108">
        <v>-1.085804710807492</v>
      </c>
      <c r="J14" s="108"/>
      <c r="K14" s="108">
        <v>-1.4879231203667964</v>
      </c>
    </row>
    <row r="15" spans="3:12">
      <c r="E15" s="193" t="s">
        <v>49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50</v>
      </c>
      <c r="F16" s="189"/>
      <c r="G16" s="189"/>
      <c r="H16" s="189"/>
      <c r="I16" s="189"/>
      <c r="J16" s="189"/>
      <c r="K16" s="189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RowHeight="15"/>
  <sheetData>
    <row r="1" spans="1:2">
      <c r="A1">
        <v>4</v>
      </c>
      <c r="B1" s="112" t="s">
        <v>110</v>
      </c>
    </row>
    <row r="2" spans="1:2">
      <c r="A2" t="s">
        <v>107</v>
      </c>
    </row>
    <row r="3" spans="1:2">
      <c r="A3" t="s">
        <v>108</v>
      </c>
    </row>
    <row r="4" spans="1:2">
      <c r="A4" t="s">
        <v>111</v>
      </c>
    </row>
    <row r="5" spans="1:2">
      <c r="A5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L26" sqref="L26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8" t="s">
        <v>24</v>
      </c>
    </row>
    <row r="3" spans="3:23" ht="15" customHeight="1">
      <c r="M3" s="37" t="str">
        <f>Indice!E3</f>
        <v>Febrero 2019</v>
      </c>
    </row>
    <row r="4" spans="3:23" ht="20.25" customHeight="1">
      <c r="C4" s="36" t="s">
        <v>51</v>
      </c>
    </row>
    <row r="5" spans="3:23" ht="12.75" customHeight="1"/>
    <row r="6" spans="3:23" ht="13.5" customHeight="1"/>
    <row r="7" spans="3:23" s="32" customFormat="1" ht="12.75" customHeight="1">
      <c r="C7" s="197" t="s">
        <v>23</v>
      </c>
      <c r="E7" s="35"/>
      <c r="F7" s="198" t="s">
        <v>22</v>
      </c>
      <c r="G7" s="199"/>
      <c r="H7" s="198" t="s">
        <v>21</v>
      </c>
      <c r="I7" s="199"/>
      <c r="J7" s="198" t="s">
        <v>20</v>
      </c>
      <c r="K7" s="199"/>
      <c r="L7" s="198" t="s">
        <v>19</v>
      </c>
      <c r="M7" s="199"/>
    </row>
    <row r="8" spans="3:23" s="32" customFormat="1" ht="12.75" customHeight="1">
      <c r="C8" s="197"/>
      <c r="E8" s="34"/>
      <c r="F8" s="33" t="s">
        <v>18</v>
      </c>
      <c r="G8" s="109" t="str">
        <f>CONCATENATE("% ",RIGHT(M3,2),"/",RIGHT(M3,2)-1)</f>
        <v>% 19/18</v>
      </c>
      <c r="H8" s="33" t="s">
        <v>18</v>
      </c>
      <c r="I8" s="109" t="str">
        <f>G8</f>
        <v>% 19/18</v>
      </c>
      <c r="J8" s="33" t="s">
        <v>18</v>
      </c>
      <c r="K8" s="109" t="str">
        <f>I8</f>
        <v>% 19/18</v>
      </c>
      <c r="L8" s="33" t="s">
        <v>18</v>
      </c>
      <c r="M8" s="109" t="str">
        <f>K8</f>
        <v>% 19/18</v>
      </c>
    </row>
    <row r="9" spans="3:23" s="31" customFormat="1" ht="12.75" customHeight="1">
      <c r="C9" s="27"/>
      <c r="E9" s="23" t="s">
        <v>17</v>
      </c>
      <c r="F9" s="157" t="s">
        <v>6</v>
      </c>
      <c r="G9" s="20" t="s">
        <v>6</v>
      </c>
      <c r="H9" s="20">
        <f>Dat_01!Z8/1000</f>
        <v>0.26504899999999998</v>
      </c>
      <c r="I9" s="28">
        <f>Dat_01!AB8*100</f>
        <v>675.60939923000001</v>
      </c>
      <c r="J9" s="157" t="s">
        <v>6</v>
      </c>
      <c r="K9" s="20" t="s">
        <v>6</v>
      </c>
      <c r="L9" s="157" t="s">
        <v>6</v>
      </c>
      <c r="M9" s="20" t="s">
        <v>6</v>
      </c>
      <c r="N9" s="10"/>
      <c r="O9" s="10"/>
    </row>
    <row r="10" spans="3:23" s="7" customFormat="1" ht="12.75" customHeight="1">
      <c r="C10" s="27"/>
      <c r="E10" s="23" t="s">
        <v>16</v>
      </c>
      <c r="F10" s="157">
        <f>Dat_01!R9/1000</f>
        <v>163.68409500000001</v>
      </c>
      <c r="G10" s="20">
        <f>Dat_01!T9*100</f>
        <v>-15.099379630000001</v>
      </c>
      <c r="H10" s="157" t="s">
        <v>6</v>
      </c>
      <c r="I10" s="20" t="s">
        <v>6</v>
      </c>
      <c r="J10" s="157" t="s">
        <v>6</v>
      </c>
      <c r="K10" s="20" t="s">
        <v>6</v>
      </c>
      <c r="L10" s="157" t="s">
        <v>6</v>
      </c>
      <c r="M10" s="20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27"/>
      <c r="E11" s="30" t="s">
        <v>15</v>
      </c>
      <c r="F11" s="158">
        <f>Dat_01!R10/1000</f>
        <v>26.576927000000001</v>
      </c>
      <c r="G11" s="28">
        <f>Dat_01!T10*100</f>
        <v>-31.800900989999999</v>
      </c>
      <c r="H11" s="158">
        <f>Dat_01!Z10/1000</f>
        <v>152.846857</v>
      </c>
      <c r="I11" s="28">
        <f>Dat_01!AB10*100</f>
        <v>-7.6559263899999994</v>
      </c>
      <c r="J11" s="158">
        <f>Dat_01!B10/1000</f>
        <v>16.018848999999999</v>
      </c>
      <c r="K11" s="28">
        <f>Dat_01!D10*100</f>
        <v>-6.2880278900000004</v>
      </c>
      <c r="L11" s="158">
        <f>Dat_01!J10/1000</f>
        <v>14.979092000000001</v>
      </c>
      <c r="M11" s="28">
        <f>Dat_01!L10*100</f>
        <v>-6.6498385199999994</v>
      </c>
      <c r="N11" s="167"/>
      <c r="O11" s="166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27"/>
      <c r="E12" s="29" t="s">
        <v>14</v>
      </c>
      <c r="F12" s="158">
        <f>Dat_01!R11/1000</f>
        <v>22.600860000000001</v>
      </c>
      <c r="G12" s="28">
        <f>Dat_01!T11*100</f>
        <v>-62.258035830000004</v>
      </c>
      <c r="H12" s="158">
        <f>Dat_01!Z11/1000</f>
        <v>18.942269</v>
      </c>
      <c r="I12" s="28">
        <f>Dat_01!AB11*100</f>
        <v>-23.469797459999999</v>
      </c>
      <c r="J12" s="158">
        <f>Dat_01!B11/1000</f>
        <v>6.78E-4</v>
      </c>
      <c r="K12" s="28">
        <f>Dat_01!D11*100</f>
        <v>-87.350746270000002</v>
      </c>
      <c r="L12" s="158">
        <f>Dat_01!J11/1000</f>
        <v>5.13E-4</v>
      </c>
      <c r="M12" s="28">
        <f>Dat_01!L11*100</f>
        <v>-94.082362439999997</v>
      </c>
      <c r="N12" s="167"/>
      <c r="O12" s="25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27"/>
      <c r="E13" s="29" t="s">
        <v>13</v>
      </c>
      <c r="F13" s="158" t="s">
        <v>6</v>
      </c>
      <c r="G13" s="28" t="s">
        <v>6</v>
      </c>
      <c r="H13" s="158">
        <f>Dat_01!Z12/1000</f>
        <v>212.98181099999999</v>
      </c>
      <c r="I13" s="28">
        <f>Dat_01!AB12*100</f>
        <v>1.2226891600000001</v>
      </c>
      <c r="J13" s="158" t="s">
        <v>6</v>
      </c>
      <c r="K13" s="158" t="s">
        <v>6</v>
      </c>
      <c r="L13" s="158" t="s">
        <v>6</v>
      </c>
      <c r="M13" s="158" t="s">
        <v>6</v>
      </c>
      <c r="N13" s="167"/>
      <c r="O13" s="25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27"/>
      <c r="E14" s="23" t="s">
        <v>12</v>
      </c>
      <c r="F14" s="157">
        <f>SUM(F11:F13)</f>
        <v>49.177787000000002</v>
      </c>
      <c r="G14" s="20">
        <f>(F14/(F11/(G11/100+1)+F12/(G12/100+1))-1)*100</f>
        <v>-50.25119170043947</v>
      </c>
      <c r="H14" s="157">
        <f>SUM(H11:H13)</f>
        <v>384.770937</v>
      </c>
      <c r="I14" s="20">
        <f>(H14/(H11/(I11/100+1)+H12/(I12/100+1)+H13/(I13/100+1))-1)*100</f>
        <v>-3.9703682391287742</v>
      </c>
      <c r="J14" s="157">
        <f>SUM(J11:J13)</f>
        <v>16.019527</v>
      </c>
      <c r="K14" s="20">
        <f>(J14/(J11/(K11/100+1)+J12/(K12/100+1))-1)*100</f>
        <v>-6.3134384106999786</v>
      </c>
      <c r="L14" s="157">
        <f>SUM(L11:L13)</f>
        <v>14.979605000000001</v>
      </c>
      <c r="M14" s="20">
        <f>(L14/(L11/(M11/100+1)+L12/(M12/100+1))-1)*100</f>
        <v>-6.6970488501276515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27"/>
      <c r="E15" s="23" t="s">
        <v>11</v>
      </c>
      <c r="F15" s="157">
        <f>Dat_01!R13/1000</f>
        <v>55.402148999999994</v>
      </c>
      <c r="G15" s="20">
        <f>Dat_01!T13*100</f>
        <v>15.096619240000001</v>
      </c>
      <c r="H15" s="157">
        <f>Dat_01!Z13/1000</f>
        <v>221.964823</v>
      </c>
      <c r="I15" s="20">
        <f>Dat_01!AB13*100</f>
        <v>3.1354670600000003</v>
      </c>
      <c r="J15" s="157" t="s">
        <v>6</v>
      </c>
      <c r="K15" s="20" t="s">
        <v>6</v>
      </c>
      <c r="L15" s="157" t="s">
        <v>6</v>
      </c>
      <c r="M15" s="20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26"/>
      <c r="E16" s="23" t="s">
        <v>10</v>
      </c>
      <c r="F16" s="157">
        <f>Dat_01!R14/1000</f>
        <v>0</v>
      </c>
      <c r="G16" s="20" t="s">
        <v>6</v>
      </c>
      <c r="H16" s="157" t="s">
        <v>6</v>
      </c>
      <c r="I16" s="20" t="s">
        <v>6</v>
      </c>
      <c r="J16" s="157" t="s">
        <v>6</v>
      </c>
      <c r="K16" s="20" t="s">
        <v>6</v>
      </c>
      <c r="L16" s="157" t="s">
        <v>6</v>
      </c>
      <c r="M16" s="20" t="s">
        <v>6</v>
      </c>
      <c r="N16" s="10"/>
      <c r="O16" s="25"/>
    </row>
    <row r="17" spans="3:16" s="2" customFormat="1" ht="12.75" customHeight="1">
      <c r="C17" s="24"/>
      <c r="E17" s="23" t="s">
        <v>9</v>
      </c>
      <c r="F17" s="157" t="s">
        <v>6</v>
      </c>
      <c r="G17" s="20" t="s">
        <v>6</v>
      </c>
      <c r="H17" s="157">
        <f>Dat_01!Z15/1000</f>
        <v>0.97254499999999999</v>
      </c>
      <c r="I17" s="20">
        <f>Dat_01!AB15*100</f>
        <v>-44.562376549999996</v>
      </c>
      <c r="J17" s="157" t="s">
        <v>6</v>
      </c>
      <c r="K17" s="20" t="s">
        <v>6</v>
      </c>
      <c r="L17" s="157" t="s">
        <v>6</v>
      </c>
      <c r="M17" s="20" t="s">
        <v>6</v>
      </c>
      <c r="N17" s="10"/>
      <c r="O17" s="10"/>
    </row>
    <row r="18" spans="3:16" s="2" customFormat="1" ht="12.75" customHeight="1">
      <c r="C18" s="24"/>
      <c r="E18" s="23" t="s">
        <v>8</v>
      </c>
      <c r="F18" s="20">
        <f>Dat_01!R16/1000</f>
        <v>0.49932900000000002</v>
      </c>
      <c r="G18" s="20">
        <f>Dat_01!T16*100</f>
        <v>54.108181180000003</v>
      </c>
      <c r="H18" s="157">
        <f>Dat_01!Z16/1000</f>
        <v>48.408241000000004</v>
      </c>
      <c r="I18" s="20">
        <f>Dat_01!AB16*100</f>
        <v>4.7659890499999999</v>
      </c>
      <c r="J18" s="157" t="s">
        <v>6</v>
      </c>
      <c r="K18" s="20" t="s">
        <v>6</v>
      </c>
      <c r="L18" s="157" t="s">
        <v>6</v>
      </c>
      <c r="M18" s="20" t="s">
        <v>6</v>
      </c>
      <c r="N18" s="10"/>
      <c r="O18" s="10"/>
    </row>
    <row r="19" spans="3:16" s="2" customFormat="1" ht="12.75" customHeight="1">
      <c r="C19" s="13"/>
      <c r="E19" s="23" t="s">
        <v>7</v>
      </c>
      <c r="F19" s="157">
        <f>Dat_01!R17/1000</f>
        <v>9.3192469999999989</v>
      </c>
      <c r="G19" s="20">
        <f>Dat_01!T17*100</f>
        <v>74.580177550000002</v>
      </c>
      <c r="H19" s="157">
        <f>Dat_01!Z17/1000</f>
        <v>21.221177999999998</v>
      </c>
      <c r="I19" s="20">
        <f>Dat_01!AB17*100</f>
        <v>18.644787220000001</v>
      </c>
      <c r="J19" s="157" t="s">
        <v>6</v>
      </c>
      <c r="K19" s="20" t="s">
        <v>6</v>
      </c>
      <c r="L19" s="157">
        <f>Dat_01!J17/1000</f>
        <v>5.5259999999999997E-3</v>
      </c>
      <c r="M19" s="20">
        <f>Dat_01!L17*100</f>
        <v>-5.9244126699999997</v>
      </c>
      <c r="N19" s="10"/>
      <c r="O19" s="10"/>
      <c r="P19" s="22"/>
    </row>
    <row r="20" spans="3:16" s="2" customFormat="1" ht="12.75" customHeight="1">
      <c r="C20" s="13"/>
      <c r="E20" s="21" t="s">
        <v>57</v>
      </c>
      <c r="F20" s="20">
        <f>Dat_01!R18/1000</f>
        <v>8.2346000000000003E-2</v>
      </c>
      <c r="G20" s="20">
        <f>Dat_01!T18*100</f>
        <v>-50.465591919999994</v>
      </c>
      <c r="H20" s="157">
        <f>Dat_01!Z18/1000</f>
        <v>0.82279800000000003</v>
      </c>
      <c r="I20" s="20">
        <f>Dat_01!AB18*100</f>
        <v>27.255236449999998</v>
      </c>
      <c r="J20" s="157" t="s">
        <v>6</v>
      </c>
      <c r="K20" s="20" t="s">
        <v>6</v>
      </c>
      <c r="L20" s="157" t="s">
        <v>6</v>
      </c>
      <c r="M20" s="20" t="s">
        <v>6</v>
      </c>
      <c r="N20" s="10"/>
      <c r="O20" s="10"/>
    </row>
    <row r="21" spans="3:16" s="2" customFormat="1" ht="12.75" customHeight="1">
      <c r="C21" s="13"/>
      <c r="E21" s="21" t="s">
        <v>28</v>
      </c>
      <c r="F21" s="157">
        <f>Dat_01!R19/1000</f>
        <v>3.483536</v>
      </c>
      <c r="G21" s="20">
        <f>Dat_01!T19*100</f>
        <v>12.967797300000001</v>
      </c>
      <c r="H21" s="157">
        <f>Dat_01!Z19/1000</f>
        <v>0</v>
      </c>
      <c r="I21" s="20" t="s">
        <v>6</v>
      </c>
      <c r="J21" s="157" t="s">
        <v>6</v>
      </c>
      <c r="K21" s="20" t="s">
        <v>6</v>
      </c>
      <c r="L21" s="157" t="s">
        <v>6</v>
      </c>
      <c r="M21" s="20" t="s">
        <v>6</v>
      </c>
      <c r="N21" s="10"/>
      <c r="O21" s="10"/>
    </row>
    <row r="22" spans="3:16" s="2" customFormat="1" ht="12.75" customHeight="1">
      <c r="C22" s="13"/>
      <c r="E22" s="21" t="s">
        <v>62</v>
      </c>
      <c r="F22" s="157">
        <f>Dat_01!R20/1000</f>
        <v>6.8600294999999996</v>
      </c>
      <c r="G22" s="20">
        <f>Dat_01!T20*100</f>
        <v>53.951964719999999</v>
      </c>
      <c r="H22" s="157" t="s">
        <v>6</v>
      </c>
      <c r="I22" s="20" t="s">
        <v>6</v>
      </c>
      <c r="J22" s="157" t="s">
        <v>6</v>
      </c>
      <c r="K22" s="20" t="s">
        <v>6</v>
      </c>
      <c r="L22" s="20">
        <f>Dat_01!J20/1000</f>
        <v>0.48969699999999999</v>
      </c>
      <c r="M22" s="20">
        <f>Dat_01!L20*100</f>
        <v>1.07672032</v>
      </c>
      <c r="N22" s="10"/>
      <c r="O22" s="10"/>
    </row>
    <row r="23" spans="3:16" s="2" customFormat="1" ht="12.75" customHeight="1">
      <c r="C23" s="13"/>
      <c r="E23" s="21" t="s">
        <v>61</v>
      </c>
      <c r="F23" s="157">
        <f>Dat_01!R21/1000</f>
        <v>6.8600294999999996</v>
      </c>
      <c r="G23" s="20">
        <f>Dat_01!T21*100</f>
        <v>53.951964719999999</v>
      </c>
      <c r="H23" s="157" t="s">
        <v>6</v>
      </c>
      <c r="I23" s="20" t="s">
        <v>6</v>
      </c>
      <c r="J23" s="157" t="s">
        <v>6</v>
      </c>
      <c r="K23" s="20" t="s">
        <v>6</v>
      </c>
      <c r="L23" s="20">
        <f>Dat_01!J21/1000</f>
        <v>0.48969699999999999</v>
      </c>
      <c r="M23" s="20">
        <f>Dat_01!L21*100</f>
        <v>1.07672032</v>
      </c>
      <c r="N23" s="10"/>
      <c r="O23" s="10"/>
    </row>
    <row r="24" spans="3:16" s="2" customFormat="1" ht="12.75" customHeight="1">
      <c r="C24" s="13"/>
      <c r="E24" s="19" t="s">
        <v>5</v>
      </c>
      <c r="F24" s="159">
        <f>Dat_01!R22/1000</f>
        <v>295.36854800000003</v>
      </c>
      <c r="G24" s="17">
        <f>Dat_01!T22*100</f>
        <v>-17.40400262</v>
      </c>
      <c r="H24" s="159">
        <f>Dat_01!Z22/1000</f>
        <v>678.42557099999999</v>
      </c>
      <c r="I24" s="17">
        <f>Dat_01!AB22*100</f>
        <v>-0.58585518999999997</v>
      </c>
      <c r="J24" s="159">
        <f>Dat_01!B22/1000</f>
        <v>16.019527</v>
      </c>
      <c r="K24" s="17">
        <f>Dat_01!D22*100</f>
        <v>-6.3134384099999998</v>
      </c>
      <c r="L24" s="159">
        <f>Dat_01!J22/1000</f>
        <v>15.964525</v>
      </c>
      <c r="M24" s="17">
        <f>Dat_01!L22*100</f>
        <v>-6.2544664799999996</v>
      </c>
      <c r="N24" s="10"/>
      <c r="O24" s="10"/>
    </row>
    <row r="25" spans="3:16" s="2" customFormat="1" ht="12.75" customHeight="1">
      <c r="C25" s="16"/>
      <c r="E25" s="15" t="s">
        <v>65</v>
      </c>
      <c r="F25" s="160">
        <f>Dat_01!R23/1000</f>
        <v>119.223619</v>
      </c>
      <c r="G25" s="14">
        <f>Dat_01!T23*100</f>
        <v>19.23148947</v>
      </c>
      <c r="H25" s="160" t="s">
        <v>6</v>
      </c>
      <c r="I25" s="160" t="s">
        <v>6</v>
      </c>
      <c r="J25" s="160" t="s">
        <v>6</v>
      </c>
      <c r="K25" s="160" t="s">
        <v>6</v>
      </c>
      <c r="L25" s="160" t="s">
        <v>6</v>
      </c>
      <c r="M25" s="160" t="s">
        <v>6</v>
      </c>
      <c r="N25" s="10"/>
      <c r="O25" s="10"/>
    </row>
    <row r="26" spans="3:16" s="2" customFormat="1" ht="16.149999999999999" customHeight="1">
      <c r="C26" s="13"/>
      <c r="E26" s="12" t="s">
        <v>4</v>
      </c>
      <c r="F26" s="161">
        <f>Dat_01!R24/1000</f>
        <v>414.59216700000002</v>
      </c>
      <c r="G26" s="11">
        <f>Dat_01!T24*100</f>
        <v>-9.3985191700000001</v>
      </c>
      <c r="H26" s="161">
        <f>Dat_01!Z24/1000</f>
        <v>678.42557099999999</v>
      </c>
      <c r="I26" s="11">
        <f>Dat_01!AB24*100</f>
        <v>-0.58585518999999997</v>
      </c>
      <c r="J26" s="161">
        <f>Dat_01!B24/1000</f>
        <v>16.019527</v>
      </c>
      <c r="K26" s="11">
        <f>Dat_01!D24*100</f>
        <v>-6.3134384099999998</v>
      </c>
      <c r="L26" s="161">
        <f>Dat_01!J24/1000</f>
        <v>15.964525</v>
      </c>
      <c r="M26" s="11">
        <f>Dat_01!L24*100</f>
        <v>-6.2544664799999996</v>
      </c>
      <c r="N26" s="10"/>
      <c r="O26" s="10"/>
    </row>
    <row r="27" spans="3:16" s="2" customFormat="1" ht="16.149999999999999" customHeight="1">
      <c r="C27" s="13"/>
      <c r="E27" s="194" t="s">
        <v>63</v>
      </c>
      <c r="F27" s="194"/>
      <c r="G27" s="194"/>
      <c r="H27" s="194"/>
      <c r="I27" s="194"/>
      <c r="J27" s="194"/>
      <c r="K27" s="194"/>
      <c r="L27" s="18"/>
      <c r="M27" s="17"/>
      <c r="N27" s="10"/>
      <c r="O27" s="10"/>
    </row>
    <row r="28" spans="3:16" s="2" customFormat="1" ht="12.75" customHeight="1">
      <c r="C28" s="8"/>
      <c r="D28" s="8"/>
      <c r="E28" s="196" t="s">
        <v>3</v>
      </c>
      <c r="F28" s="196"/>
      <c r="G28" s="196"/>
      <c r="H28" s="196"/>
      <c r="I28" s="196"/>
      <c r="J28" s="196"/>
      <c r="K28" s="196"/>
      <c r="L28" s="196"/>
      <c r="M28" s="196"/>
      <c r="O28" s="9"/>
    </row>
    <row r="29" spans="3:16" s="2" customFormat="1" ht="12.75" customHeight="1">
      <c r="C29" s="8"/>
      <c r="D29" s="8"/>
      <c r="E29" s="195" t="s">
        <v>2</v>
      </c>
      <c r="F29" s="195"/>
      <c r="G29" s="195"/>
      <c r="H29" s="195"/>
      <c r="I29" s="195"/>
      <c r="J29" s="195"/>
      <c r="K29" s="195"/>
      <c r="L29" s="195"/>
      <c r="M29" s="195"/>
    </row>
    <row r="30" spans="3:16" s="2" customFormat="1" ht="12.75" customHeight="1">
      <c r="E30" s="195" t="s">
        <v>1</v>
      </c>
      <c r="F30" s="195"/>
      <c r="G30" s="195"/>
      <c r="H30" s="195"/>
      <c r="I30" s="195"/>
      <c r="J30" s="195"/>
      <c r="K30" s="195"/>
      <c r="L30" s="195"/>
      <c r="M30" s="195"/>
    </row>
    <row r="31" spans="3:16" s="7" customFormat="1" ht="12.75" customHeight="1">
      <c r="E31" s="195" t="s">
        <v>0</v>
      </c>
      <c r="F31" s="195"/>
      <c r="G31" s="195"/>
      <c r="H31" s="195"/>
      <c r="I31" s="195"/>
      <c r="J31" s="195"/>
      <c r="K31" s="195"/>
      <c r="L31" s="195"/>
      <c r="M31" s="195"/>
    </row>
    <row r="32" spans="3:16" ht="12.75" customHeight="1">
      <c r="C32" s="1"/>
      <c r="D32" s="1"/>
      <c r="E32" s="195" t="s">
        <v>64</v>
      </c>
      <c r="F32" s="195"/>
      <c r="G32" s="195"/>
      <c r="H32" s="195"/>
      <c r="I32" s="195"/>
      <c r="J32" s="195"/>
      <c r="K32" s="195"/>
      <c r="L32" s="195"/>
      <c r="M32" s="195"/>
    </row>
    <row r="33" spans="3:13" ht="12.75" customHeight="1">
      <c r="C33" s="1"/>
      <c r="D33" s="1"/>
      <c r="E33" s="195"/>
      <c r="F33" s="195"/>
      <c r="G33" s="195"/>
      <c r="H33" s="195"/>
      <c r="I33" s="195"/>
      <c r="J33" s="195"/>
      <c r="K33" s="195"/>
      <c r="L33" s="195"/>
      <c r="M33" s="195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L7:M7"/>
    <mergeCell ref="E27:K27"/>
    <mergeCell ref="E33:M33"/>
    <mergeCell ref="E28:M28"/>
    <mergeCell ref="E29:M29"/>
    <mergeCell ref="E30:M30"/>
    <mergeCell ref="E31:M31"/>
    <mergeCell ref="E32:M32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4 I14 K1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H38" sqref="H38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Febrero 2019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0" t="s">
        <v>36</v>
      </c>
      <c r="D7" s="48"/>
      <c r="E7" s="52"/>
    </row>
    <row r="8" spans="2:12" s="42" customFormat="1" ht="12.75" customHeight="1">
      <c r="B8" s="50"/>
      <c r="C8" s="200"/>
      <c r="D8" s="48"/>
      <c r="E8" s="52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J10" s="41"/>
      <c r="K10" s="95"/>
      <c r="L10" s="92"/>
    </row>
    <row r="11" spans="2:12" s="42" customFormat="1" ht="12.75" customHeight="1">
      <c r="B11" s="50"/>
      <c r="D11" s="48"/>
      <c r="E11" s="48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J12" s="41"/>
      <c r="K12" s="95"/>
      <c r="L12" s="92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</row>
    <row r="15" spans="2:12" s="42" customFormat="1" ht="12.75" customHeight="1">
      <c r="B15" s="50"/>
      <c r="C15" s="51"/>
      <c r="D15" s="48"/>
      <c r="E15" s="48"/>
    </row>
    <row r="16" spans="2:12" s="42" customFormat="1" ht="12.75" customHeight="1">
      <c r="B16" s="50"/>
      <c r="D16" s="48"/>
      <c r="E16" s="48"/>
      <c r="J16" s="41"/>
      <c r="K16" s="41"/>
      <c r="L16" s="41"/>
    </row>
    <row r="17" spans="2:12" s="42" customFormat="1" ht="12.75" customHeight="1">
      <c r="B17" s="50"/>
      <c r="D17" s="48"/>
      <c r="E17" s="48"/>
      <c r="J17" s="41"/>
      <c r="K17" s="41"/>
      <c r="L17" s="41"/>
    </row>
    <row r="18" spans="2:12" s="42" customFormat="1" ht="12.75" customHeight="1">
      <c r="B18" s="50"/>
      <c r="D18" s="48"/>
      <c r="E18" s="48"/>
      <c r="F18" s="222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J20" s="41"/>
      <c r="K20" s="41"/>
      <c r="L20" s="41"/>
    </row>
    <row r="21" spans="2:12" s="42" customFormat="1" ht="12.75" customHeight="1">
      <c r="B21" s="50"/>
      <c r="C21" s="49"/>
      <c r="D21" s="48"/>
      <c r="E21" s="48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>
      <c r="C24" s="200" t="s">
        <v>33</v>
      </c>
      <c r="E24" s="46"/>
      <c r="J24" s="42"/>
      <c r="K24" s="42"/>
    </row>
    <row r="25" spans="2:12">
      <c r="C25" s="200"/>
      <c r="E25" s="45"/>
      <c r="J25" s="41"/>
      <c r="K25" s="41"/>
    </row>
    <row r="26" spans="2:12" ht="12.75" customHeight="1">
      <c r="J26" s="93"/>
      <c r="K26" s="94"/>
    </row>
    <row r="27" spans="2:12">
      <c r="J27" s="95"/>
      <c r="K27" s="92"/>
    </row>
    <row r="28" spans="2:12">
      <c r="C28" s="44"/>
      <c r="J28" s="95"/>
      <c r="K28" s="92"/>
    </row>
    <row r="29" spans="2:12">
      <c r="C29" s="43"/>
      <c r="J29" s="95"/>
      <c r="K29" s="92"/>
    </row>
    <row r="30" spans="2:12">
      <c r="J30" s="41"/>
      <c r="K30" s="41"/>
    </row>
    <row r="31" spans="2:12" ht="12.75" customHeight="1">
      <c r="J31" s="42"/>
      <c r="K31" s="42"/>
    </row>
    <row r="32" spans="2:12">
      <c r="J32" s="42"/>
      <c r="K32" s="42"/>
    </row>
    <row r="33" spans="10:11">
      <c r="J33" s="41"/>
      <c r="K33" s="41"/>
    </row>
    <row r="34" spans="10:11">
      <c r="J34" s="41"/>
      <c r="K34" s="41"/>
    </row>
    <row r="35" spans="10:11">
      <c r="J35" s="41"/>
      <c r="K35" s="41"/>
    </row>
    <row r="36" spans="10:11">
      <c r="J36" s="41"/>
      <c r="K36" s="41"/>
    </row>
    <row r="37" spans="10:11">
      <c r="J37" s="41"/>
      <c r="K37" s="41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I21" sqref="I21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Febrero 2019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1" t="s">
        <v>37</v>
      </c>
      <c r="D7" s="68"/>
      <c r="E7" s="72"/>
    </row>
    <row r="8" spans="1:20" s="60" customFormat="1" ht="12.75" customHeight="1">
      <c r="A8" s="71"/>
      <c r="B8" s="70"/>
      <c r="C8" s="201"/>
      <c r="D8" s="68"/>
      <c r="E8" s="72"/>
      <c r="F8" s="67"/>
    </row>
    <row r="9" spans="1:20" s="60" customFormat="1" ht="12.75" customHeight="1">
      <c r="A9" s="71"/>
      <c r="B9" s="70"/>
      <c r="C9" s="201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220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s="60" customFormat="1" ht="12.75" customHeight="1">
      <c r="A21" s="71"/>
      <c r="B21" s="70"/>
      <c r="C21" s="69"/>
      <c r="D21" s="68"/>
      <c r="E21" s="68"/>
      <c r="F21" s="67"/>
    </row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61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1"/>
    </row>
    <row r="48" spans="5:5">
      <c r="E48" s="62"/>
    </row>
    <row r="49" spans="5:5">
      <c r="E49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H28" sqref="H28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Febrero 2019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0" t="s">
        <v>40</v>
      </c>
      <c r="D7" s="48"/>
      <c r="E7" s="52"/>
    </row>
    <row r="8" spans="2:12" s="42" customFormat="1" ht="12.75" customHeight="1">
      <c r="B8" s="50"/>
      <c r="C8" s="200"/>
      <c r="D8" s="48"/>
      <c r="E8" s="52"/>
      <c r="F8" s="56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F9" s="56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F10" s="56"/>
      <c r="J10" s="41"/>
      <c r="K10" s="95"/>
      <c r="L10" s="92"/>
    </row>
    <row r="11" spans="2:12" s="42" customFormat="1" ht="12.75" customHeight="1">
      <c r="B11" s="50"/>
      <c r="D11" s="48"/>
      <c r="E11" s="48"/>
      <c r="F11" s="56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F12" s="56"/>
      <c r="J12" s="41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  <c r="F14" s="186"/>
    </row>
    <row r="15" spans="2:12" s="42" customFormat="1" ht="12.75" customHeight="1">
      <c r="B15" s="50"/>
      <c r="C15" s="51"/>
      <c r="D15" s="48"/>
      <c r="E15" s="48"/>
      <c r="F15" s="56"/>
    </row>
    <row r="16" spans="2:12" s="42" customFormat="1" ht="12.75" customHeight="1">
      <c r="B16" s="50"/>
      <c r="D16" s="48"/>
      <c r="E16" s="48"/>
      <c r="F16" s="56"/>
      <c r="J16" s="41"/>
      <c r="K16" s="41"/>
      <c r="L16" s="41"/>
    </row>
    <row r="17" spans="2:12" s="42" customFormat="1" ht="12.75" customHeight="1">
      <c r="B17" s="50"/>
      <c r="D17" s="48"/>
      <c r="E17" s="48"/>
      <c r="F17" s="56"/>
      <c r="J17" s="41"/>
      <c r="K17" s="41"/>
      <c r="L17" s="41"/>
    </row>
    <row r="18" spans="2:12" s="42" customFormat="1" ht="12.75" customHeight="1">
      <c r="B18" s="50"/>
      <c r="D18" s="48"/>
      <c r="E18" s="48"/>
      <c r="F18" s="221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F19" s="56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F20" s="56"/>
      <c r="J20" s="41"/>
      <c r="K20" s="41"/>
    </row>
    <row r="21" spans="2:12" s="42" customFormat="1" ht="12.75" customHeight="1">
      <c r="B21" s="50"/>
      <c r="C21" s="49"/>
      <c r="D21" s="48"/>
      <c r="E21" s="48"/>
      <c r="F21" s="56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 ht="12.75" customHeight="1">
      <c r="C24" s="200" t="s">
        <v>54</v>
      </c>
      <c r="E24" s="46"/>
      <c r="J24" s="42"/>
      <c r="K24" s="42"/>
    </row>
    <row r="25" spans="2:12">
      <c r="C25" s="200"/>
      <c r="E25" s="45"/>
      <c r="J25" s="41"/>
      <c r="K25" s="41"/>
    </row>
    <row r="26" spans="2:12" ht="12.75" customHeight="1">
      <c r="C26" s="44"/>
      <c r="J26" s="93"/>
      <c r="K26" s="94"/>
    </row>
    <row r="27" spans="2:12">
      <c r="C27" s="78"/>
      <c r="J27" s="95"/>
      <c r="K27" s="92"/>
    </row>
    <row r="28" spans="2:12">
      <c r="C28" s="78"/>
      <c r="F28" s="56"/>
      <c r="J28" s="95"/>
      <c r="K28" s="92"/>
    </row>
    <row r="29" spans="2:12">
      <c r="C29" s="43"/>
      <c r="F29" s="56"/>
      <c r="J29" s="42"/>
      <c r="K29" s="42"/>
    </row>
    <row r="30" spans="2:12">
      <c r="F30" s="56"/>
      <c r="J30" s="41"/>
      <c r="K30" s="41"/>
    </row>
    <row r="31" spans="2:12">
      <c r="F31" s="56"/>
      <c r="J31" s="42"/>
      <c r="K31" s="42"/>
    </row>
    <row r="32" spans="2:12">
      <c r="F32" s="56"/>
      <c r="J32" s="42"/>
      <c r="K32" s="42"/>
    </row>
    <row r="33" spans="6:11">
      <c r="F33" s="56"/>
      <c r="J33" s="41"/>
      <c r="K33" s="41"/>
    </row>
    <row r="34" spans="6:11">
      <c r="F34" s="56"/>
      <c r="J34" s="41"/>
      <c r="K34" s="41"/>
    </row>
    <row r="35" spans="6:11">
      <c r="F35" s="56"/>
      <c r="J35" s="41"/>
      <c r="K35" s="41"/>
    </row>
    <row r="36" spans="6:11">
      <c r="F36" s="56"/>
      <c r="J36" s="41"/>
      <c r="K36" s="41"/>
    </row>
    <row r="37" spans="6:11">
      <c r="F37" s="56"/>
    </row>
    <row r="38" spans="6:11">
      <c r="F38" s="56"/>
    </row>
    <row r="39" spans="6:11">
      <c r="F39" s="56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L26" sqref="L26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Febrero 2019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1" t="s">
        <v>41</v>
      </c>
      <c r="D7" s="68"/>
      <c r="E7" s="72"/>
    </row>
    <row r="8" spans="1:20" s="60" customFormat="1" ht="12.75" customHeight="1">
      <c r="A8" s="71"/>
      <c r="B8" s="70"/>
      <c r="C8" s="201"/>
      <c r="D8" s="68"/>
      <c r="E8" s="72"/>
      <c r="F8" s="67"/>
    </row>
    <row r="9" spans="1:20" s="60" customFormat="1" ht="12.75" customHeight="1">
      <c r="A9" s="71"/>
      <c r="B9" s="70"/>
      <c r="C9" s="201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220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ht="12.75" customHeight="1"/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59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1"/>
    </row>
    <row r="46" spans="5:5">
      <c r="E46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Data 1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2019-03-12T13:22:04Z</dcterms:modified>
</cp:coreProperties>
</file>