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ENE\INF_ELABORADA\"/>
    </mc:Choice>
  </mc:AlternateContent>
  <xr:revisionPtr revIDLastSave="0" documentId="13_ncr:1_{DAD0CE75-7990-460F-AB5F-C58D73A372F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Dat_01!$A$85:$P$112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18" l="1"/>
  <c r="K18" i="22" l="1"/>
  <c r="K20" i="22"/>
  <c r="M12" i="22" l="1"/>
  <c r="I13" i="22"/>
  <c r="I9" i="22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47" i="18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15" i="22" l="1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<sst xmlns="http://schemas.openxmlformats.org/spreadsheetml/2006/main" count="421" uniqueCount="127">
  <si>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</si>
  <si>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</si>
  <si>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</si>
  <si>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</si>
  <si>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</si>
  <si>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</si>
  <si>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</si>
  <si>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</si>
  <si>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</si>
  <si>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</si>
  <si>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</si>
  <si>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</si>
  <si>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</si>
  <si>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</si>
  <si>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</si>
  <si>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</si>
  <si>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</si>
  <si>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</si>
  <si>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</si>
  <si>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</si>
  <si>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</si>
  <si>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</si>
  <si>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</si>
  <si>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</si>
  <si>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</si>
  <si>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</si>
  <si>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</si>
  <si>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</si>
  <si>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</si>
  <si>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</si>
  <si>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</si>
  <si>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</si>
  <si>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</si>
  <si>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</si>
  <si>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</si>
  <si>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</si>
  <si>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</si>
  <si>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</si>
  <si>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</si>
  <si>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</si>
  <si>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</si>
  <si>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</si>
  <si>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</si>
  <si>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</si>
  <si>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</si>
  <si>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</si>
  <si>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</si>
  <si>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</si>
  <si>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</si>
  <si>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</si>
  <si>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</si>
  <si>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</si>
  <si>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</si>
  <si>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</si>
  <si>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</si>
  <si>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</si>
  <si>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</si>
  <si>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</si>
  <si>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</si>
  <si>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</si>
  <si>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</si>
  <si>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</si>
  <si>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</si>
  <si>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</si>
  <si>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</si>
  <si>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</si>
  <si>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</si>
  <si>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</si>
  <si>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</si>
  <si>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</si>
  <si>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</si>
  <si>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</si>
  <si>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</si>
  <si>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</si>
  <si>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</si>
  <si>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</si>
  <si>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</si>
  <si>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</si>
  <si>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</si>
  <si>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</si>
  <si>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</si>
  <si>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</si>
  <si>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</si>
  <si>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</si>
  <si>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</si>
  <si>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</si>
  <si>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</si>
  <si>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</si>
  <si>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</si>
  <si>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</si>
  <si>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</si>
  <si>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</si>
  <si>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</si>
  <si>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</si>
  <si>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</si>
  <si>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</si>
  <si>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</si>
  <si>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</si>
  <si>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</si>
  <si>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</si>
  <si>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</si>
  <si>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</si>
  <si>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</si>
  <si>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</si>
  <si>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</si>
  <si>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</si>
  <si>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</si>
  <si>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</si>
  <si>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</si>
  <si>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</si>
  <si>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</si>
  <si>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</si>
  <si>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</si>
  <si>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</si>
  <si>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</si>
  <si>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</si>
  <si>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</si>
  <si>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</si>
  <si>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</si>
  <si>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31/01/2021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</si>
  <si>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ut="02/09/2021 10:10:38" si="2.0000000110a44856eb6eecdd41d56c76550836a195820e2c9cd7d28e81f95a0748a7a5e0cd934173ea4eb09a3ccbc07f684532b76c2e37ba7b92e870f32c56f08903bdc940fb153a7085de6118c6ea04574474b870f0267aef2051e88efb7d6ddc4f859c8f50b941cc96b2ec3cf54d86c50087e765bc9ea15194118278554b43362f.3082.0.1.Europe/Madrid.upriv*_1*_pidn2*_1*_session*-lat*_1.000000014d749cd6f73a7ea301f2ae31c47498cbbc6025e0d7f94f89da7bf08a7c5085a69686a8f2617bb17770527250a44ba7c1c64474d4.0000000109ad98c861a4d2305b44cbcfa9b3805abc6025e00df5a1af3cbe5869e17a2c9e627bb59328f6a720607693526652477f4ae4d82e.0.1.1.BDEbi.D066E1C611E6257C10D00080EF253B44.0-3082.1.1_-0.1.0_-3082.1.1_5.5.0.*0.00000001ca9d0e6d4f02655dcdc2709829fc0531c911585a7a176864f3428b78882fea23c9e0480a.0.10*.131*.122*.122.23.10*.4*.0400*.0074J.e.000000010c7587e41b9cdc4b459355bbebdc354dc911585a7a4f92d3ab48c07df7ba4d78b5a01699.0" msgID="0A6A338C11EB6ABF8FA00080EF35047D"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</si>
  <si>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ut="02/09/2021 10:16:28" si="2.0000000110a44856eb6eecdd41d56c76550836a195820e2c9cd7d28e81f95a0748a7a5e0cd934173ea4eb09a3ccbc07f684532b76c2e37ba7b92e870f32c56f08903bdc940fb153a7085de6118c6ea04574474b870f0267aef2051e88efb7d6ddc4f859c8f50b941cc96b2ec3cf54d86c50087e765bc9ea15194118278554b43362f.3082.0.1.Europe/Madrid.upriv*_1*_pidn2*_1*_session*-lat*_1.000000014d749cd6f73a7ea301f2ae31c47498cbbc6025e0d7f94f89da7bf08a7c5085a69686a8f2617bb17770527250a44ba7c1c64474d4.0000000109ad98c861a4d2305b44cbcfa9b3805abc6025e00df5a1af3cbe5869e17a2c9e627bb59328f6a720607693526652477f4ae4d82e.0.1.1.BDEbi.D066E1C611E6257C10D00080EF253B44.0-3082.1.1_-0.1.0_-3082.1.1_5.5.0.*0.00000001ca9d0e6d4f02655dcdc2709829fc0531c911585a7a176864f3428b78882fea23c9e0480a.0.10*.131*.122*.122.23.10*.4*.0400*.0074J.e.000000010c7587e41b9cdc4b459355bbebdc354dc911585a7a4f92d3ab48c07df7ba4d78b5a01699.0" msgID="2B69012711EB6ABF8FA00080EF85A580"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nrr="765" nrc="1440"&gt;&lt;pg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</si>
  <si>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Febrero 2021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</si>
  <si>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ut="02/09/2021 10:51:14" si="2.0000000110a44856eb6eecdd41d56c76550836a195820e2c9cd7d28e81f95a0748a7a5e0cd934173ea4eb09a3ccbc07f684532b76c2e37ba7b92e870f32c56f08903bdc940fb153a7085de6118c6ea04574474b870f0267aef2051e88efb7d6ddc4f859c8f50b941cc96b2ec3cf54d86c50087e765bc9ea15194118278554b43362f.3082.0.1.Europe/Madrid.upriv*_1*_pidn2*_1*_session*-lat*_1.000000014d749cd6f73a7ea301f2ae31c47498cbbc6025e0d7f94f89da7bf08a7c5085a69686a8f2617bb17770527250a44ba7c1c64474d4.0000000109ad98c861a4d2305b44cbcfa9b3805abc6025e00df5a1af3cbe5869e17a2c9e627bb59328f6a720607693526652477f4ae4d82e.0.1.1.BDEbi.D066E1C611E6257C10D00080EF253B44.0-3082.1.1_-0.1.0_-3082.1.1_5.5.0.*0.00000001ca9d0e6d4f02655dcdc2709829fc0531c911585a7a176864f3428b78882fea23c9e0480a.0.10*.131*.122*.122.23.10*.4*.0400*.0074J.e.000000010c7587e41b9cdc4b459355bbebdc354dc911585a7a4f92d3ab48c07df7ba4d78b5a01699.0" msgID="38640B0B11EB6AC48FA00080EFB5037C"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cols="16" /&gt;&lt;esdo ews="" ece="" ptn="" /&gt;&lt;/excel&gt;&lt;pgs&gt;&lt;pg rows="25" cols="14" nrr="1077" nrc="851"&gt;&lt;pg /&gt;&lt;bls&gt;&lt;bl sr="1" sc="1" rfetch="25" cfetch="14" posid="1" darows="0" dacols="1"&gt;&lt;excel&gt;&lt;epo ews="Dat_01" ece="A85" enr="MSTR.Serie_Balance_B.C._Mensual_Baleares_y_Canarias" ptn="" qtn="" rows="28" cols="16" /&gt;&lt;esdo ews="" ece="" ptn="" /&gt;&lt;/excel&gt;&lt;gridRng&gt;&lt;sect id="TITLE_AREA" rngprop="1:1:3:2" /&gt;&lt;sect id="ROWHEADERS_AREA" rngprop="4:1:25:2" /&gt;&lt;sect id="COLUMNHEADERS_AREA" rngprop="1:3:3:14" /&gt;&lt;sect id="DATA_AREA" rngprop="4:3:25:14"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</si>
  <si>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ut="02/09/2021 10:59:47" si="2.000000012ec87324ac30c7c724e5ad9e373a5a7195b13166d9fd3420aa414ee33d423d67d30e7ca3d3b5c1e5d23550fbe754a6d8c452cdf943006facff1ff03c78419d220c4e2cffb0ffd70f6f1825aeddd688ce7c6c48a56816704003fd3a8c4d3de061a0e7fc86d2caedc0f50a7998a9e44f06ba59db36a21447773f76bf48543e.3082.0.1.Europe/Madrid.upriv*_1*_pidn2*_1*_session*-lat*_1.0000000153e6f4053e82166d606ea8c3d407919fbc6025e03552878f931355311d99538f4f31cf8b1a0490e26ffa7c50fc892413139c871f.000000016e9f9772bb62f57ba9cc97cdef3298a0bc6025e0da0003196b9c7fdbd205a1a919f57a33354fc4e4961730759dececa287ecf736.0.1.1.BDEbi.D066E1C611E6257C10D00080EF253B44.0-3082.1.1_-0.1.0_-3082.1.1_5.5.0.*0.00000001e79cc6050ea26c2347964c8e74126148c911585aa8b3584fce483e2575a912cfff67b276.0.10*.131*.122*.122.23.10*.4*.0400*.0074J.e.000000014722b7900692c85e1b3382d03f8b0bdcc911585ab215225af777716b2b5abda6d675d20f.0" msgID="E4BC67D411EB6AC58FA00080EF85A37C"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nrr="19" nrc="240"&gt;&lt;pg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</si>
  <si>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5a345239bed84abbb961c445f70a4875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</si>
  <si>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ut="02/09/2021 11:02:23" si="2.000000012ec87324ac30c7c724e5ad9e373a5a7195b13166d9fd3420aa414ee33d423d67d30e7ca3d3b5c1e5d23550fbe754a6d8c452cdf943006facff1ff03c78419d220c4e2cffb0ffd70f6f1825aeddd688ce7c6c48a56816704003fd3a8c4d3de061a0e7fc86d2caedc0f50a7998a9e44f06ba59db36a21447773f76bf48543e.3082.0.1.Europe/Madrid.upriv*_1*_pidn2*_1*_session*-lat*_1.0000000153e6f4053e82166d606ea8c3d407919fbc6025e03552878f931355311d99538f4f31cf8b1a0490e26ffa7c50fc892413139c871f.000000016e9f9772bb62f57ba9cc97cdef3298a0bc6025e0da0003196b9c7fdbd205a1a919f57a33354fc4e4961730759dececa287ecf736.0.1.1.BDEbi.D066E1C611E6257C10D00080EF253B44.0-3082.1.1_-0.1.0_-3082.1.1_5.5.0.*0.00000001e79cc6050ea26c2347964c8e74126148c911585aa8b3584fce483e2575a912cfff67b276.0.10*.131*.122*.122.23.10*.4*.0400*.0074J.e.000000014722b7900692c85e1b3382d03f8b0bdcc911585ab215225af777716b2b5abda6d675d20f.0" msgID="435A643111EB6AC68FA00080EF05A47D"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nrr="25" nrc="312"&gt;&lt;pg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</si>
</sst>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rgb="FFF5F5F5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8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4" fontId="34" fillId="5" borderId="10" xfId="16" applyNumberFormat="1" applyAlignment="1">
      <alignment horizontal="right" vertical="center"/>
    </xf>
    <xf numFmtId="3" fontId="32" fillId="6" borderId="10" xfId="13" applyNumberFormat="1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0" fontId="44" fillId="0" borderId="0" xfId="0" applyFont="1"/>
    <xf numFmtId="168" fontId="50" fillId="0" borderId="0" xfId="0" applyNumberFormat="1" applyFont="1"/>
    <xf numFmtId="0" fontId="50" fillId="0" borderId="0" xfId="0" applyFont="1"/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24390243902439024"/>
                  <c:y val="-9.8825459317585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8861788617886166"/>
                  <c:y val="-3.0065423807318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5840407144228925"/>
                  <c:y val="-0.157352941176470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7412931310415466"/>
                  <c:y val="0.216176470588235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0487804878048779"/>
                  <c:y val="8.76972363748649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2326854874847962"/>
                  <c:y val="-3.48313262312799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16260162601626016"/>
                  <c:y val="-0.1372549019607843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008130081300813"/>
                  <c:y val="-0.23896209664968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3089430894308943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5.7699777966934036</c:v>
                </c:pt>
                <c:pt idx="2">
                  <c:v>3.9338873765431819</c:v>
                </c:pt>
                <c:pt idx="3">
                  <c:v>55.218100586646166</c:v>
                </c:pt>
                <c:pt idx="4">
                  <c:v>0</c:v>
                </c:pt>
                <c:pt idx="5">
                  <c:v>0.86261146314645465</c:v>
                </c:pt>
                <c:pt idx="6">
                  <c:v>1.51723464901183</c:v>
                </c:pt>
                <c:pt idx="7">
                  <c:v>1.51723464901183</c:v>
                </c:pt>
                <c:pt idx="8">
                  <c:v>5.897133091402855E-2</c:v>
                </c:pt>
                <c:pt idx="9">
                  <c:v>1.779167448909873</c:v>
                </c:pt>
                <c:pt idx="10">
                  <c:v>1.2253455170657774E-2</c:v>
                </c:pt>
                <c:pt idx="11">
                  <c:v>29.330561243952552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6.8627450980392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9268292682926828"/>
                  <c:y val="0.26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991869918699187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23902451827667887"/>
                  <c:y val="-0.14297020317313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0580903949506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11.827195697489802</c:v>
                </c:pt>
                <c:pt idx="1">
                  <c:v>6.8354522397598618</c:v>
                </c:pt>
                <c:pt idx="2">
                  <c:v>29.685672783003014</c:v>
                </c:pt>
                <c:pt idx="3">
                  <c:v>42.069413551664084</c:v>
                </c:pt>
                <c:pt idx="4">
                  <c:v>0</c:v>
                </c:pt>
                <c:pt idx="5">
                  <c:v>0.56502809296092449</c:v>
                </c:pt>
                <c:pt idx="6">
                  <c:v>1.8339018204233777</c:v>
                </c:pt>
                <c:pt idx="7">
                  <c:v>1.8339018204233777</c:v>
                </c:pt>
                <c:pt idx="8">
                  <c:v>0.17836411421898446</c:v>
                </c:pt>
                <c:pt idx="9">
                  <c:v>5.0666257389468869</c:v>
                </c:pt>
                <c:pt idx="10">
                  <c:v>0.10444414110967364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ene.-20</c:v>
                </c:pt>
                <c:pt idx="1">
                  <c:v>feb.-20</c:v>
                </c:pt>
                <c:pt idx="2">
                  <c:v>mar.-20</c:v>
                </c:pt>
                <c:pt idx="3">
                  <c:v>abr.-20</c:v>
                </c:pt>
                <c:pt idx="4">
                  <c:v>may.-20</c:v>
                </c:pt>
                <c:pt idx="5">
                  <c:v>jun.-20</c:v>
                </c:pt>
                <c:pt idx="6">
                  <c:v>jul.-20</c:v>
                </c:pt>
                <c:pt idx="7">
                  <c:v>ago.-20</c:v>
                </c:pt>
                <c:pt idx="8">
                  <c:v>sep.-20</c:v>
                </c:pt>
                <c:pt idx="9">
                  <c:v>oct.-20</c:v>
                </c:pt>
                <c:pt idx="10">
                  <c:v>nov.-20</c:v>
                </c:pt>
                <c:pt idx="11">
                  <c:v>dic.-20</c:v>
                </c:pt>
                <c:pt idx="12">
                  <c:v>ene.-21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-3.1773479999999998</c:v>
                </c:pt>
                <c:pt idx="1">
                  <c:v>-1.357415</c:v>
                </c:pt>
                <c:pt idx="2">
                  <c:v>-1.701627</c:v>
                </c:pt>
                <c:pt idx="3">
                  <c:v>-1.684266</c:v>
                </c:pt>
                <c:pt idx="4">
                  <c:v>-1.8020959999999999</c:v>
                </c:pt>
                <c:pt idx="5">
                  <c:v>-1.2808299999999999</c:v>
                </c:pt>
                <c:pt idx="6">
                  <c:v>-1.119569</c:v>
                </c:pt>
                <c:pt idx="7">
                  <c:v>-1.1268309999999999</c:v>
                </c:pt>
                <c:pt idx="8">
                  <c:v>68.615076999999999</c:v>
                </c:pt>
                <c:pt idx="9">
                  <c:v>69.531803999999994</c:v>
                </c:pt>
                <c:pt idx="10">
                  <c:v>18.689830000000001</c:v>
                </c:pt>
                <c:pt idx="11">
                  <c:v>78.075038000000006</c:v>
                </c:pt>
                <c:pt idx="12">
                  <c:v>-0.63269200000000003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ene.-20</c:v>
                </c:pt>
                <c:pt idx="1">
                  <c:v>feb.-20</c:v>
                </c:pt>
                <c:pt idx="2">
                  <c:v>mar.-20</c:v>
                </c:pt>
                <c:pt idx="3">
                  <c:v>abr.-20</c:v>
                </c:pt>
                <c:pt idx="4">
                  <c:v>may.-20</c:v>
                </c:pt>
                <c:pt idx="5">
                  <c:v>jun.-20</c:v>
                </c:pt>
                <c:pt idx="6">
                  <c:v>jul.-20</c:v>
                </c:pt>
                <c:pt idx="7">
                  <c:v>ago.-20</c:v>
                </c:pt>
                <c:pt idx="8">
                  <c:v>sep.-20</c:v>
                </c:pt>
                <c:pt idx="9">
                  <c:v>oct.-20</c:v>
                </c:pt>
                <c:pt idx="10">
                  <c:v>nov.-20</c:v>
                </c:pt>
                <c:pt idx="11">
                  <c:v>dic.-20</c:v>
                </c:pt>
                <c:pt idx="12">
                  <c:v>ene.-21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46.988411999999997</c:v>
                </c:pt>
                <c:pt idx="1">
                  <c:v>37.597881999999998</c:v>
                </c:pt>
                <c:pt idx="2">
                  <c:v>34.745249000000001</c:v>
                </c:pt>
                <c:pt idx="3">
                  <c:v>28.608295999999999</c:v>
                </c:pt>
                <c:pt idx="4">
                  <c:v>29.693214999999999</c:v>
                </c:pt>
                <c:pt idx="5">
                  <c:v>33.872518999999997</c:v>
                </c:pt>
                <c:pt idx="6">
                  <c:v>66.275554999999997</c:v>
                </c:pt>
                <c:pt idx="7">
                  <c:v>87.959547999999984</c:v>
                </c:pt>
                <c:pt idx="8">
                  <c:v>41.727269</c:v>
                </c:pt>
                <c:pt idx="9">
                  <c:v>26.56035</c:v>
                </c:pt>
                <c:pt idx="10">
                  <c:v>29.083095999999998</c:v>
                </c:pt>
                <c:pt idx="11">
                  <c:v>33.649616000000002</c:v>
                </c:pt>
                <c:pt idx="12">
                  <c:v>45.739437000000002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ene.-20</c:v>
                </c:pt>
                <c:pt idx="1">
                  <c:v>feb.-20</c:v>
                </c:pt>
                <c:pt idx="2">
                  <c:v>mar.-20</c:v>
                </c:pt>
                <c:pt idx="3">
                  <c:v>abr.-20</c:v>
                </c:pt>
                <c:pt idx="4">
                  <c:v>may.-20</c:v>
                </c:pt>
                <c:pt idx="5">
                  <c:v>jun.-20</c:v>
                </c:pt>
                <c:pt idx="6">
                  <c:v>jul.-20</c:v>
                </c:pt>
                <c:pt idx="7">
                  <c:v>ago.-20</c:v>
                </c:pt>
                <c:pt idx="8">
                  <c:v>sep.-20</c:v>
                </c:pt>
                <c:pt idx="9">
                  <c:v>oct.-20</c:v>
                </c:pt>
                <c:pt idx="10">
                  <c:v>nov.-20</c:v>
                </c:pt>
                <c:pt idx="11">
                  <c:v>dic.-20</c:v>
                </c:pt>
                <c:pt idx="12">
                  <c:v>ene.-21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247.42845600000001</c:v>
                </c:pt>
                <c:pt idx="1">
                  <c:v>226.17381</c:v>
                </c:pt>
                <c:pt idx="2">
                  <c:v>223.68827999999999</c:v>
                </c:pt>
                <c:pt idx="3">
                  <c:v>190.73178300000001</c:v>
                </c:pt>
                <c:pt idx="4">
                  <c:v>192.66073600000001</c:v>
                </c:pt>
                <c:pt idx="5">
                  <c:v>191.22599500000001</c:v>
                </c:pt>
                <c:pt idx="6">
                  <c:v>258.52646600000003</c:v>
                </c:pt>
                <c:pt idx="7">
                  <c:v>260.88770599999998</c:v>
                </c:pt>
                <c:pt idx="8">
                  <c:v>135.30891800000001</c:v>
                </c:pt>
                <c:pt idx="9">
                  <c:v>141.13588200000001</c:v>
                </c:pt>
                <c:pt idx="10">
                  <c:v>185.01504499999999</c:v>
                </c:pt>
                <c:pt idx="11">
                  <c:v>159.35356899999999</c:v>
                </c:pt>
                <c:pt idx="12">
                  <c:v>260.27204499999999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ene.-20</c:v>
                </c:pt>
                <c:pt idx="1">
                  <c:v>feb.-20</c:v>
                </c:pt>
                <c:pt idx="2">
                  <c:v>mar.-20</c:v>
                </c:pt>
                <c:pt idx="3">
                  <c:v>abr.-20</c:v>
                </c:pt>
                <c:pt idx="4">
                  <c:v>may.-20</c:v>
                </c:pt>
                <c:pt idx="5">
                  <c:v>jun.-20</c:v>
                </c:pt>
                <c:pt idx="6">
                  <c:v>jul.-20</c:v>
                </c:pt>
                <c:pt idx="7">
                  <c:v>ago.-20</c:v>
                </c:pt>
                <c:pt idx="8">
                  <c:v>sep.-20</c:v>
                </c:pt>
                <c:pt idx="9">
                  <c:v>oct.-20</c:v>
                </c:pt>
                <c:pt idx="10">
                  <c:v>nov.-20</c:v>
                </c:pt>
                <c:pt idx="11">
                  <c:v>dic.-20</c:v>
                </c:pt>
                <c:pt idx="12">
                  <c:v>ene.-21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0.37082599999999999</c:v>
                </c:pt>
                <c:pt idx="1">
                  <c:v>0.33927600000000002</c:v>
                </c:pt>
                <c:pt idx="2">
                  <c:v>0.53315400000000002</c:v>
                </c:pt>
                <c:pt idx="3">
                  <c:v>0.24332000000000001</c:v>
                </c:pt>
                <c:pt idx="4">
                  <c:v>0.35256199999999999</c:v>
                </c:pt>
                <c:pt idx="5">
                  <c:v>0.21834000000000001</c:v>
                </c:pt>
                <c:pt idx="6">
                  <c:v>0.22134999999999999</c:v>
                </c:pt>
                <c:pt idx="7">
                  <c:v>0.20865500000000001</c:v>
                </c:pt>
                <c:pt idx="8">
                  <c:v>0.189775</c:v>
                </c:pt>
                <c:pt idx="9">
                  <c:v>0.32789299999999999</c:v>
                </c:pt>
                <c:pt idx="10">
                  <c:v>0.34884399999999999</c:v>
                </c:pt>
                <c:pt idx="11">
                  <c:v>0.28645399999999999</c:v>
                </c:pt>
                <c:pt idx="12">
                  <c:v>0.27796300000000002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ene.-20</c:v>
                </c:pt>
                <c:pt idx="1">
                  <c:v>feb.-20</c:v>
                </c:pt>
                <c:pt idx="2">
                  <c:v>mar.-20</c:v>
                </c:pt>
                <c:pt idx="3">
                  <c:v>abr.-20</c:v>
                </c:pt>
                <c:pt idx="4">
                  <c:v>may.-20</c:v>
                </c:pt>
                <c:pt idx="5">
                  <c:v>jun.-20</c:v>
                </c:pt>
                <c:pt idx="6">
                  <c:v>jul.-20</c:v>
                </c:pt>
                <c:pt idx="7">
                  <c:v>ago.-20</c:v>
                </c:pt>
                <c:pt idx="8">
                  <c:v>sep.-20</c:v>
                </c:pt>
                <c:pt idx="9">
                  <c:v>oct.-20</c:v>
                </c:pt>
                <c:pt idx="10">
                  <c:v>nov.-20</c:v>
                </c:pt>
                <c:pt idx="11">
                  <c:v>dic.-20</c:v>
                </c:pt>
                <c:pt idx="12">
                  <c:v>ene.-21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5.9343859999999999</c:v>
                </c:pt>
                <c:pt idx="1">
                  <c:v>8.7361280000000008</c:v>
                </c:pt>
                <c:pt idx="2">
                  <c:v>9.2030049999999992</c:v>
                </c:pt>
                <c:pt idx="3">
                  <c:v>10.826313000000001</c:v>
                </c:pt>
                <c:pt idx="4">
                  <c:v>12.901484</c:v>
                </c:pt>
                <c:pt idx="5">
                  <c:v>12.233309</c:v>
                </c:pt>
                <c:pt idx="6">
                  <c:v>12.746891</c:v>
                </c:pt>
                <c:pt idx="7">
                  <c:v>12.07002</c:v>
                </c:pt>
                <c:pt idx="8">
                  <c:v>10.538423999999999</c:v>
                </c:pt>
                <c:pt idx="9">
                  <c:v>9.6292899999999992</c:v>
                </c:pt>
                <c:pt idx="10">
                  <c:v>6.7451980000000002</c:v>
                </c:pt>
                <c:pt idx="11">
                  <c:v>6.6944910000000002</c:v>
                </c:pt>
                <c:pt idx="12">
                  <c:v>8.3861550000000005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ene.-20</c:v>
                </c:pt>
                <c:pt idx="1">
                  <c:v>feb.-20</c:v>
                </c:pt>
                <c:pt idx="2">
                  <c:v>mar.-20</c:v>
                </c:pt>
                <c:pt idx="3">
                  <c:v>abr.-20</c:v>
                </c:pt>
                <c:pt idx="4">
                  <c:v>may.-20</c:v>
                </c:pt>
                <c:pt idx="5">
                  <c:v>jun.-20</c:v>
                </c:pt>
                <c:pt idx="6">
                  <c:v>jul.-20</c:v>
                </c:pt>
                <c:pt idx="7">
                  <c:v>ago.-20</c:v>
                </c:pt>
                <c:pt idx="8">
                  <c:v>sep.-20</c:v>
                </c:pt>
                <c:pt idx="9">
                  <c:v>oct.-20</c:v>
                </c:pt>
                <c:pt idx="10">
                  <c:v>nov.-20</c:v>
                </c:pt>
                <c:pt idx="11">
                  <c:v>dic.-20</c:v>
                </c:pt>
                <c:pt idx="12">
                  <c:v>ene.-21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0.20147399999999999</c:v>
                </c:pt>
                <c:pt idx="1">
                  <c:v>8.1622E-2</c:v>
                </c:pt>
                <c:pt idx="2">
                  <c:v>2.6786999999999998E-2</c:v>
                </c:pt>
                <c:pt idx="3">
                  <c:v>1.5415999999999999E-2</c:v>
                </c:pt>
                <c:pt idx="4">
                  <c:v>2.3830000000000001E-3</c:v>
                </c:pt>
                <c:pt idx="5">
                  <c:v>5.9750999999999999E-2</c:v>
                </c:pt>
                <c:pt idx="6">
                  <c:v>5.2531000000000001E-2</c:v>
                </c:pt>
                <c:pt idx="7">
                  <c:v>5.0303E-2</c:v>
                </c:pt>
                <c:pt idx="8">
                  <c:v>2.81E-3</c:v>
                </c:pt>
                <c:pt idx="9">
                  <c:v>2.7317000000000001E-2</c:v>
                </c:pt>
                <c:pt idx="10">
                  <c:v>6.9145999999999999E-2</c:v>
                </c:pt>
                <c:pt idx="11">
                  <c:v>3.986E-2</c:v>
                </c:pt>
                <c:pt idx="12">
                  <c:v>5.7757000000000003E-2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ene.-20</c:v>
                </c:pt>
                <c:pt idx="1">
                  <c:v>feb.-20</c:v>
                </c:pt>
                <c:pt idx="2">
                  <c:v>mar.-20</c:v>
                </c:pt>
                <c:pt idx="3">
                  <c:v>abr.-20</c:v>
                </c:pt>
                <c:pt idx="4">
                  <c:v>may.-20</c:v>
                </c:pt>
                <c:pt idx="5">
                  <c:v>jun.-20</c:v>
                </c:pt>
                <c:pt idx="6">
                  <c:v>jul.-20</c:v>
                </c:pt>
                <c:pt idx="7">
                  <c:v>ago.-20</c:v>
                </c:pt>
                <c:pt idx="8">
                  <c:v>sep.-20</c:v>
                </c:pt>
                <c:pt idx="9">
                  <c:v>oct.-20</c:v>
                </c:pt>
                <c:pt idx="10">
                  <c:v>nov.-20</c:v>
                </c:pt>
                <c:pt idx="11">
                  <c:v>dic.-20</c:v>
                </c:pt>
                <c:pt idx="12">
                  <c:v>ene.-21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4.0380969999999996</c:v>
                </c:pt>
                <c:pt idx="1">
                  <c:v>3.7449910000000002</c:v>
                </c:pt>
                <c:pt idx="2">
                  <c:v>3.4759910000000001</c:v>
                </c:pt>
                <c:pt idx="3">
                  <c:v>2.759617</c:v>
                </c:pt>
                <c:pt idx="4">
                  <c:v>2.681413</c:v>
                </c:pt>
                <c:pt idx="5">
                  <c:v>2.5969359999999999</c:v>
                </c:pt>
                <c:pt idx="6">
                  <c:v>2.3319320000000001</c:v>
                </c:pt>
                <c:pt idx="7">
                  <c:v>1.922374</c:v>
                </c:pt>
                <c:pt idx="8">
                  <c:v>2.047806</c:v>
                </c:pt>
                <c:pt idx="9">
                  <c:v>2.3333560000000002</c:v>
                </c:pt>
                <c:pt idx="10">
                  <c:v>2.521382</c:v>
                </c:pt>
                <c:pt idx="11">
                  <c:v>3.3692880000000001</c:v>
                </c:pt>
                <c:pt idx="12">
                  <c:v>4.0659429999999999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ene.-20</c:v>
                </c:pt>
                <c:pt idx="1">
                  <c:v>feb.-20</c:v>
                </c:pt>
                <c:pt idx="2">
                  <c:v>mar.-20</c:v>
                </c:pt>
                <c:pt idx="3">
                  <c:v>abr.-20</c:v>
                </c:pt>
                <c:pt idx="4">
                  <c:v>may.-20</c:v>
                </c:pt>
                <c:pt idx="5">
                  <c:v>jun.-20</c:v>
                </c:pt>
                <c:pt idx="6">
                  <c:v>jul.-20</c:v>
                </c:pt>
                <c:pt idx="7">
                  <c:v>ago.-20</c:v>
                </c:pt>
                <c:pt idx="8">
                  <c:v>sep.-20</c:v>
                </c:pt>
                <c:pt idx="9">
                  <c:v>oct.-20</c:v>
                </c:pt>
                <c:pt idx="10">
                  <c:v>nov.-20</c:v>
                </c:pt>
                <c:pt idx="11">
                  <c:v>dic.-20</c:v>
                </c:pt>
                <c:pt idx="12">
                  <c:v>ene.-21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9.2619229999999995</c:v>
                </c:pt>
                <c:pt idx="1">
                  <c:v>6.0955329999999996</c:v>
                </c:pt>
                <c:pt idx="2">
                  <c:v>10.531687</c:v>
                </c:pt>
                <c:pt idx="3">
                  <c:v>4.8152900000000001</c:v>
                </c:pt>
                <c:pt idx="4">
                  <c:v>5.3655939999999998</c:v>
                </c:pt>
                <c:pt idx="5">
                  <c:v>14.316091999999999</c:v>
                </c:pt>
                <c:pt idx="6">
                  <c:v>10.772016499999999</c:v>
                </c:pt>
                <c:pt idx="7">
                  <c:v>10.810641499999999</c:v>
                </c:pt>
                <c:pt idx="8">
                  <c:v>14.376298</c:v>
                </c:pt>
                <c:pt idx="9">
                  <c:v>6.2382179999999998</c:v>
                </c:pt>
                <c:pt idx="10">
                  <c:v>12.812825</c:v>
                </c:pt>
                <c:pt idx="11">
                  <c:v>8.6052265000000006</c:v>
                </c:pt>
                <c:pt idx="12">
                  <c:v>7.1515275000000003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9.2619229999999995</c:v>
                </c:pt>
                <c:pt idx="1">
                  <c:v>6.0955329999999996</c:v>
                </c:pt>
                <c:pt idx="2">
                  <c:v>10.531687</c:v>
                </c:pt>
                <c:pt idx="3">
                  <c:v>4.8152900000000001</c:v>
                </c:pt>
                <c:pt idx="4">
                  <c:v>5.3655939999999998</c:v>
                </c:pt>
                <c:pt idx="5">
                  <c:v>14.316091999999999</c:v>
                </c:pt>
                <c:pt idx="6">
                  <c:v>10.772016499999999</c:v>
                </c:pt>
                <c:pt idx="7">
                  <c:v>10.810641499999999</c:v>
                </c:pt>
                <c:pt idx="8">
                  <c:v>14.376298</c:v>
                </c:pt>
                <c:pt idx="9">
                  <c:v>6.2382179999999998</c:v>
                </c:pt>
                <c:pt idx="10">
                  <c:v>12.812825</c:v>
                </c:pt>
                <c:pt idx="11">
                  <c:v>8.6052265000000006</c:v>
                </c:pt>
                <c:pt idx="12">
                  <c:v>7.1515275000000003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ene.-20</c:v>
                </c:pt>
                <c:pt idx="1">
                  <c:v>feb.-20</c:v>
                </c:pt>
                <c:pt idx="2">
                  <c:v>mar.-20</c:v>
                </c:pt>
                <c:pt idx="3">
                  <c:v>abr.-20</c:v>
                </c:pt>
                <c:pt idx="4">
                  <c:v>may.-20</c:v>
                </c:pt>
                <c:pt idx="5">
                  <c:v>jun.-20</c:v>
                </c:pt>
                <c:pt idx="6">
                  <c:v>jul.-20</c:v>
                </c:pt>
                <c:pt idx="7">
                  <c:v>ago.-20</c:v>
                </c:pt>
                <c:pt idx="8">
                  <c:v>sep.-20</c:v>
                </c:pt>
                <c:pt idx="9">
                  <c:v>oct.-20</c:v>
                </c:pt>
                <c:pt idx="10">
                  <c:v>nov.-20</c:v>
                </c:pt>
                <c:pt idx="11">
                  <c:v>dic.-20</c:v>
                </c:pt>
                <c:pt idx="12">
                  <c:v>ene.-21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136.155901</c:v>
                </c:pt>
                <c:pt idx="1">
                  <c:v>115.92849699999999</c:v>
                </c:pt>
                <c:pt idx="2">
                  <c:v>112.780382</c:v>
                </c:pt>
                <c:pt idx="3">
                  <c:v>80.581305999999998</c:v>
                </c:pt>
                <c:pt idx="4">
                  <c:v>79.946523999999997</c:v>
                </c:pt>
                <c:pt idx="5">
                  <c:v>93.289579000000003</c:v>
                </c:pt>
                <c:pt idx="6">
                  <c:v>168.331695</c:v>
                </c:pt>
                <c:pt idx="7">
                  <c:v>182.71595500000001</c:v>
                </c:pt>
                <c:pt idx="8">
                  <c:v>116.274961</c:v>
                </c:pt>
                <c:pt idx="9">
                  <c:v>105.943506</c:v>
                </c:pt>
                <c:pt idx="10">
                  <c:v>96.327618999999999</c:v>
                </c:pt>
                <c:pt idx="11">
                  <c:v>138.26159999999999</c:v>
                </c:pt>
                <c:pt idx="12">
                  <c:v>138.25041200000001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16.373329098208046</c:v>
                </c:pt>
                <c:pt idx="1">
                  <c:v>18.394572862106052</c:v>
                </c:pt>
                <c:pt idx="2">
                  <c:v>15.934875697610767</c:v>
                </c:pt>
                <c:pt idx="3">
                  <c:v>28.532487108145254</c:v>
                </c:pt>
                <c:pt idx="4">
                  <c:v>0</c:v>
                </c:pt>
                <c:pt idx="5">
                  <c:v>6.6692460030610287E-2</c:v>
                </c:pt>
                <c:pt idx="6">
                  <c:v>0.3760530295785402</c:v>
                </c:pt>
                <c:pt idx="7">
                  <c:v>14.682741268570719</c:v>
                </c:pt>
                <c:pt idx="8">
                  <c:v>5.5172210835355822</c:v>
                </c:pt>
                <c:pt idx="9">
                  <c:v>0.12202739221442357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211394917098778"/>
                  <c:y val="0.107843137254901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959349593495938"/>
                  <c:y val="-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6.9918827219768206E-2"/>
                  <c:y val="-0.169117647058823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5284552845528468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21.794251576804761</c:v>
                </c:pt>
                <c:pt idx="1">
                  <c:v>1.5695212378822094</c:v>
                </c:pt>
                <c:pt idx="2">
                  <c:v>17.967115046071264</c:v>
                </c:pt>
                <c:pt idx="3">
                  <c:v>43.365704817152675</c:v>
                </c:pt>
                <c:pt idx="4">
                  <c:v>0</c:v>
                </c:pt>
                <c:pt idx="5">
                  <c:v>4.5986380607906663E-2</c:v>
                </c:pt>
                <c:pt idx="6">
                  <c:v>0.15345789990744829</c:v>
                </c:pt>
                <c:pt idx="7">
                  <c:v>12.531824953802747</c:v>
                </c:pt>
                <c:pt idx="8">
                  <c:v>2.5167106400747286</c:v>
                </c:pt>
                <c:pt idx="9">
                  <c:v>5.5427447696265071E-2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ene.-20</c:v>
                </c:pt>
                <c:pt idx="1">
                  <c:v>feb.-20</c:v>
                </c:pt>
                <c:pt idx="2">
                  <c:v>mar.-20</c:v>
                </c:pt>
                <c:pt idx="3">
                  <c:v>abr.-20</c:v>
                </c:pt>
                <c:pt idx="4">
                  <c:v>may.-20</c:v>
                </c:pt>
                <c:pt idx="5">
                  <c:v>jun.-20</c:v>
                </c:pt>
                <c:pt idx="6">
                  <c:v>jul.-20</c:v>
                </c:pt>
                <c:pt idx="7">
                  <c:v>ago.-20</c:v>
                </c:pt>
                <c:pt idx="8">
                  <c:v>sep.-20</c:v>
                </c:pt>
                <c:pt idx="9">
                  <c:v>oct.-20</c:v>
                </c:pt>
                <c:pt idx="10">
                  <c:v>nov.-20</c:v>
                </c:pt>
                <c:pt idx="11">
                  <c:v>dic.-20</c:v>
                </c:pt>
                <c:pt idx="12">
                  <c:v>ene.-21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0.30431399999999997</c:v>
                </c:pt>
                <c:pt idx="1">
                  <c:v>0.26768999999999998</c:v>
                </c:pt>
                <c:pt idx="2">
                  <c:v>0.29931200000000002</c:v>
                </c:pt>
                <c:pt idx="3">
                  <c:v>0.288387</c:v>
                </c:pt>
                <c:pt idx="4">
                  <c:v>0.28846300000000002</c:v>
                </c:pt>
                <c:pt idx="5">
                  <c:v>0.27233299999999999</c:v>
                </c:pt>
                <c:pt idx="6">
                  <c:v>0.29030099999999998</c:v>
                </c:pt>
                <c:pt idx="7">
                  <c:v>0.29413899999999998</c:v>
                </c:pt>
                <c:pt idx="8">
                  <c:v>0.29165099999999999</c:v>
                </c:pt>
                <c:pt idx="9">
                  <c:v>0.299369</c:v>
                </c:pt>
                <c:pt idx="10">
                  <c:v>0.28527599999999997</c:v>
                </c:pt>
                <c:pt idx="11">
                  <c:v>0.29958099999999999</c:v>
                </c:pt>
                <c:pt idx="12">
                  <c:v>0.29762100000000002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ene.-20</c:v>
                </c:pt>
                <c:pt idx="1">
                  <c:v>feb.-20</c:v>
                </c:pt>
                <c:pt idx="2">
                  <c:v>mar.-20</c:v>
                </c:pt>
                <c:pt idx="3">
                  <c:v>abr.-20</c:v>
                </c:pt>
                <c:pt idx="4">
                  <c:v>may.-20</c:v>
                </c:pt>
                <c:pt idx="5">
                  <c:v>jun.-20</c:v>
                </c:pt>
                <c:pt idx="6">
                  <c:v>jul.-20</c:v>
                </c:pt>
                <c:pt idx="7">
                  <c:v>ago.-20</c:v>
                </c:pt>
                <c:pt idx="8">
                  <c:v>sep.-20</c:v>
                </c:pt>
                <c:pt idx="9">
                  <c:v>oct.-20</c:v>
                </c:pt>
                <c:pt idx="10">
                  <c:v>nov.-20</c:v>
                </c:pt>
                <c:pt idx="11">
                  <c:v>dic.-20</c:v>
                </c:pt>
                <c:pt idx="12">
                  <c:v>ene.-21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339.84719799999999</c:v>
                </c:pt>
                <c:pt idx="1">
                  <c:v>310.91712099999995</c:v>
                </c:pt>
                <c:pt idx="2">
                  <c:v>260.14058899999998</c:v>
                </c:pt>
                <c:pt idx="3">
                  <c:v>222.93640199999999</c:v>
                </c:pt>
                <c:pt idx="4">
                  <c:v>252.956976</c:v>
                </c:pt>
                <c:pt idx="5">
                  <c:v>214.832064</c:v>
                </c:pt>
                <c:pt idx="6">
                  <c:v>269.88695799999999</c:v>
                </c:pt>
                <c:pt idx="7">
                  <c:v>297.66067400000003</c:v>
                </c:pt>
                <c:pt idx="8">
                  <c:v>271.16308099999998</c:v>
                </c:pt>
                <c:pt idx="9">
                  <c:v>301.03426400000001</c:v>
                </c:pt>
                <c:pt idx="10">
                  <c:v>287.12516499999998</c:v>
                </c:pt>
                <c:pt idx="11">
                  <c:v>272.274542</c:v>
                </c:pt>
                <c:pt idx="12">
                  <c:v>267.49094000000002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ene.-20</c:v>
                </c:pt>
                <c:pt idx="1">
                  <c:v>feb.-20</c:v>
                </c:pt>
                <c:pt idx="2">
                  <c:v>mar.-20</c:v>
                </c:pt>
                <c:pt idx="3">
                  <c:v>abr.-20</c:v>
                </c:pt>
                <c:pt idx="4">
                  <c:v>may.-20</c:v>
                </c:pt>
                <c:pt idx="5">
                  <c:v>jun.-20</c:v>
                </c:pt>
                <c:pt idx="6">
                  <c:v>jul.-20</c:v>
                </c:pt>
                <c:pt idx="7">
                  <c:v>ago.-20</c:v>
                </c:pt>
                <c:pt idx="8">
                  <c:v>sep.-20</c:v>
                </c:pt>
                <c:pt idx="9">
                  <c:v>oct.-20</c:v>
                </c:pt>
                <c:pt idx="10">
                  <c:v>nov.-20</c:v>
                </c:pt>
                <c:pt idx="11">
                  <c:v>dic.-20</c:v>
                </c:pt>
                <c:pt idx="12">
                  <c:v>ene.-21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336.41169600000001</c:v>
                </c:pt>
                <c:pt idx="1">
                  <c:v>279.07848200000001</c:v>
                </c:pt>
                <c:pt idx="2">
                  <c:v>300.75480199999998</c:v>
                </c:pt>
                <c:pt idx="3">
                  <c:v>246.048203</c:v>
                </c:pt>
                <c:pt idx="4">
                  <c:v>229.928777</c:v>
                </c:pt>
                <c:pt idx="5">
                  <c:v>258.95318400000002</c:v>
                </c:pt>
                <c:pt idx="6">
                  <c:v>229.38776100000001</c:v>
                </c:pt>
                <c:pt idx="7">
                  <c:v>217.204814</c:v>
                </c:pt>
                <c:pt idx="8">
                  <c:v>297.07835399999999</c:v>
                </c:pt>
                <c:pt idx="9">
                  <c:v>252.83072899999999</c:v>
                </c:pt>
                <c:pt idx="10">
                  <c:v>292.22053799999998</c:v>
                </c:pt>
                <c:pt idx="11">
                  <c:v>314.37255499999998</c:v>
                </c:pt>
                <c:pt idx="12">
                  <c:v>280.66014899999999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ene.-20</c:v>
                </c:pt>
                <c:pt idx="1">
                  <c:v>feb.-20</c:v>
                </c:pt>
                <c:pt idx="2">
                  <c:v>mar.-20</c:v>
                </c:pt>
                <c:pt idx="3">
                  <c:v>abr.-20</c:v>
                </c:pt>
                <c:pt idx="4">
                  <c:v>may.-20</c:v>
                </c:pt>
                <c:pt idx="5">
                  <c:v>jun.-20</c:v>
                </c:pt>
                <c:pt idx="6">
                  <c:v>jul.-20</c:v>
                </c:pt>
                <c:pt idx="7">
                  <c:v>ago.-20</c:v>
                </c:pt>
                <c:pt idx="8">
                  <c:v>sep.-20</c:v>
                </c:pt>
                <c:pt idx="9">
                  <c:v>oct.-20</c:v>
                </c:pt>
                <c:pt idx="10">
                  <c:v>nov.-20</c:v>
                </c:pt>
                <c:pt idx="11">
                  <c:v>dic.-20</c:v>
                </c:pt>
                <c:pt idx="12">
                  <c:v>ene.-21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0.82455000000000001</c:v>
                </c:pt>
                <c:pt idx="1">
                  <c:v>1.3385149999999999</c:v>
                </c:pt>
                <c:pt idx="2">
                  <c:v>1.8236140000000001</c:v>
                </c:pt>
                <c:pt idx="3">
                  <c:v>0.99112500000000003</c:v>
                </c:pt>
                <c:pt idx="4">
                  <c:v>1.4427080000000001</c:v>
                </c:pt>
                <c:pt idx="5">
                  <c:v>0.74262799999999995</c:v>
                </c:pt>
                <c:pt idx="6">
                  <c:v>3.6524220000000001</c:v>
                </c:pt>
                <c:pt idx="7">
                  <c:v>3.5757409999999998</c:v>
                </c:pt>
                <c:pt idx="8">
                  <c:v>1.9118980000000001</c:v>
                </c:pt>
                <c:pt idx="9">
                  <c:v>1.456723</c:v>
                </c:pt>
                <c:pt idx="10">
                  <c:v>0.821801</c:v>
                </c:pt>
                <c:pt idx="11">
                  <c:v>0.95850199999999997</c:v>
                </c:pt>
                <c:pt idx="12">
                  <c:v>0.99317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ene.-20</c:v>
                </c:pt>
                <c:pt idx="1">
                  <c:v>feb.-20</c:v>
                </c:pt>
                <c:pt idx="2">
                  <c:v>mar.-20</c:v>
                </c:pt>
                <c:pt idx="3">
                  <c:v>abr.-20</c:v>
                </c:pt>
                <c:pt idx="4">
                  <c:v>may.-20</c:v>
                </c:pt>
                <c:pt idx="5">
                  <c:v>jun.-20</c:v>
                </c:pt>
                <c:pt idx="6">
                  <c:v>jul.-20</c:v>
                </c:pt>
                <c:pt idx="7">
                  <c:v>ago.-20</c:v>
                </c:pt>
                <c:pt idx="8">
                  <c:v>sep.-20</c:v>
                </c:pt>
                <c:pt idx="9">
                  <c:v>oct.-20</c:v>
                </c:pt>
                <c:pt idx="10">
                  <c:v>nov.-20</c:v>
                </c:pt>
                <c:pt idx="11">
                  <c:v>dic.-20</c:v>
                </c:pt>
                <c:pt idx="12">
                  <c:v>ene.-21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60.189520999999999</c:v>
                </c:pt>
                <c:pt idx="1">
                  <c:v>93.155251000000007</c:v>
                </c:pt>
                <c:pt idx="2">
                  <c:v>97.166026000000002</c:v>
                </c:pt>
                <c:pt idx="3">
                  <c:v>54.728521000000001</c:v>
                </c:pt>
                <c:pt idx="4">
                  <c:v>69.749658999999994</c:v>
                </c:pt>
                <c:pt idx="5">
                  <c:v>103.362193</c:v>
                </c:pt>
                <c:pt idx="6">
                  <c:v>148.25553600000001</c:v>
                </c:pt>
                <c:pt idx="7">
                  <c:v>166.40368100000001</c:v>
                </c:pt>
                <c:pt idx="8">
                  <c:v>92.772315000000006</c:v>
                </c:pt>
                <c:pt idx="9">
                  <c:v>98.269994999999994</c:v>
                </c:pt>
                <c:pt idx="10">
                  <c:v>54.804782000000003</c:v>
                </c:pt>
                <c:pt idx="11">
                  <c:v>61.437581999999999</c:v>
                </c:pt>
                <c:pt idx="12">
                  <c:v>81.105193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ene.-20</c:v>
                </c:pt>
                <c:pt idx="1">
                  <c:v>feb.-20</c:v>
                </c:pt>
                <c:pt idx="2">
                  <c:v>mar.-20</c:v>
                </c:pt>
                <c:pt idx="3">
                  <c:v>abr.-20</c:v>
                </c:pt>
                <c:pt idx="4">
                  <c:v>may.-20</c:v>
                </c:pt>
                <c:pt idx="5">
                  <c:v>jun.-20</c:v>
                </c:pt>
                <c:pt idx="6">
                  <c:v>jul.-20</c:v>
                </c:pt>
                <c:pt idx="7">
                  <c:v>ago.-20</c:v>
                </c:pt>
                <c:pt idx="8">
                  <c:v>sep.-20</c:v>
                </c:pt>
                <c:pt idx="9">
                  <c:v>oct.-20</c:v>
                </c:pt>
                <c:pt idx="10">
                  <c:v>nov.-20</c:v>
                </c:pt>
                <c:pt idx="11">
                  <c:v>dic.-20</c:v>
                </c:pt>
                <c:pt idx="12">
                  <c:v>ene.-21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18.499904999999998</c:v>
                </c:pt>
                <c:pt idx="1">
                  <c:v>20.258367</c:v>
                </c:pt>
                <c:pt idx="2">
                  <c:v>21.187342999999998</c:v>
                </c:pt>
                <c:pt idx="3">
                  <c:v>22.647696</c:v>
                </c:pt>
                <c:pt idx="4">
                  <c:v>26.043417000000002</c:v>
                </c:pt>
                <c:pt idx="5">
                  <c:v>23.718388000000001</c:v>
                </c:pt>
                <c:pt idx="6">
                  <c:v>26.993926999999999</c:v>
                </c:pt>
                <c:pt idx="7">
                  <c:v>26.63702</c:v>
                </c:pt>
                <c:pt idx="8">
                  <c:v>20.951909000000001</c:v>
                </c:pt>
                <c:pt idx="9">
                  <c:v>19.857990999999998</c:v>
                </c:pt>
                <c:pt idx="10">
                  <c:v>15.894228</c:v>
                </c:pt>
                <c:pt idx="11">
                  <c:v>15.168276000000001</c:v>
                </c:pt>
                <c:pt idx="12">
                  <c:v>16.287994999999999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ene.-20</c:v>
                </c:pt>
                <c:pt idx="1">
                  <c:v>feb.-20</c:v>
                </c:pt>
                <c:pt idx="2">
                  <c:v>mar.-20</c:v>
                </c:pt>
                <c:pt idx="3">
                  <c:v>abr.-20</c:v>
                </c:pt>
                <c:pt idx="4">
                  <c:v>may.-20</c:v>
                </c:pt>
                <c:pt idx="5">
                  <c:v>jun.-20</c:v>
                </c:pt>
                <c:pt idx="6">
                  <c:v>jul.-20</c:v>
                </c:pt>
                <c:pt idx="7">
                  <c:v>ago.-20</c:v>
                </c:pt>
                <c:pt idx="8">
                  <c:v>sep.-20</c:v>
                </c:pt>
                <c:pt idx="9">
                  <c:v>oct.-20</c:v>
                </c:pt>
                <c:pt idx="10">
                  <c:v>nov.-20</c:v>
                </c:pt>
                <c:pt idx="11">
                  <c:v>dic.-20</c:v>
                </c:pt>
                <c:pt idx="12">
                  <c:v>ene.-21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0.87627999999999995</c:v>
                </c:pt>
                <c:pt idx="1">
                  <c:v>0.84570599999999996</c:v>
                </c:pt>
                <c:pt idx="2">
                  <c:v>0.82168300000000005</c:v>
                </c:pt>
                <c:pt idx="3">
                  <c:v>0.83979599999999999</c:v>
                </c:pt>
                <c:pt idx="4">
                  <c:v>0.70590200000000003</c:v>
                </c:pt>
                <c:pt idx="5">
                  <c:v>0.78505800000000003</c:v>
                </c:pt>
                <c:pt idx="6">
                  <c:v>0.69386000000000003</c:v>
                </c:pt>
                <c:pt idx="7">
                  <c:v>0.69097799999999998</c:v>
                </c:pt>
                <c:pt idx="8">
                  <c:v>0.64958000000000005</c:v>
                </c:pt>
                <c:pt idx="9">
                  <c:v>0.78250799999999998</c:v>
                </c:pt>
                <c:pt idx="10">
                  <c:v>0.74004199999999998</c:v>
                </c:pt>
                <c:pt idx="11">
                  <c:v>0.75252699999999995</c:v>
                </c:pt>
                <c:pt idx="12">
                  <c:v>0.35872300000000001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Enero 2021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Enero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6" t="s">
        <v>47</v>
      </c>
      <c r="E7" s="77"/>
      <c r="F7" s="197" t="str">
        <f>K3</f>
        <v>Enero 2021</v>
      </c>
      <c r="G7" s="198"/>
      <c r="H7" s="198" t="s">
        <v>37</v>
      </c>
      <c r="I7" s="198"/>
      <c r="J7" s="198" t="s">
        <v>38</v>
      </c>
      <c r="K7" s="198"/>
    </row>
    <row r="8" spans="3:12">
      <c r="C8" s="196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80" t="str">
        <f>G8</f>
        <v>% 21/20</v>
      </c>
      <c r="J8" s="79" t="s">
        <v>13</v>
      </c>
      <c r="K8" s="80" t="str">
        <f>G8</f>
        <v>% 21/20</v>
      </c>
    </row>
    <row r="9" spans="3:12">
      <c r="C9" s="81"/>
      <c r="E9" s="82" t="s">
        <v>39</v>
      </c>
      <c r="F9" s="83">
        <f>Dat_01!R24/1000</f>
        <v>470.72007500000001</v>
      </c>
      <c r="G9" s="164">
        <f>Dat_01!T24*100</f>
        <v>3.1231429899999998</v>
      </c>
      <c r="H9" s="83">
        <f>Dat_01!U24/1000</f>
        <v>470.72007500000001</v>
      </c>
      <c r="I9" s="164">
        <f>Dat_01!W24*100</f>
        <v>3.1231429899999998</v>
      </c>
      <c r="J9" s="83">
        <f>Dat_01!X24/1000</f>
        <v>4955.7076299999999</v>
      </c>
      <c r="K9" s="164">
        <f>Dat_01!Y24*100</f>
        <v>-18.677490410000001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-0.72899999999999998</v>
      </c>
      <c r="H12" s="103"/>
      <c r="I12" s="103">
        <f>Dat_01!H152*100</f>
        <v>-0.72899999999999998</v>
      </c>
      <c r="J12" s="103"/>
      <c r="K12" s="103">
        <f>Dat_01!L152*100</f>
        <v>-0.106</v>
      </c>
    </row>
    <row r="13" spans="3:12">
      <c r="E13" s="85" t="s">
        <v>42</v>
      </c>
      <c r="F13" s="84"/>
      <c r="G13" s="103">
        <f>Dat_01!E152*100</f>
        <v>4.4019999999999992</v>
      </c>
      <c r="H13" s="103"/>
      <c r="I13" s="103">
        <f>Dat_01!I152*100</f>
        <v>4.4019999999999992</v>
      </c>
      <c r="J13" s="103"/>
      <c r="K13" s="103">
        <f>Dat_01!M152*100</f>
        <v>-0.60799999999999998</v>
      </c>
    </row>
    <row r="14" spans="3:12">
      <c r="E14" s="86" t="s">
        <v>43</v>
      </c>
      <c r="F14" s="87"/>
      <c r="G14" s="104">
        <f>Dat_01!F152*100</f>
        <v>-0.54999999999999993</v>
      </c>
      <c r="H14" s="104"/>
      <c r="I14" s="104">
        <f>Dat_01!J152*100</f>
        <v>-0.54999999999999993</v>
      </c>
      <c r="J14" s="104"/>
      <c r="K14" s="104">
        <f>Dat_01!N152*100</f>
        <v>-17.963000000000001</v>
      </c>
    </row>
    <row r="15" spans="3:12">
      <c r="E15" s="199" t="s">
        <v>44</v>
      </c>
      <c r="F15" s="199"/>
      <c r="G15" s="199"/>
      <c r="H15" s="199"/>
      <c r="I15" s="199"/>
      <c r="J15" s="199"/>
      <c r="K15" s="199"/>
    </row>
    <row r="16" spans="3:12" ht="21.75" customHeight="1">
      <c r="E16" s="195" t="s">
        <v>45</v>
      </c>
      <c r="F16" s="195"/>
      <c r="G16" s="195"/>
      <c r="H16" s="195"/>
      <c r="I16" s="195"/>
      <c r="J16" s="195"/>
      <c r="K16" s="195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Enero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6" t="s">
        <v>48</v>
      </c>
      <c r="E7" s="77"/>
      <c r="F7" s="197" t="str">
        <f>K3</f>
        <v>Enero 2021</v>
      </c>
      <c r="G7" s="198"/>
      <c r="H7" s="198" t="s">
        <v>37</v>
      </c>
      <c r="I7" s="198"/>
      <c r="J7" s="198" t="s">
        <v>38</v>
      </c>
      <c r="K7" s="198"/>
    </row>
    <row r="8" spans="3:12">
      <c r="C8" s="196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107" t="str">
        <f>G8</f>
        <v>% 21/20</v>
      </c>
      <c r="J8" s="79" t="s">
        <v>13</v>
      </c>
      <c r="K8" s="107" t="str">
        <f>G8</f>
        <v>% 21/20</v>
      </c>
    </row>
    <row r="9" spans="3:12">
      <c r="C9" s="81"/>
      <c r="E9" s="82" t="s">
        <v>39</v>
      </c>
      <c r="F9" s="83">
        <f>Dat_01!Z24/1000</f>
        <v>647.19379099999992</v>
      </c>
      <c r="G9" s="164">
        <f>Dat_01!AB24*100</f>
        <v>-14.500187689999999</v>
      </c>
      <c r="H9" s="83">
        <f>Dat_01!AC24/1000</f>
        <v>647.19379099999992</v>
      </c>
      <c r="I9" s="164">
        <f>Dat_01!AE24*100</f>
        <v>-14.500187689999999</v>
      </c>
      <c r="J9" s="83">
        <f>Dat_01!AF24/1000</f>
        <v>7835.6437479999995</v>
      </c>
      <c r="K9" s="164">
        <f>Dat_01!AG24*100</f>
        <v>-11.726793900000001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-8.8000000000000009E-2</v>
      </c>
      <c r="H12" s="103"/>
      <c r="I12" s="103">
        <f>Dat_01!H158*100</f>
        <v>-8.8000000000000009E-2</v>
      </c>
      <c r="J12" s="103"/>
      <c r="K12" s="103">
        <f>Dat_01!L158*100</f>
        <v>2.3E-2</v>
      </c>
    </row>
    <row r="13" spans="3:12">
      <c r="E13" s="85" t="s">
        <v>42</v>
      </c>
      <c r="F13" s="84"/>
      <c r="G13" s="103">
        <f>Dat_01!E158*100</f>
        <v>-1.2999999999999999E-2</v>
      </c>
      <c r="H13" s="103"/>
      <c r="I13" s="103">
        <f>Dat_01!I158*100</f>
        <v>-1.2999999999999999E-2</v>
      </c>
      <c r="J13" s="103"/>
      <c r="K13" s="103">
        <f>Dat_01!M158*100</f>
        <v>0.121</v>
      </c>
    </row>
    <row r="14" spans="3:12">
      <c r="E14" s="86" t="s">
        <v>43</v>
      </c>
      <c r="F14" s="87"/>
      <c r="G14" s="104">
        <f>Dat_01!F158*100</f>
        <v>-14.399000000000001</v>
      </c>
      <c r="H14" s="104"/>
      <c r="I14" s="104">
        <f>Dat_01!J158*100</f>
        <v>-14.399000000000001</v>
      </c>
      <c r="J14" s="104"/>
      <c r="K14" s="104">
        <f>Dat_01!N158*100</f>
        <v>-11.871</v>
      </c>
    </row>
    <row r="15" spans="3:12">
      <c r="E15" s="199" t="s">
        <v>44</v>
      </c>
      <c r="F15" s="199"/>
      <c r="G15" s="199"/>
      <c r="H15" s="199"/>
      <c r="I15" s="199"/>
      <c r="J15" s="199"/>
      <c r="K15" s="199"/>
    </row>
    <row r="16" spans="3:12" ht="21.75" customHeight="1">
      <c r="E16" s="195" t="s">
        <v>45</v>
      </c>
      <c r="F16" s="195"/>
      <c r="G16" s="195"/>
      <c r="H16" s="195"/>
      <c r="I16" s="195"/>
      <c r="J16" s="195"/>
      <c r="K16" s="195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125</v>
      </c>
    </row>
    <row r="2" spans="1:2">
      <c r="A2" t="s">
        <v>120</v>
      </c>
    </row>
    <row r="3" spans="1:2">
      <c r="A3" t="s">
        <v>121</v>
      </c>
    </row>
    <row r="4" spans="1:2">
      <c r="A4" t="s">
        <v>123</v>
      </c>
    </row>
    <row r="5" spans="1:2">
      <c r="A5" t="s">
        <v>124</v>
      </c>
    </row>
    <row r="6" spans="1:2">
      <c r="A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M18" sqref="M18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Enero 2021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200" t="s">
        <v>18</v>
      </c>
      <c r="E7" s="31"/>
      <c r="F7" s="201" t="s">
        <v>17</v>
      </c>
      <c r="G7" s="202"/>
      <c r="H7" s="201" t="s">
        <v>16</v>
      </c>
      <c r="I7" s="202"/>
      <c r="J7" s="201" t="s">
        <v>15</v>
      </c>
      <c r="K7" s="202"/>
      <c r="L7" s="201" t="s">
        <v>14</v>
      </c>
      <c r="M7" s="202"/>
    </row>
    <row r="8" spans="3:23" s="28" customFormat="1" ht="12.75" customHeight="1">
      <c r="C8" s="200"/>
      <c r="E8" s="30"/>
      <c r="F8" s="29" t="s">
        <v>13</v>
      </c>
      <c r="G8" s="105" t="str">
        <f>CONCATENATE("% ",RIGHT(M3,2),"/",RIGHT(M3,2)-1)</f>
        <v>% 21/20</v>
      </c>
      <c r="H8" s="29" t="s">
        <v>13</v>
      </c>
      <c r="I8" s="105" t="str">
        <f>G8</f>
        <v>% 21/20</v>
      </c>
      <c r="J8" s="29" t="s">
        <v>13</v>
      </c>
      <c r="K8" s="105" t="str">
        <f>I8</f>
        <v>% 21/20</v>
      </c>
      <c r="L8" s="29" t="s">
        <v>13</v>
      </c>
      <c r="M8" s="105" t="str">
        <f>K8</f>
        <v>% 21/20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53">
        <f>Dat_01!Z8/1000</f>
        <v>0.29762099999999997</v>
      </c>
      <c r="I9" s="17">
        <f>IF(Dat_01!AB8*100=-100,"-",Dat_01!AB8)</f>
        <v>-2.1993730199999999E-2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0.99317</v>
      </c>
      <c r="I10" s="17">
        <f>Dat_01!AB15*100</f>
        <v>20.44994239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0.27796300000000002</v>
      </c>
      <c r="G11" s="17">
        <f>Dat_01!T16*100</f>
        <v>-25.042203079999997</v>
      </c>
      <c r="H11" s="153">
        <f>Dat_01!Z16/1000</f>
        <v>81.105193</v>
      </c>
      <c r="I11" s="17">
        <f>Dat_01!AB16*100</f>
        <v>34.74969007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8.3861550000000005</v>
      </c>
      <c r="G12" s="17">
        <f>Dat_01!T17*100</f>
        <v>41.314619569999998</v>
      </c>
      <c r="H12" s="153">
        <f>Dat_01!Z17/1000</f>
        <v>16.287995000000002</v>
      </c>
      <c r="I12" s="17">
        <f>Dat_01!AB17*100</f>
        <v>-11.956331670000001</v>
      </c>
      <c r="J12" s="153" t="s">
        <v>3</v>
      </c>
      <c r="K12" s="17" t="s">
        <v>3</v>
      </c>
      <c r="L12" s="153">
        <f>Dat_01!J17/1000</f>
        <v>4.5979999999999997E-3</v>
      </c>
      <c r="M12" s="17">
        <f>IF(Dat_01!L17*100=-100,"-",Dat_01!L17*100)</f>
        <v>-2.3571883599999999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53">
        <f>Dat_01!R18/1000</f>
        <v>5.7756999999999996E-2</v>
      </c>
      <c r="G13" s="17">
        <f>Dat_01!T18*100</f>
        <v>-71.332777430000007</v>
      </c>
      <c r="H13" s="153">
        <f>Dat_01!Z18/1000</f>
        <v>0.35872300000000001</v>
      </c>
      <c r="I13" s="17">
        <f>IF(Dat_01!AB18*100=-100,"-",Dat_01!AB18)</f>
        <v>-0.59062970739999998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7.1515275000000003</v>
      </c>
      <c r="G14" s="17">
        <f>Dat_01!T21*100</f>
        <v>-22.785716310000002</v>
      </c>
      <c r="H14" s="153" t="s">
        <v>3</v>
      </c>
      <c r="I14" s="17" t="s">
        <v>3</v>
      </c>
      <c r="J14" s="153" t="s">
        <v>3</v>
      </c>
      <c r="K14" s="17" t="s">
        <v>3</v>
      </c>
      <c r="L14" s="153">
        <f>Dat_01!J21/1000</f>
        <v>0.63871650000000002</v>
      </c>
      <c r="M14" s="17">
        <f>Dat_01!L21*100</f>
        <v>511.32896248000003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15.873402500000001</v>
      </c>
      <c r="G15" s="173">
        <f>((SUM(Dat_01!R8,Dat_01!R15:R18,Dat_01!R20)/SUM(Dat_01!S8,Dat_01!S15:S18,Dat_01!S20))-1)*100</f>
        <v>0.66457034986409091</v>
      </c>
      <c r="H15" s="172">
        <f>SUM(H9:H14)</f>
        <v>99.042701999999991</v>
      </c>
      <c r="I15" s="173">
        <f>((SUM(Dat_01!Z8,Dat_01!Z15:Z18,Dat_01!Z20)/SUM(Dat_01!AA8,Dat_01!AA15:AA18,Dat_01!AA20))-1)*100</f>
        <v>22.737752986353343</v>
      </c>
      <c r="J15" s="172" t="s">
        <v>3</v>
      </c>
      <c r="K15" s="173" t="s">
        <v>3</v>
      </c>
      <c r="L15" s="172">
        <f>SUM(L9:L14)</f>
        <v>0.64331450000000001</v>
      </c>
      <c r="M15" s="173">
        <f>((SUM(Dat_01!J8,Dat_01!J15:J18,Dat_01!J21)/SUM(Dat_01!K8,Dat_01!K15:K18,Dat_01!K20))-1)*100</f>
        <v>489.17519164018347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-0.63269200000000003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27.196950000000001</v>
      </c>
      <c r="G17" s="24">
        <f>((SUM(Dat_01!R10,Dat_01!R14)/SUM(Dat_01!S10,Dat_01!S14))-1)*100</f>
        <v>8.0817065344785064</v>
      </c>
      <c r="H17" s="154">
        <f>Dat_01!Z10/1000</f>
        <v>141.05104299999999</v>
      </c>
      <c r="I17" s="24">
        <f>Dat_01!AB10*100</f>
        <v>-19.776952000000001</v>
      </c>
      <c r="J17" s="154">
        <f>Dat_01!B10/1000</f>
        <v>18.537330000000001</v>
      </c>
      <c r="K17" s="24">
        <f>Dat_01!D10*100</f>
        <v>3.94493063</v>
      </c>
      <c r="L17" s="154">
        <f>Dat_01!J10/1000</f>
        <v>16.97465</v>
      </c>
      <c r="M17" s="24">
        <f>Dat_01!L10*100</f>
        <v>-3.5435231999999997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18.542487000000001</v>
      </c>
      <c r="G18" s="24">
        <f>Dat_01!T11*100</f>
        <v>-15.040493769999999</v>
      </c>
      <c r="H18" s="154">
        <f>Dat_01!Z11/1000</f>
        <v>10.157843999999999</v>
      </c>
      <c r="I18" s="24">
        <f>Dat_01!AB11*100</f>
        <v>-40.615080069999998</v>
      </c>
      <c r="J18" s="154">
        <f>Dat_01!B11/1000</f>
        <v>1.3260000000000001E-3</v>
      </c>
      <c r="K18" s="24">
        <f>IF(Dat_01!D11=-100%,"-",Dat_01!D11*100)</f>
        <v>0.91324201000000005</v>
      </c>
      <c r="L18" s="154">
        <f>Dat_01!J11/1000</f>
        <v>6.4614000000000005E-2</v>
      </c>
      <c r="M18" s="24">
        <f>Dat_01!L11*100</f>
        <v>8007.1518193200009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116.282053</v>
      </c>
      <c r="I19" s="24">
        <f>Dat_01!AB12*100</f>
        <v>-20.852691289999999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45.739437000000002</v>
      </c>
      <c r="G20" s="17">
        <f>((SUM(Dat_01!R10:R12,Dat_01!R14)/SUM(Dat_01!S10:S12,Dat_01!S14))-1)*100</f>
        <v>-2.6580489674773222</v>
      </c>
      <c r="H20" s="153">
        <f>SUM(H17:H19)</f>
        <v>267.49094000000002</v>
      </c>
      <c r="I20" s="17">
        <f>(H20/(H17/(I17/100+1)+H18/(I18/100+1)+H19/(I19/100+1))-1)*100</f>
        <v>-21.290820824934841</v>
      </c>
      <c r="J20" s="153">
        <f>SUM(J17:J19)</f>
        <v>18.538656</v>
      </c>
      <c r="K20" s="17">
        <f>((SUM(Dat_01!B10:B12)/SUM(Dat_01!C10:C12))-1)*100</f>
        <v>3.944707274913295</v>
      </c>
      <c r="L20" s="153">
        <f>SUM(L17:L19)</f>
        <v>17.039263999999999</v>
      </c>
      <c r="M20" s="17">
        <f>(L20/(L17/(M17/100+1)+L18/(M18/100+1))-1)*100</f>
        <v>-3.1807464591179224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260.27204499999999</v>
      </c>
      <c r="G21" s="17">
        <f>Dat_01!T13*100</f>
        <v>5.1908293799999994</v>
      </c>
      <c r="H21" s="153">
        <f>Dat_01!Z13/1000</f>
        <v>280.66014899999999</v>
      </c>
      <c r="I21" s="17">
        <f>Dat_01!AB13*100</f>
        <v>-16.57241638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4.0659429999999999</v>
      </c>
      <c r="G22" s="17">
        <f>Dat_01!T19*100</f>
        <v>0.68958224999999995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7.1515275000000003</v>
      </c>
      <c r="G23" s="17">
        <f>Dat_01!T20*100</f>
        <v>-22.785716310000002</v>
      </c>
      <c r="H23" s="153" t="s">
        <v>3</v>
      </c>
      <c r="I23" s="17" t="s">
        <v>3</v>
      </c>
      <c r="J23" s="153" t="s">
        <v>3</v>
      </c>
      <c r="K23" s="17" t="s">
        <v>3</v>
      </c>
      <c r="L23" s="153">
        <f>Dat_01!J20/1000</f>
        <v>0.63871650000000002</v>
      </c>
      <c r="M23" s="17">
        <f>Dat_01!L20*100</f>
        <v>511.32896248000003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316.59626049999997</v>
      </c>
      <c r="G24" s="173">
        <f>((SUM(Dat_01!R9:R14,Dat_01!R19,Dat_01!R21)/SUM(Dat_01!S9:S14,Dat_01!S19,Dat_01!S21))-1)*100</f>
        <v>3.9590000365798295</v>
      </c>
      <c r="H24" s="155">
        <f>SUM(H16,H20:H23)</f>
        <v>548.15108899999996</v>
      </c>
      <c r="I24" s="173">
        <f>((SUM(Dat_01!Z9:Z14,Dat_01!Z19,Dat_01!Z21)/SUM(Dat_01!AA9:AA14,Dat_01!AA19,Dat_01!AA21))-1)*100</f>
        <v>-18.943603719909085</v>
      </c>
      <c r="J24" s="155">
        <f>SUM(J16,J20:J23)</f>
        <v>18.538656</v>
      </c>
      <c r="K24" s="173">
        <f>((SUM(Dat_01!B9:B14,Dat_01!B19,Dat_01!B21)/SUM(Dat_01!C9:C14,Dat_01!C19,Dat_01!C21))-1)*100</f>
        <v>3.944707274913295</v>
      </c>
      <c r="L24" s="155">
        <f>SUM(L16,L20:L23)</f>
        <v>17.6779805</v>
      </c>
      <c r="M24" s="173">
        <f>((SUM(Dat_01!J9:J14,Dat_01!J19,Dat_01!J21)/SUM(Dat_01!K9:K14,Dat_01!K19,Dat_01!K21))-1)*100</f>
        <v>-0.14429047322493949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138.25041200000001</v>
      </c>
      <c r="G25" s="14">
        <f>Dat_01!T23*100</f>
        <v>1.5383182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470.72007500000001</v>
      </c>
      <c r="G26" s="11">
        <f>Dat_01!T24*100</f>
        <v>3.1231429899999998</v>
      </c>
      <c r="H26" s="157">
        <f>Dat_01!Z24/1000</f>
        <v>647.19379099999992</v>
      </c>
      <c r="I26" s="11">
        <f>Dat_01!AB24*100</f>
        <v>-14.500187689999999</v>
      </c>
      <c r="J26" s="157">
        <f>Dat_01!B24/1000</f>
        <v>18.538656</v>
      </c>
      <c r="K26" s="11">
        <f>Dat_01!D24*100</f>
        <v>3.9447072700000003</v>
      </c>
      <c r="L26" s="157">
        <f>Dat_01!J24/1000</f>
        <v>18.321294999999999</v>
      </c>
      <c r="M26" s="11">
        <f>Dat_01!L24*100</f>
        <v>2.8551572800000002</v>
      </c>
      <c r="N26" s="10"/>
      <c r="O26" s="10"/>
    </row>
    <row r="27" spans="3:23" s="2" customFormat="1" ht="16.350000000000001" customHeight="1">
      <c r="C27" s="13"/>
      <c r="E27" s="205" t="s">
        <v>56</v>
      </c>
      <c r="F27" s="205"/>
      <c r="G27" s="205"/>
      <c r="H27" s="205"/>
      <c r="I27" s="205"/>
      <c r="J27" s="205"/>
      <c r="K27" s="205"/>
      <c r="L27" s="170"/>
      <c r="M27" s="171"/>
      <c r="N27" s="10"/>
      <c r="O27" s="10"/>
    </row>
    <row r="28" spans="3:23" s="2" customFormat="1" ht="34.5" customHeight="1">
      <c r="C28" s="13"/>
      <c r="E28" s="206" t="s">
        <v>108</v>
      </c>
      <c r="F28" s="206"/>
      <c r="G28" s="206"/>
      <c r="H28" s="206"/>
      <c r="I28" s="206"/>
      <c r="J28" s="206"/>
      <c r="K28" s="206"/>
      <c r="L28" s="206"/>
      <c r="M28" s="206"/>
      <c r="N28" s="10"/>
      <c r="O28" s="10"/>
    </row>
    <row r="29" spans="3:23" s="2" customFormat="1" ht="12.75" customHeight="1">
      <c r="C29" s="8"/>
      <c r="D29" s="8"/>
      <c r="E29" s="204" t="s">
        <v>0</v>
      </c>
      <c r="F29" s="204"/>
      <c r="G29" s="204"/>
      <c r="H29" s="204"/>
      <c r="I29" s="204"/>
      <c r="J29" s="204"/>
      <c r="K29" s="204"/>
      <c r="L29" s="204"/>
      <c r="M29" s="204"/>
      <c r="O29" s="9"/>
    </row>
    <row r="30" spans="3:23" s="7" customFormat="1" ht="12.75" customHeight="1">
      <c r="E30" s="203" t="s">
        <v>82</v>
      </c>
      <c r="F30" s="203"/>
      <c r="G30" s="203"/>
      <c r="H30" s="203"/>
      <c r="I30" s="203"/>
      <c r="J30" s="203"/>
      <c r="K30" s="203"/>
      <c r="L30" s="203"/>
      <c r="M30" s="203"/>
    </row>
    <row r="31" spans="3:23" s="2" customFormat="1" ht="12.75" customHeight="1">
      <c r="C31" s="8"/>
      <c r="D31" s="8"/>
      <c r="E31" s="203" t="s">
        <v>85</v>
      </c>
      <c r="F31" s="203"/>
      <c r="G31" s="203"/>
      <c r="H31" s="203"/>
      <c r="I31" s="203"/>
      <c r="J31" s="203"/>
      <c r="K31" s="203"/>
      <c r="L31" s="203"/>
      <c r="M31" s="203"/>
    </row>
    <row r="32" spans="3:23" ht="12.75" customHeight="1">
      <c r="C32" s="1"/>
      <c r="D32" s="1"/>
      <c r="E32" s="203" t="s">
        <v>86</v>
      </c>
      <c r="F32" s="203"/>
      <c r="G32" s="203"/>
      <c r="H32" s="203"/>
      <c r="I32" s="203"/>
      <c r="J32" s="203"/>
      <c r="K32" s="203"/>
      <c r="L32" s="203"/>
      <c r="M32" s="203"/>
    </row>
    <row r="33" spans="3:13" ht="12.75" customHeight="1">
      <c r="C33" s="1"/>
      <c r="D33" s="1"/>
      <c r="E33" s="203"/>
      <c r="F33" s="203"/>
      <c r="G33" s="203"/>
      <c r="H33" s="203"/>
      <c r="I33" s="203"/>
      <c r="J33" s="203"/>
      <c r="K33" s="203"/>
      <c r="L33" s="203"/>
      <c r="M33" s="203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K20:L20 G24 I24 K24 I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G32" sqref="G32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Enero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7" t="s">
        <v>31</v>
      </c>
      <c r="D7" s="44"/>
      <c r="E7" s="48"/>
    </row>
    <row r="8" spans="2:12" s="38" customFormat="1" ht="12.75" customHeight="1">
      <c r="B8" s="46"/>
      <c r="C8" s="207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2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7" t="s">
        <v>28</v>
      </c>
      <c r="E24" s="42"/>
      <c r="J24" s="38"/>
      <c r="K24" s="38"/>
    </row>
    <row r="25" spans="2:12">
      <c r="C25" s="207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Enero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8" t="s">
        <v>32</v>
      </c>
      <c r="D7" s="64"/>
      <c r="E7" s="68"/>
    </row>
    <row r="8" spans="1:20" s="56" customFormat="1" ht="12.75" customHeight="1">
      <c r="A8" s="67"/>
      <c r="B8" s="66"/>
      <c r="C8" s="208"/>
      <c r="D8" s="64"/>
      <c r="E8" s="68"/>
      <c r="F8" s="63"/>
    </row>
    <row r="9" spans="1:20" s="56" customFormat="1" ht="12.75" customHeight="1">
      <c r="A9" s="67"/>
      <c r="B9" s="66"/>
      <c r="C9" s="208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H28" sqref="H28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Enero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7" t="s">
        <v>35</v>
      </c>
      <c r="D7" s="44"/>
      <c r="E7" s="48"/>
    </row>
    <row r="8" spans="2:12" s="38" customFormat="1" ht="12.75" customHeight="1">
      <c r="B8" s="46"/>
      <c r="C8" s="207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7" t="s">
        <v>49</v>
      </c>
      <c r="E24" s="42"/>
      <c r="J24" s="38"/>
      <c r="K24" s="38"/>
    </row>
    <row r="25" spans="2:12">
      <c r="C25" s="207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Enero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8" t="s">
        <v>36</v>
      </c>
      <c r="D7" s="64"/>
      <c r="E7" s="68"/>
    </row>
    <row r="8" spans="1:20" s="56" customFormat="1" ht="12.75" customHeight="1">
      <c r="A8" s="67"/>
      <c r="B8" s="66"/>
      <c r="C8" s="208"/>
      <c r="D8" s="64"/>
      <c r="E8" s="68"/>
      <c r="F8" s="63"/>
    </row>
    <row r="9" spans="1:20" s="56" customFormat="1" ht="12.75" customHeight="1">
      <c r="A9" s="67"/>
      <c r="B9" s="66"/>
      <c r="C9" s="208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topLeftCell="A48" zoomScaleNormal="100" workbookViewId="0">
      <selection activeCell="D68" sqref="D68:D78"/>
    </sheetView>
  </sheetViews>
  <sheetFormatPr baseColWidth="10" defaultColWidth="11.42578125" defaultRowHeight="12"/>
  <cols>
    <col min="1" max="1" width="8.85546875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118</v>
      </c>
      <c r="B2" s="144" t="s">
        <v>119</v>
      </c>
    </row>
    <row r="4" spans="1:33" ht="15">
      <c r="A4" s="145" t="s">
        <v>67</v>
      </c>
      <c r="B4" s="209" t="s">
        <v>118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</row>
    <row r="5" spans="1:33" ht="15">
      <c r="A5" s="145" t="s">
        <v>68</v>
      </c>
      <c r="B5" s="211" t="s">
        <v>15</v>
      </c>
      <c r="C5" s="212"/>
      <c r="D5" s="212"/>
      <c r="E5" s="212"/>
      <c r="F5" s="212"/>
      <c r="G5" s="212"/>
      <c r="H5" s="212"/>
      <c r="I5" s="213"/>
      <c r="J5" s="211" t="s">
        <v>14</v>
      </c>
      <c r="K5" s="212"/>
      <c r="L5" s="212"/>
      <c r="M5" s="212"/>
      <c r="N5" s="212"/>
      <c r="O5" s="212"/>
      <c r="P5" s="212"/>
      <c r="Q5" s="213"/>
      <c r="R5" s="211" t="s">
        <v>57</v>
      </c>
      <c r="S5" s="212"/>
      <c r="T5" s="212"/>
      <c r="U5" s="212"/>
      <c r="V5" s="212"/>
      <c r="W5" s="212"/>
      <c r="X5" s="212"/>
      <c r="Y5" s="213"/>
      <c r="Z5" s="211" t="s">
        <v>58</v>
      </c>
      <c r="AA5" s="212"/>
      <c r="AB5" s="212"/>
      <c r="AC5" s="212"/>
      <c r="AD5" s="212"/>
      <c r="AE5" s="212"/>
      <c r="AF5" s="212"/>
      <c r="AG5" s="212"/>
    </row>
    <row r="6" spans="1:33">
      <c r="A6" s="145" t="s">
        <v>69</v>
      </c>
      <c r="B6" s="191" t="s">
        <v>59</v>
      </c>
      <c r="C6" s="191" t="s">
        <v>60</v>
      </c>
      <c r="D6" s="191" t="s">
        <v>61</v>
      </c>
      <c r="E6" s="191" t="s">
        <v>62</v>
      </c>
      <c r="F6" s="191" t="s">
        <v>63</v>
      </c>
      <c r="G6" s="191" t="s">
        <v>64</v>
      </c>
      <c r="H6" s="191" t="s">
        <v>65</v>
      </c>
      <c r="I6" s="191" t="s">
        <v>66</v>
      </c>
      <c r="J6" s="191" t="s">
        <v>59</v>
      </c>
      <c r="K6" s="191" t="s">
        <v>60</v>
      </c>
      <c r="L6" s="191" t="s">
        <v>61</v>
      </c>
      <c r="M6" s="191" t="s">
        <v>62</v>
      </c>
      <c r="N6" s="191" t="s">
        <v>63</v>
      </c>
      <c r="O6" s="191" t="s">
        <v>64</v>
      </c>
      <c r="P6" s="191" t="s">
        <v>65</v>
      </c>
      <c r="Q6" s="191" t="s">
        <v>66</v>
      </c>
      <c r="R6" s="191" t="s">
        <v>59</v>
      </c>
      <c r="S6" s="191" t="s">
        <v>60</v>
      </c>
      <c r="T6" s="191" t="s">
        <v>61</v>
      </c>
      <c r="U6" s="191" t="s">
        <v>62</v>
      </c>
      <c r="V6" s="191" t="s">
        <v>63</v>
      </c>
      <c r="W6" s="191" t="s">
        <v>64</v>
      </c>
      <c r="X6" s="191" t="s">
        <v>65</v>
      </c>
      <c r="Y6" s="191" t="s">
        <v>66</v>
      </c>
      <c r="Z6" s="191" t="s">
        <v>59</v>
      </c>
      <c r="AA6" s="191" t="s">
        <v>60</v>
      </c>
      <c r="AB6" s="191" t="s">
        <v>61</v>
      </c>
      <c r="AC6" s="191" t="s">
        <v>62</v>
      </c>
      <c r="AD6" s="191" t="s">
        <v>63</v>
      </c>
      <c r="AE6" s="191" t="s">
        <v>64</v>
      </c>
      <c r="AF6" s="191" t="s">
        <v>65</v>
      </c>
      <c r="AG6" s="191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297.62099999999998</v>
      </c>
      <c r="AA8" s="158">
        <v>304.31400000000002</v>
      </c>
      <c r="AB8" s="151">
        <v>-2.1993730199999999E-2</v>
      </c>
      <c r="AC8" s="158">
        <v>297.62099999999998</v>
      </c>
      <c r="AD8" s="158">
        <v>304.31400000000002</v>
      </c>
      <c r="AE8" s="151">
        <v>-2.1993730199999999E-2</v>
      </c>
      <c r="AF8" s="158">
        <v>3474.123</v>
      </c>
      <c r="AG8" s="151">
        <v>-1.32902877E-2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-632.69200000000001</v>
      </c>
      <c r="S9" s="158">
        <v>-3177.348</v>
      </c>
      <c r="T9" s="151">
        <v>-0.8008741882</v>
      </c>
      <c r="U9" s="158">
        <v>-632.69200000000001</v>
      </c>
      <c r="V9" s="158">
        <v>-3177.348</v>
      </c>
      <c r="W9" s="151">
        <v>-0.8008741882</v>
      </c>
      <c r="X9" s="158">
        <v>224206.42300000001</v>
      </c>
      <c r="Y9" s="151">
        <v>-0.87397315779999996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18537.330000000002</v>
      </c>
      <c r="C10" s="158">
        <v>17833.798999999999</v>
      </c>
      <c r="D10" s="151">
        <v>3.94493063E-2</v>
      </c>
      <c r="E10" s="158">
        <v>18537.330000000002</v>
      </c>
      <c r="F10" s="158">
        <v>17833.798999999999</v>
      </c>
      <c r="G10" s="151">
        <v>3.94493063E-2</v>
      </c>
      <c r="H10" s="158">
        <v>199732.386</v>
      </c>
      <c r="I10" s="151">
        <v>-3.0275356400000002E-2</v>
      </c>
      <c r="J10" s="158">
        <v>16974.650000000001</v>
      </c>
      <c r="K10" s="158">
        <v>17598.248</v>
      </c>
      <c r="L10" s="151">
        <v>-3.5435231999999997E-2</v>
      </c>
      <c r="M10" s="158">
        <v>16974.650000000001</v>
      </c>
      <c r="N10" s="158">
        <v>17598.248</v>
      </c>
      <c r="O10" s="151">
        <v>-3.5435231999999997E-2</v>
      </c>
      <c r="P10" s="158">
        <v>196162.894</v>
      </c>
      <c r="Q10" s="151">
        <v>-2.0076143599999999E-2</v>
      </c>
      <c r="R10" s="158">
        <v>27196.95</v>
      </c>
      <c r="S10" s="158">
        <v>25163.324000000001</v>
      </c>
      <c r="T10" s="151">
        <v>8.0817065300000004E-2</v>
      </c>
      <c r="U10" s="158">
        <v>27196.95</v>
      </c>
      <c r="V10" s="158">
        <v>25163.324000000001</v>
      </c>
      <c r="W10" s="151">
        <v>8.0817065300000004E-2</v>
      </c>
      <c r="X10" s="158">
        <v>284343.28700000001</v>
      </c>
      <c r="Y10" s="151">
        <v>-0.37257174980000002</v>
      </c>
      <c r="Z10" s="158">
        <v>141051.04300000001</v>
      </c>
      <c r="AA10" s="158">
        <v>175823.59</v>
      </c>
      <c r="AB10" s="151">
        <v>-0.19776952</v>
      </c>
      <c r="AC10" s="158">
        <v>141051.04300000001</v>
      </c>
      <c r="AD10" s="158">
        <v>175823.59</v>
      </c>
      <c r="AE10" s="151">
        <v>-0.19776952</v>
      </c>
      <c r="AF10" s="158">
        <v>1682636.7150000001</v>
      </c>
      <c r="AG10" s="151">
        <v>-0.13777458779999999</v>
      </c>
    </row>
    <row r="11" spans="1:33">
      <c r="A11" s="144" t="s">
        <v>9</v>
      </c>
      <c r="B11" s="158">
        <v>1.3260000000000001</v>
      </c>
      <c r="C11" s="158">
        <v>1.3140000000000001</v>
      </c>
      <c r="D11" s="151">
        <v>9.1324201000000001E-3</v>
      </c>
      <c r="E11" s="158">
        <v>1.3260000000000001</v>
      </c>
      <c r="F11" s="158">
        <v>1.3140000000000001</v>
      </c>
      <c r="G11" s="151">
        <v>9.1324201000000001E-3</v>
      </c>
      <c r="H11" s="158">
        <v>169.25899999999999</v>
      </c>
      <c r="I11" s="151">
        <v>0.99200885029999997</v>
      </c>
      <c r="J11" s="158">
        <v>64.614000000000004</v>
      </c>
      <c r="K11" s="158">
        <v>0.79700000000000004</v>
      </c>
      <c r="L11" s="151">
        <v>80.071518193200006</v>
      </c>
      <c r="M11" s="158">
        <v>64.614000000000004</v>
      </c>
      <c r="N11" s="158">
        <v>0.79700000000000004</v>
      </c>
      <c r="O11" s="151">
        <v>80.071518193200006</v>
      </c>
      <c r="P11" s="158">
        <v>159.72</v>
      </c>
      <c r="Q11" s="151">
        <v>6.5187120463000001</v>
      </c>
      <c r="R11" s="158">
        <v>18542.487000000001</v>
      </c>
      <c r="S11" s="158">
        <v>21825.088</v>
      </c>
      <c r="T11" s="151">
        <v>-0.15040493769999999</v>
      </c>
      <c r="U11" s="158">
        <v>18542.487000000001</v>
      </c>
      <c r="V11" s="158">
        <v>21825.088</v>
      </c>
      <c r="W11" s="151">
        <v>-0.15040493769999999</v>
      </c>
      <c r="X11" s="158">
        <v>207264.93400000001</v>
      </c>
      <c r="Y11" s="151">
        <v>-0.52978900740000001</v>
      </c>
      <c r="Z11" s="158">
        <v>10157.843999999999</v>
      </c>
      <c r="AA11" s="158">
        <v>17105.09</v>
      </c>
      <c r="AB11" s="151">
        <v>-0.40615080069999998</v>
      </c>
      <c r="AC11" s="158">
        <v>10157.843999999999</v>
      </c>
      <c r="AD11" s="158">
        <v>17105.09</v>
      </c>
      <c r="AE11" s="151">
        <v>-0.40615080069999998</v>
      </c>
      <c r="AF11" s="158">
        <v>188813.44699999999</v>
      </c>
      <c r="AG11" s="151">
        <v>-0.1574430829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116282.053</v>
      </c>
      <c r="AA12" s="158">
        <v>146918.51800000001</v>
      </c>
      <c r="AB12" s="151">
        <v>-0.2085269129</v>
      </c>
      <c r="AC12" s="158">
        <v>116282.053</v>
      </c>
      <c r="AD12" s="158">
        <v>146918.51800000001</v>
      </c>
      <c r="AE12" s="151">
        <v>-0.2085269129</v>
      </c>
      <c r="AF12" s="158">
        <v>1356968.6140000001</v>
      </c>
      <c r="AG12" s="151">
        <v>-0.35909774430000002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260272.04500000001</v>
      </c>
      <c r="S13" s="158">
        <v>247428.45600000001</v>
      </c>
      <c r="T13" s="151">
        <v>5.1908293799999998E-2</v>
      </c>
      <c r="U13" s="158">
        <v>260272.04500000001</v>
      </c>
      <c r="V13" s="158">
        <v>247428.45600000001</v>
      </c>
      <c r="W13" s="151">
        <v>5.1908293799999998E-2</v>
      </c>
      <c r="X13" s="158">
        <v>2424980.2349999999</v>
      </c>
      <c r="Y13" s="151">
        <v>0.92732035339999996</v>
      </c>
      <c r="Z13" s="158">
        <v>280660.14899999998</v>
      </c>
      <c r="AA13" s="158">
        <v>336411.696</v>
      </c>
      <c r="AB13" s="151">
        <v>-0.16572416379999999</v>
      </c>
      <c r="AC13" s="158">
        <v>280660.14899999998</v>
      </c>
      <c r="AD13" s="158">
        <v>336411.696</v>
      </c>
      <c r="AE13" s="151">
        <v>-0.16572416379999999</v>
      </c>
      <c r="AF13" s="158">
        <v>3198518.3480000002</v>
      </c>
      <c r="AG13" s="151">
        <v>2.3387681899999999E-2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0</v>
      </c>
      <c r="T14" s="151">
        <v>0</v>
      </c>
      <c r="U14" s="158">
        <v>0</v>
      </c>
      <c r="V14" s="158">
        <v>0</v>
      </c>
      <c r="W14" s="151">
        <v>0</v>
      </c>
      <c r="X14" s="158">
        <v>3903.8110000000001</v>
      </c>
      <c r="Y14" s="151">
        <v>-0.76896560759999999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993.17</v>
      </c>
      <c r="AA15" s="158">
        <v>824.55</v>
      </c>
      <c r="AB15" s="151">
        <v>0.2044994239</v>
      </c>
      <c r="AC15" s="158">
        <v>993.17</v>
      </c>
      <c r="AD15" s="158">
        <v>824.55</v>
      </c>
      <c r="AE15" s="151">
        <v>0.2044994239</v>
      </c>
      <c r="AF15" s="158">
        <v>19708.847000000002</v>
      </c>
      <c r="AG15" s="151">
        <v>-0.14173575999999999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277.96300000000002</v>
      </c>
      <c r="S16" s="158">
        <v>370.82600000000002</v>
      </c>
      <c r="T16" s="151">
        <v>-0.25042203079999997</v>
      </c>
      <c r="U16" s="158">
        <v>277.96300000000002</v>
      </c>
      <c r="V16" s="158">
        <v>370.82600000000002</v>
      </c>
      <c r="W16" s="151">
        <v>-0.25042203079999997</v>
      </c>
      <c r="X16" s="158">
        <v>3547.5859999999998</v>
      </c>
      <c r="Y16" s="151">
        <v>-0.37213300939999999</v>
      </c>
      <c r="Z16" s="158">
        <v>81105.192999999999</v>
      </c>
      <c r="AA16" s="158">
        <v>60189.521000000001</v>
      </c>
      <c r="AB16" s="151">
        <v>0.3474969007</v>
      </c>
      <c r="AC16" s="158">
        <v>81105.192999999999</v>
      </c>
      <c r="AD16" s="158">
        <v>60189.521000000001</v>
      </c>
      <c r="AE16" s="151">
        <v>0.3474969007</v>
      </c>
      <c r="AF16" s="158">
        <v>1121210.7339999999</v>
      </c>
      <c r="AG16" s="151">
        <v>-1.8711274399999998E-2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4.5979999999999999</v>
      </c>
      <c r="K17" s="158">
        <v>4.7089999999999996</v>
      </c>
      <c r="L17" s="151">
        <v>-2.3571883599999999E-2</v>
      </c>
      <c r="M17" s="158">
        <v>4.5979999999999999</v>
      </c>
      <c r="N17" s="158">
        <v>4.7089999999999996</v>
      </c>
      <c r="O17" s="151">
        <v>-2.3571883599999999E-2</v>
      </c>
      <c r="P17" s="158">
        <v>76.596000000000004</v>
      </c>
      <c r="Q17" s="151">
        <v>-4.2896949900000002E-2</v>
      </c>
      <c r="R17" s="158">
        <v>8386.1550000000007</v>
      </c>
      <c r="S17" s="158">
        <v>5934.3860000000004</v>
      </c>
      <c r="T17" s="151">
        <v>0.4131461957</v>
      </c>
      <c r="U17" s="158">
        <v>8386.1550000000007</v>
      </c>
      <c r="V17" s="158">
        <v>5934.3860000000004</v>
      </c>
      <c r="W17" s="151">
        <v>0.4131461957</v>
      </c>
      <c r="X17" s="158">
        <v>120710.708</v>
      </c>
      <c r="Y17" s="151">
        <v>8.5399968999999992E-3</v>
      </c>
      <c r="Z17" s="158">
        <v>16287.995000000001</v>
      </c>
      <c r="AA17" s="158">
        <v>18499.904999999999</v>
      </c>
      <c r="AB17" s="151">
        <v>-0.11956331670000001</v>
      </c>
      <c r="AC17" s="158">
        <v>16287.995000000001</v>
      </c>
      <c r="AD17" s="158">
        <v>18499.904999999999</v>
      </c>
      <c r="AE17" s="151">
        <v>-0.11956331670000001</v>
      </c>
      <c r="AF17" s="158">
        <v>255646.557</v>
      </c>
      <c r="AG17" s="151">
        <v>-8.5409990699999994E-2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57.756999999999998</v>
      </c>
      <c r="S18" s="158">
        <v>201.47399999999999</v>
      </c>
      <c r="T18" s="151">
        <v>-0.71332777430000005</v>
      </c>
      <c r="U18" s="158">
        <v>57.756999999999998</v>
      </c>
      <c r="V18" s="158">
        <v>201.47399999999999</v>
      </c>
      <c r="W18" s="151">
        <v>-0.71332777430000005</v>
      </c>
      <c r="X18" s="158">
        <v>485.68299999999999</v>
      </c>
      <c r="Y18" s="151">
        <v>-0.60615975700000002</v>
      </c>
      <c r="Z18" s="158">
        <v>358.72300000000001</v>
      </c>
      <c r="AA18" s="158">
        <v>876.28</v>
      </c>
      <c r="AB18" s="151">
        <v>-0.59062970739999998</v>
      </c>
      <c r="AC18" s="158">
        <v>358.72300000000001</v>
      </c>
      <c r="AD18" s="158">
        <v>876.28</v>
      </c>
      <c r="AE18" s="151">
        <v>-0.59062970739999998</v>
      </c>
      <c r="AF18" s="158">
        <v>8666.3629999999994</v>
      </c>
      <c r="AG18" s="151">
        <v>-0.1053177372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4065.9430000000002</v>
      </c>
      <c r="S19" s="158">
        <v>4038.0970000000002</v>
      </c>
      <c r="T19" s="151">
        <v>6.8958225E-3</v>
      </c>
      <c r="U19" s="158">
        <v>4065.9430000000002</v>
      </c>
      <c r="V19" s="158">
        <v>4038.0970000000002</v>
      </c>
      <c r="W19" s="151">
        <v>6.8958225E-3</v>
      </c>
      <c r="X19" s="158">
        <v>33851.029000000002</v>
      </c>
      <c r="Y19" s="151">
        <v>-3.6242747800000003E-2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638.7165</v>
      </c>
      <c r="K20" s="158">
        <v>104.48</v>
      </c>
      <c r="L20" s="151">
        <v>5.1132896248000002</v>
      </c>
      <c r="M20" s="158">
        <v>638.7165</v>
      </c>
      <c r="N20" s="158">
        <v>104.48</v>
      </c>
      <c r="O20" s="151">
        <v>5.1132896248000002</v>
      </c>
      <c r="P20" s="158">
        <v>6059.7920000000004</v>
      </c>
      <c r="Q20" s="151">
        <v>0.22369250979999999</v>
      </c>
      <c r="R20" s="158">
        <v>7151.5275000000001</v>
      </c>
      <c r="S20" s="158">
        <v>9261.9230000000007</v>
      </c>
      <c r="T20" s="151">
        <v>-0.22785716310000001</v>
      </c>
      <c r="U20" s="158">
        <v>7151.5275000000001</v>
      </c>
      <c r="V20" s="158">
        <v>9261.9230000000007</v>
      </c>
      <c r="W20" s="151">
        <v>-0.22785716310000001</v>
      </c>
      <c r="X20" s="158">
        <v>111890.94899999999</v>
      </c>
      <c r="Y20" s="151">
        <v>-0.22921349490000001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638.7165</v>
      </c>
      <c r="K21" s="158">
        <v>104.48</v>
      </c>
      <c r="L21" s="151">
        <v>5.1132896248000002</v>
      </c>
      <c r="M21" s="158">
        <v>638.7165</v>
      </c>
      <c r="N21" s="158">
        <v>104.48</v>
      </c>
      <c r="O21" s="151">
        <v>5.1132896248000002</v>
      </c>
      <c r="P21" s="158">
        <v>6059.7920000000004</v>
      </c>
      <c r="Q21" s="151">
        <v>0.22369250979999999</v>
      </c>
      <c r="R21" s="158">
        <v>7151.5275000000001</v>
      </c>
      <c r="S21" s="158">
        <v>9261.9230000000007</v>
      </c>
      <c r="T21" s="151">
        <v>-0.22785716310000001</v>
      </c>
      <c r="U21" s="158">
        <v>7151.5275000000001</v>
      </c>
      <c r="V21" s="158">
        <v>9261.9230000000007</v>
      </c>
      <c r="W21" s="151">
        <v>-0.22785716310000001</v>
      </c>
      <c r="X21" s="158">
        <v>111890.94899999999</v>
      </c>
      <c r="Y21" s="151">
        <v>-0.22921349490000001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18538.655999999999</v>
      </c>
      <c r="C22" s="159">
        <v>17835.113000000001</v>
      </c>
      <c r="D22" s="152">
        <v>3.9447072700000002E-2</v>
      </c>
      <c r="E22" s="159">
        <v>18538.655999999999</v>
      </c>
      <c r="F22" s="159">
        <v>17835.113000000001</v>
      </c>
      <c r="G22" s="152">
        <v>3.9447072700000002E-2</v>
      </c>
      <c r="H22" s="159">
        <v>199901.64499999999</v>
      </c>
      <c r="I22" s="152">
        <v>-2.98538026E-2</v>
      </c>
      <c r="J22" s="159">
        <v>18321.294999999998</v>
      </c>
      <c r="K22" s="159">
        <v>17812.714</v>
      </c>
      <c r="L22" s="152">
        <v>2.8551572800000001E-2</v>
      </c>
      <c r="M22" s="159">
        <v>18321.294999999998</v>
      </c>
      <c r="N22" s="159">
        <v>17812.714</v>
      </c>
      <c r="O22" s="152">
        <v>2.8551572800000001E-2</v>
      </c>
      <c r="P22" s="159">
        <v>208518.79399999999</v>
      </c>
      <c r="Q22" s="152">
        <v>-7.9374926999999998E-3</v>
      </c>
      <c r="R22" s="159">
        <v>332469.663</v>
      </c>
      <c r="S22" s="159">
        <v>320308.14899999998</v>
      </c>
      <c r="T22" s="152">
        <v>3.7968169199999999E-2</v>
      </c>
      <c r="U22" s="159">
        <v>332469.663</v>
      </c>
      <c r="V22" s="159">
        <v>320308.14899999998</v>
      </c>
      <c r="W22" s="152">
        <v>3.7968169199999999E-2</v>
      </c>
      <c r="X22" s="159">
        <v>3527075.594</v>
      </c>
      <c r="Y22" s="152">
        <v>-0.19841972799999999</v>
      </c>
      <c r="Z22" s="159">
        <v>647193.79099999997</v>
      </c>
      <c r="AA22" s="159">
        <v>756953.46400000004</v>
      </c>
      <c r="AB22" s="152">
        <v>-0.14500187689999999</v>
      </c>
      <c r="AC22" s="159">
        <v>647193.79099999997</v>
      </c>
      <c r="AD22" s="159">
        <v>756953.46400000004</v>
      </c>
      <c r="AE22" s="152">
        <v>-0.14500187689999999</v>
      </c>
      <c r="AF22" s="159">
        <v>7835643.7479999997</v>
      </c>
      <c r="AG22" s="152">
        <v>-0.117267939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138250.41200000001</v>
      </c>
      <c r="S23" s="158">
        <v>136155.90100000001</v>
      </c>
      <c r="T23" s="151">
        <v>1.5383182E-2</v>
      </c>
      <c r="U23" s="158">
        <v>138250.41200000001</v>
      </c>
      <c r="V23" s="158">
        <v>136155.90100000001</v>
      </c>
      <c r="W23" s="151">
        <v>1.5383182E-2</v>
      </c>
      <c r="X23" s="158">
        <v>1428632.0360000001</v>
      </c>
      <c r="Y23" s="151">
        <v>-0.15652294089999999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18538.655999999999</v>
      </c>
      <c r="C24" s="159">
        <v>17835.113000000001</v>
      </c>
      <c r="D24" s="152">
        <v>3.9447072700000002E-2</v>
      </c>
      <c r="E24" s="159">
        <v>18538.655999999999</v>
      </c>
      <c r="F24" s="159">
        <v>17835.113000000001</v>
      </c>
      <c r="G24" s="152">
        <v>3.9447072700000002E-2</v>
      </c>
      <c r="H24" s="159">
        <v>199901.64499999999</v>
      </c>
      <c r="I24" s="152">
        <v>-2.98538026E-2</v>
      </c>
      <c r="J24" s="159">
        <v>18321.294999999998</v>
      </c>
      <c r="K24" s="159">
        <v>17812.714</v>
      </c>
      <c r="L24" s="152">
        <v>2.8551572800000001E-2</v>
      </c>
      <c r="M24" s="159">
        <v>18321.294999999998</v>
      </c>
      <c r="N24" s="159">
        <v>17812.714</v>
      </c>
      <c r="O24" s="152">
        <v>2.8551572800000001E-2</v>
      </c>
      <c r="P24" s="159">
        <v>208518.79399999999</v>
      </c>
      <c r="Q24" s="152">
        <v>-7.9374926999999998E-3</v>
      </c>
      <c r="R24" s="159">
        <v>470720.07500000001</v>
      </c>
      <c r="S24" s="159">
        <v>456464.05</v>
      </c>
      <c r="T24" s="152">
        <v>3.12314299E-2</v>
      </c>
      <c r="U24" s="159">
        <v>470720.07500000001</v>
      </c>
      <c r="V24" s="159">
        <v>456464.05</v>
      </c>
      <c r="W24" s="152">
        <v>3.12314299E-2</v>
      </c>
      <c r="X24" s="159">
        <v>4955707.63</v>
      </c>
      <c r="Y24" s="152">
        <v>-0.1867749041</v>
      </c>
      <c r="Z24" s="159">
        <v>647193.79099999997</v>
      </c>
      <c r="AA24" s="159">
        <v>756953.46400000004</v>
      </c>
      <c r="AB24" s="152">
        <v>-0.14500187689999999</v>
      </c>
      <c r="AC24" s="159">
        <v>647193.79099999997</v>
      </c>
      <c r="AD24" s="159">
        <v>756953.46400000004</v>
      </c>
      <c r="AE24" s="152">
        <v>-0.14500187689999999</v>
      </c>
      <c r="AF24" s="159">
        <v>7835643.7479999997</v>
      </c>
      <c r="AG24" s="152">
        <v>-0.117267939</v>
      </c>
    </row>
    <row r="26" spans="1:33">
      <c r="A26" s="111" t="s">
        <v>103</v>
      </c>
      <c r="B26" s="180">
        <f>SUM(B24,J24,R24,Z24)</f>
        <v>1154773.817</v>
      </c>
      <c r="C26" s="180">
        <f>SUM(C24,K24,S24,AA24)</f>
        <v>1249065.341</v>
      </c>
      <c r="D26" s="181">
        <f>((B26/C26)-1)*100</f>
        <v>-7.5489664875746492</v>
      </c>
      <c r="R26" s="181"/>
    </row>
    <row r="29" spans="1:33" ht="15">
      <c r="A29" s="145" t="s">
        <v>67</v>
      </c>
      <c r="B29" s="209" t="str">
        <f>A2</f>
        <v>Enero 2021</v>
      </c>
      <c r="C29" s="210"/>
    </row>
    <row r="30" spans="1:33" ht="15">
      <c r="A30" s="145" t="s">
        <v>69</v>
      </c>
      <c r="B30" s="224" t="s">
        <v>72</v>
      </c>
      <c r="C30" s="225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2.02</v>
      </c>
    </row>
    <row r="34" spans="1:4">
      <c r="A34" s="144" t="s">
        <v>11</v>
      </c>
      <c r="B34" s="147">
        <v>241.19999999999996</v>
      </c>
      <c r="C34" s="147"/>
    </row>
    <row r="35" spans="1:4">
      <c r="A35" s="144" t="s">
        <v>78</v>
      </c>
      <c r="B35" s="185">
        <v>139.4</v>
      </c>
      <c r="C35" s="147">
        <v>495.92</v>
      </c>
    </row>
    <row r="36" spans="1:4">
      <c r="A36" s="144" t="s">
        <v>9</v>
      </c>
      <c r="B36" s="147">
        <v>605.4</v>
      </c>
      <c r="C36" s="147">
        <v>557.1400000000001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857.95</v>
      </c>
      <c r="C38" s="147">
        <v>864.2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11.39</v>
      </c>
    </row>
    <row r="41" spans="1:4">
      <c r="A41" s="144" t="s">
        <v>5</v>
      </c>
      <c r="B41" s="147">
        <v>3.6374999999999909</v>
      </c>
      <c r="C41" s="147">
        <v>444.71500000000003</v>
      </c>
      <c r="D41" s="188"/>
    </row>
    <row r="42" spans="1:4">
      <c r="A42" s="144" t="s">
        <v>4</v>
      </c>
      <c r="B42" s="147">
        <v>103.32712499999984</v>
      </c>
      <c r="C42" s="147">
        <v>167.10714499999966</v>
      </c>
      <c r="D42" s="188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/>
    </row>
    <row r="45" spans="1:4">
      <c r="A45" s="144" t="s">
        <v>54</v>
      </c>
      <c r="B45" s="147">
        <v>37.400000000000006</v>
      </c>
      <c r="C45" s="147"/>
    </row>
    <row r="46" spans="1:4">
      <c r="A46" s="144" t="s">
        <v>55</v>
      </c>
      <c r="B46" s="147">
        <v>37.400000000000006</v>
      </c>
      <c r="C46" s="147"/>
    </row>
    <row r="47" spans="1:4">
      <c r="A47" s="149" t="s">
        <v>2</v>
      </c>
      <c r="B47" s="186">
        <f>SUM(B33:B46)</f>
        <v>2039.3676250000001</v>
      </c>
      <c r="C47" s="179">
        <f>SUM(C33:C46)</f>
        <v>3028.8281449999995</v>
      </c>
    </row>
    <row r="48" spans="1:4" ht="15">
      <c r="A48"/>
      <c r="C48"/>
      <c r="D48" s="187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241.19999999999996</v>
      </c>
      <c r="C52" s="116">
        <f t="shared" ref="C52:C57" si="0">B52/$B$63*100</f>
        <v>11.827195697489802</v>
      </c>
      <c r="D52" s="183"/>
      <c r="F52" s="114" t="s">
        <v>10</v>
      </c>
      <c r="G52" s="115">
        <f>C35</f>
        <v>495.92</v>
      </c>
      <c r="H52" s="116">
        <f>G52/$G$62*100</f>
        <v>16.373329098208046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6.8354522397598618</v>
      </c>
      <c r="D53" s="183"/>
      <c r="F53" s="114" t="s">
        <v>9</v>
      </c>
      <c r="G53" s="115">
        <f>C36</f>
        <v>557.1400000000001</v>
      </c>
      <c r="H53" s="116">
        <f t="shared" ref="H53:H61" si="2">G53/$G$62*100</f>
        <v>18.394572862106052</v>
      </c>
    </row>
    <row r="54" spans="1:8">
      <c r="A54" s="114" t="s">
        <v>9</v>
      </c>
      <c r="B54" s="115">
        <f t="shared" si="1"/>
        <v>605.4</v>
      </c>
      <c r="C54" s="116">
        <f t="shared" si="0"/>
        <v>29.685672783003014</v>
      </c>
      <c r="D54" s="183"/>
      <c r="F54" s="114" t="s">
        <v>8</v>
      </c>
      <c r="G54" s="115">
        <f>C37</f>
        <v>482.64</v>
      </c>
      <c r="H54" s="116">
        <f t="shared" si="2"/>
        <v>15.934875697610767</v>
      </c>
    </row>
    <row r="55" spans="1:8">
      <c r="A55" s="114" t="s">
        <v>25</v>
      </c>
      <c r="B55" s="115">
        <f>B38</f>
        <v>857.95</v>
      </c>
      <c r="C55" s="116">
        <f t="shared" si="0"/>
        <v>42.069413551664084</v>
      </c>
      <c r="D55" s="183"/>
      <c r="F55" s="114" t="s">
        <v>25</v>
      </c>
      <c r="G55" s="115">
        <f>C38</f>
        <v>864.2</v>
      </c>
      <c r="H55" s="116">
        <f t="shared" si="2"/>
        <v>28.532487108145254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3"/>
      <c r="F56" s="114" t="s">
        <v>23</v>
      </c>
      <c r="G56" s="115">
        <f>C44</f>
        <v>0</v>
      </c>
      <c r="H56" s="116">
        <f t="shared" si="2"/>
        <v>0</v>
      </c>
    </row>
    <row r="57" spans="1:8">
      <c r="A57" s="114" t="s">
        <v>23</v>
      </c>
      <c r="B57" s="115">
        <f>B44</f>
        <v>11.523</v>
      </c>
      <c r="C57" s="116">
        <f t="shared" si="0"/>
        <v>0.56502809296092449</v>
      </c>
      <c r="D57" s="183"/>
      <c r="F57" s="114" t="s">
        <v>12</v>
      </c>
      <c r="G57" s="116">
        <f>C33</f>
        <v>2.02</v>
      </c>
      <c r="H57" s="116">
        <f t="shared" si="2"/>
        <v>6.6692460030610287E-2</v>
      </c>
    </row>
    <row r="58" spans="1:8">
      <c r="A58" s="114" t="s">
        <v>55</v>
      </c>
      <c r="B58" s="115">
        <f>B46</f>
        <v>37.400000000000006</v>
      </c>
      <c r="C58" s="116">
        <f t="shared" ref="C58:C62" si="3">B58/$B$63*100</f>
        <v>1.8339018204233777</v>
      </c>
      <c r="D58" s="183"/>
      <c r="F58" s="114" t="s">
        <v>6</v>
      </c>
      <c r="G58" s="115">
        <f>C40</f>
        <v>11.39</v>
      </c>
      <c r="H58" s="116">
        <f t="shared" si="2"/>
        <v>0.3760530295785402</v>
      </c>
    </row>
    <row r="59" spans="1:8">
      <c r="A59" s="114" t="s">
        <v>54</v>
      </c>
      <c r="B59" s="115">
        <f>B45</f>
        <v>37.400000000000006</v>
      </c>
      <c r="C59" s="116">
        <f t="shared" si="3"/>
        <v>1.8339018204233777</v>
      </c>
      <c r="D59" s="183"/>
      <c r="F59" s="114" t="s">
        <v>5</v>
      </c>
      <c r="G59" s="115">
        <f>C41</f>
        <v>444.71500000000003</v>
      </c>
      <c r="H59" s="116">
        <f t="shared" si="2"/>
        <v>14.682741268570719</v>
      </c>
    </row>
    <row r="60" spans="1:8">
      <c r="A60" s="114" t="s">
        <v>5</v>
      </c>
      <c r="B60" s="115">
        <f>B41</f>
        <v>3.6374999999999909</v>
      </c>
      <c r="C60" s="116">
        <f t="shared" si="3"/>
        <v>0.17836411421898446</v>
      </c>
      <c r="D60" s="183"/>
      <c r="F60" s="114" t="s">
        <v>4</v>
      </c>
      <c r="G60" s="115">
        <f>C42</f>
        <v>167.10714499999966</v>
      </c>
      <c r="H60" s="116">
        <f t="shared" si="2"/>
        <v>5.5172210835355822</v>
      </c>
    </row>
    <row r="61" spans="1:8">
      <c r="A61" s="114" t="s">
        <v>4</v>
      </c>
      <c r="B61" s="115">
        <f>B42</f>
        <v>103.32712499999984</v>
      </c>
      <c r="C61" s="116">
        <f t="shared" si="3"/>
        <v>5.0666257389468869</v>
      </c>
      <c r="D61" s="183"/>
      <c r="F61" s="114" t="s">
        <v>22</v>
      </c>
      <c r="G61" s="115">
        <f>C43</f>
        <v>3.6960000000000002</v>
      </c>
      <c r="H61" s="116">
        <f t="shared" si="2"/>
        <v>0.12202739221442357</v>
      </c>
    </row>
    <row r="62" spans="1:8">
      <c r="A62" s="114" t="s">
        <v>22</v>
      </c>
      <c r="B62" s="115">
        <f>B43</f>
        <v>2.13</v>
      </c>
      <c r="C62" s="116">
        <f t="shared" si="3"/>
        <v>0.10444414110967364</v>
      </c>
      <c r="D62" s="183"/>
      <c r="F62" s="117" t="s">
        <v>20</v>
      </c>
      <c r="G62" s="118">
        <f>SUM(G52:G61)</f>
        <v>3028.8281449999999</v>
      </c>
      <c r="H62" s="119">
        <f>SUM(H52:H61)</f>
        <v>100</v>
      </c>
    </row>
    <row r="63" spans="1:8">
      <c r="A63" s="117" t="s">
        <v>20</v>
      </c>
      <c r="B63" s="118">
        <f>SUM(B52:B62)</f>
        <v>2039.3676250000001</v>
      </c>
      <c r="C63" s="119">
        <f>SUM(C52:C62)</f>
        <v>99.999999999999986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106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93">
        <f>(C68/SUM($C$68:$C$78))*100</f>
        <v>0</v>
      </c>
      <c r="F68" s="114" t="s">
        <v>10</v>
      </c>
      <c r="G68" s="116">
        <f>Z10/Z$24*100</f>
        <v>21.794251576804761</v>
      </c>
    </row>
    <row r="69" spans="1:7">
      <c r="A69" s="114" t="s">
        <v>10</v>
      </c>
      <c r="B69" s="116">
        <f t="shared" ref="B69:B78" si="4">C69/$C$80*100</f>
        <v>5.7699777966934036</v>
      </c>
      <c r="C69" s="115">
        <f>R10</f>
        <v>27196.95</v>
      </c>
      <c r="D69" s="193">
        <f t="shared" ref="D69:D78" si="5">(C69/SUM($C$68:$C$78))*100</f>
        <v>8.164742635938433</v>
      </c>
      <c r="F69" s="114" t="s">
        <v>9</v>
      </c>
      <c r="G69" s="116">
        <f>Z11/Z$24*100</f>
        <v>1.5695212378822094</v>
      </c>
    </row>
    <row r="70" spans="1:7">
      <c r="A70" s="114" t="s">
        <v>9</v>
      </c>
      <c r="B70" s="116">
        <f t="shared" si="4"/>
        <v>3.9338873765431819</v>
      </c>
      <c r="C70" s="115">
        <f>R11</f>
        <v>18542.487000000001</v>
      </c>
      <c r="D70" s="193">
        <f t="shared" si="5"/>
        <v>5.5666033943230442</v>
      </c>
      <c r="F70" s="114" t="s">
        <v>8</v>
      </c>
      <c r="G70" s="116">
        <f>Z12/Z$24*100</f>
        <v>17.967115046071264</v>
      </c>
    </row>
    <row r="71" spans="1:7">
      <c r="A71" s="114" t="s">
        <v>25</v>
      </c>
      <c r="B71" s="116">
        <f t="shared" si="4"/>
        <v>55.218100586646166</v>
      </c>
      <c r="C71" s="115">
        <f>R13</f>
        <v>260272.04500000001</v>
      </c>
      <c r="D71" s="193">
        <f>(C71/SUM($C$68:$C$78))*100</f>
        <v>78.135756500430603</v>
      </c>
      <c r="F71" s="114" t="s">
        <v>25</v>
      </c>
      <c r="G71" s="116">
        <f>Z13/Z$24*100</f>
        <v>43.365704817152675</v>
      </c>
    </row>
    <row r="72" spans="1:7">
      <c r="A72" s="114" t="s">
        <v>24</v>
      </c>
      <c r="B72" s="116">
        <f t="shared" si="4"/>
        <v>0</v>
      </c>
      <c r="C72" s="115">
        <f>R14</f>
        <v>0</v>
      </c>
      <c r="D72" s="194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0.86261146314645465</v>
      </c>
      <c r="C73" s="115">
        <f>R19</f>
        <v>4065.9430000000002</v>
      </c>
      <c r="D73" s="193">
        <f t="shared" si="5"/>
        <v>1.2206287163595704</v>
      </c>
      <c r="F73" s="114" t="s">
        <v>12</v>
      </c>
      <c r="G73" s="116">
        <f>Z8/Z$24*100</f>
        <v>4.5986380607906663E-2</v>
      </c>
    </row>
    <row r="74" spans="1:7">
      <c r="A74" s="114" t="s">
        <v>55</v>
      </c>
      <c r="B74" s="116">
        <f t="shared" si="4"/>
        <v>1.51723464901183</v>
      </c>
      <c r="C74" s="115">
        <f>R21</f>
        <v>7151.5275000000001</v>
      </c>
      <c r="D74" s="193">
        <f t="shared" si="5"/>
        <v>2.1469459439876966</v>
      </c>
      <c r="F74" s="114" t="s">
        <v>6</v>
      </c>
      <c r="G74" s="116">
        <f>Z15/Z$24*100</f>
        <v>0.15345789990744829</v>
      </c>
    </row>
    <row r="75" spans="1:7">
      <c r="A75" s="114" t="s">
        <v>54</v>
      </c>
      <c r="B75" s="116">
        <f t="shared" si="4"/>
        <v>1.51723464901183</v>
      </c>
      <c r="C75" s="115">
        <f>R20</f>
        <v>7151.5275000000001</v>
      </c>
      <c r="D75" s="193">
        <f t="shared" si="5"/>
        <v>2.1469459439876966</v>
      </c>
      <c r="F75" s="114" t="s">
        <v>5</v>
      </c>
      <c r="G75" s="116">
        <f>Z16/Z$24*100</f>
        <v>12.531824953802747</v>
      </c>
    </row>
    <row r="76" spans="1:7">
      <c r="A76" s="114" t="s">
        <v>5</v>
      </c>
      <c r="B76" s="116">
        <f t="shared" si="4"/>
        <v>5.897133091402855E-2</v>
      </c>
      <c r="C76" s="115">
        <f>R16</f>
        <v>277.96300000000002</v>
      </c>
      <c r="D76" s="193">
        <f t="shared" si="5"/>
        <v>8.3446723155109467E-2</v>
      </c>
      <c r="F76" s="114" t="s">
        <v>4</v>
      </c>
      <c r="G76" s="116">
        <f>Z17/Z$24*100</f>
        <v>2.5167106400747286</v>
      </c>
    </row>
    <row r="77" spans="1:7">
      <c r="A77" s="114" t="s">
        <v>4</v>
      </c>
      <c r="B77" s="116">
        <f t="shared" si="4"/>
        <v>1.779167448909873</v>
      </c>
      <c r="C77" s="115">
        <f>R17</f>
        <v>8386.1550000000007</v>
      </c>
      <c r="D77" s="193">
        <f t="shared" si="5"/>
        <v>2.5175910269382507</v>
      </c>
      <c r="F77" s="114" t="s">
        <v>22</v>
      </c>
      <c r="G77" s="116">
        <f>Z18/Z$24*100</f>
        <v>5.5427447696265071E-2</v>
      </c>
    </row>
    <row r="78" spans="1:7">
      <c r="A78" s="114" t="s">
        <v>22</v>
      </c>
      <c r="B78" s="116">
        <f t="shared" si="4"/>
        <v>1.2253455170657774E-2</v>
      </c>
      <c r="C78" s="115">
        <f>R18</f>
        <v>57.756999999999998</v>
      </c>
      <c r="D78" s="193">
        <f t="shared" si="5"/>
        <v>1.7339114879569066E-2</v>
      </c>
      <c r="F78" s="117" t="s">
        <v>20</v>
      </c>
      <c r="G78" s="119">
        <f>SUM(G68:G77)</f>
        <v>100.00000000000001</v>
      </c>
    </row>
    <row r="79" spans="1:7">
      <c r="A79" s="114" t="s">
        <v>21</v>
      </c>
      <c r="B79" s="116">
        <f>C79/$C$80*100</f>
        <v>29.330561243952552</v>
      </c>
      <c r="C79" s="115">
        <f>R23</f>
        <v>138250.41200000001</v>
      </c>
      <c r="D79" s="192"/>
    </row>
    <row r="80" spans="1:7">
      <c r="A80" s="117" t="s">
        <v>20</v>
      </c>
      <c r="B80" s="119">
        <f>SUM(B68:B79)</f>
        <v>99.999999999999972</v>
      </c>
      <c r="C80" s="118">
        <f>SUM(C68:C79)</f>
        <v>471352.76700000011</v>
      </c>
      <c r="D80" s="183"/>
    </row>
    <row r="85" spans="1:26" ht="15">
      <c r="A85" s="145"/>
      <c r="B85" s="145" t="s">
        <v>69</v>
      </c>
      <c r="C85" s="226" t="s">
        <v>13</v>
      </c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/>
      <c r="R85"/>
      <c r="S85"/>
      <c r="T85"/>
      <c r="U85"/>
      <c r="V85"/>
      <c r="W85"/>
      <c r="X85"/>
      <c r="Y85"/>
      <c r="Z85"/>
    </row>
    <row r="86" spans="1:26" ht="15">
      <c r="A86" s="145"/>
      <c r="B86" s="143" t="s">
        <v>67</v>
      </c>
      <c r="C86" s="189" t="s">
        <v>104</v>
      </c>
      <c r="D86" s="189" t="s">
        <v>105</v>
      </c>
      <c r="E86" s="189" t="s">
        <v>107</v>
      </c>
      <c r="F86" s="189" t="s">
        <v>109</v>
      </c>
      <c r="G86" s="189" t="s">
        <v>110</v>
      </c>
      <c r="H86" s="189" t="s">
        <v>111</v>
      </c>
      <c r="I86" s="189" t="s">
        <v>112</v>
      </c>
      <c r="J86" s="189" t="s">
        <v>113</v>
      </c>
      <c r="K86" s="189" t="s">
        <v>114</v>
      </c>
      <c r="L86" s="189" t="s">
        <v>115</v>
      </c>
      <c r="M86" s="189" t="s">
        <v>116</v>
      </c>
      <c r="N86" s="189" t="s">
        <v>117</v>
      </c>
      <c r="O86" s="189" t="s">
        <v>118</v>
      </c>
      <c r="P86" s="189" t="s">
        <v>122</v>
      </c>
      <c r="Q86"/>
      <c r="R86"/>
      <c r="S86"/>
      <c r="T86"/>
      <c r="U86"/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/>
      <c r="R87"/>
      <c r="S87"/>
      <c r="T87"/>
      <c r="U87"/>
      <c r="V87"/>
      <c r="W87"/>
      <c r="X87"/>
      <c r="Y87"/>
      <c r="Z87"/>
    </row>
    <row r="88" spans="1:26" ht="15">
      <c r="A88" s="223" t="s">
        <v>57</v>
      </c>
      <c r="B88" s="144" t="s">
        <v>11</v>
      </c>
      <c r="C88" s="147">
        <v>-3.1773479999999998</v>
      </c>
      <c r="D88" s="147">
        <v>-1.357415</v>
      </c>
      <c r="E88" s="147">
        <v>-1.701627</v>
      </c>
      <c r="F88" s="147">
        <v>-1.684266</v>
      </c>
      <c r="G88" s="147">
        <v>-1.8020959999999999</v>
      </c>
      <c r="H88" s="147">
        <v>-1.2808299999999999</v>
      </c>
      <c r="I88" s="147">
        <v>-1.119569</v>
      </c>
      <c r="J88" s="147">
        <v>-1.1268309999999999</v>
      </c>
      <c r="K88" s="147">
        <v>68.615076999999999</v>
      </c>
      <c r="L88" s="147">
        <v>69.531803999999994</v>
      </c>
      <c r="M88" s="147">
        <v>18.689830000000001</v>
      </c>
      <c r="N88" s="147">
        <v>78.075038000000006</v>
      </c>
      <c r="O88" s="147">
        <v>-0.63269200000000003</v>
      </c>
      <c r="P88" s="147">
        <v>0</v>
      </c>
      <c r="Q88"/>
      <c r="R88"/>
      <c r="S88"/>
      <c r="T88"/>
      <c r="U88"/>
      <c r="V88"/>
      <c r="W88"/>
      <c r="X88"/>
      <c r="Y88"/>
      <c r="Z88"/>
    </row>
    <row r="89" spans="1:26" ht="15">
      <c r="A89" s="221"/>
      <c r="B89" s="144" t="s">
        <v>78</v>
      </c>
      <c r="C89" s="147">
        <v>25.163323999999999</v>
      </c>
      <c r="D89" s="147">
        <v>20.211247</v>
      </c>
      <c r="E89" s="147">
        <v>15.845757000000001</v>
      </c>
      <c r="F89" s="147">
        <v>18.686546</v>
      </c>
      <c r="G89" s="147">
        <v>20.180289999999999</v>
      </c>
      <c r="H89" s="147">
        <v>17.902134</v>
      </c>
      <c r="I89" s="147">
        <v>32.575167</v>
      </c>
      <c r="J89" s="147">
        <v>48.229475999999998</v>
      </c>
      <c r="K89" s="147">
        <v>25.914612999999999</v>
      </c>
      <c r="L89" s="147">
        <v>16.883790999999999</v>
      </c>
      <c r="M89" s="147">
        <v>18.608250999999999</v>
      </c>
      <c r="N89" s="147">
        <v>22.109065000000001</v>
      </c>
      <c r="O89" s="147">
        <v>27.196950000000001</v>
      </c>
      <c r="P89" s="147">
        <v>4.5778800000000004</v>
      </c>
      <c r="Q89"/>
      <c r="R89"/>
      <c r="S89"/>
      <c r="T89"/>
      <c r="U89"/>
      <c r="V89"/>
      <c r="W89"/>
      <c r="X89"/>
      <c r="Y89"/>
      <c r="Z89"/>
    </row>
    <row r="90" spans="1:26" ht="15">
      <c r="A90" s="221"/>
      <c r="B90" s="144" t="s">
        <v>9</v>
      </c>
      <c r="C90" s="147">
        <v>21.825088000000001</v>
      </c>
      <c r="D90" s="147">
        <v>17.386634999999998</v>
      </c>
      <c r="E90" s="147">
        <v>18.899491999999999</v>
      </c>
      <c r="F90" s="147">
        <v>9.9217499999999994</v>
      </c>
      <c r="G90" s="147">
        <v>9.5129249999999992</v>
      </c>
      <c r="H90" s="147">
        <v>15.970385</v>
      </c>
      <c r="I90" s="147">
        <v>33.700387999999997</v>
      </c>
      <c r="J90" s="147">
        <v>37.145944999999998</v>
      </c>
      <c r="K90" s="147">
        <v>15.232726</v>
      </c>
      <c r="L90" s="147">
        <v>8.9368049999999997</v>
      </c>
      <c r="M90" s="147">
        <v>10.474845</v>
      </c>
      <c r="N90" s="147">
        <v>11.540551000000001</v>
      </c>
      <c r="O90" s="147">
        <v>18.542487000000001</v>
      </c>
      <c r="P90" s="147">
        <v>2.1982430000000002</v>
      </c>
      <c r="Q90"/>
      <c r="R90"/>
      <c r="S90"/>
      <c r="T90"/>
      <c r="U90"/>
      <c r="V90"/>
      <c r="W90"/>
      <c r="X90"/>
      <c r="Y90"/>
      <c r="Z90"/>
    </row>
    <row r="91" spans="1:26" ht="15">
      <c r="A91" s="221"/>
      <c r="B91" s="144" t="s">
        <v>25</v>
      </c>
      <c r="C91" s="147">
        <v>247.42845600000001</v>
      </c>
      <c r="D91" s="147">
        <v>226.17381</v>
      </c>
      <c r="E91" s="147">
        <v>223.68827999999999</v>
      </c>
      <c r="F91" s="147">
        <v>190.73178300000001</v>
      </c>
      <c r="G91" s="147">
        <v>192.66073600000001</v>
      </c>
      <c r="H91" s="147">
        <v>191.22599500000001</v>
      </c>
      <c r="I91" s="147">
        <v>258.52646600000003</v>
      </c>
      <c r="J91" s="147">
        <v>260.88770599999998</v>
      </c>
      <c r="K91" s="147">
        <v>135.30891800000001</v>
      </c>
      <c r="L91" s="147">
        <v>141.13588200000001</v>
      </c>
      <c r="M91" s="147">
        <v>185.01504499999999</v>
      </c>
      <c r="N91" s="147">
        <v>159.35356899999999</v>
      </c>
      <c r="O91" s="147">
        <v>260.27204499999999</v>
      </c>
      <c r="P91" s="147">
        <v>58.616754</v>
      </c>
      <c r="Q91"/>
      <c r="R91"/>
      <c r="S91"/>
      <c r="T91"/>
      <c r="U91"/>
      <c r="V91"/>
      <c r="W91"/>
      <c r="X91"/>
      <c r="Y91"/>
      <c r="Z91"/>
    </row>
    <row r="92" spans="1:26" ht="15">
      <c r="A92" s="221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J92" s="147">
        <v>2.5841270000000001</v>
      </c>
      <c r="K92" s="147">
        <v>0.57992999999999995</v>
      </c>
      <c r="L92" s="147">
        <v>0.73975400000000002</v>
      </c>
      <c r="M92" s="147">
        <v>0</v>
      </c>
      <c r="N92" s="147">
        <v>0</v>
      </c>
      <c r="O92" s="147">
        <v>0</v>
      </c>
      <c r="P92" s="147">
        <v>0</v>
      </c>
      <c r="Q92"/>
      <c r="R92"/>
      <c r="S92"/>
      <c r="T92"/>
      <c r="U92"/>
      <c r="V92"/>
      <c r="W92"/>
      <c r="X92"/>
      <c r="Y92"/>
      <c r="Z92"/>
    </row>
    <row r="93" spans="1:26" ht="15">
      <c r="A93" s="221"/>
      <c r="B93" s="144" t="s">
        <v>5</v>
      </c>
      <c r="C93" s="147">
        <v>0.37082599999999999</v>
      </c>
      <c r="D93" s="147">
        <v>0.33927600000000002</v>
      </c>
      <c r="E93" s="147">
        <v>0.53315400000000002</v>
      </c>
      <c r="F93" s="147">
        <v>0.24332000000000001</v>
      </c>
      <c r="G93" s="147">
        <v>0.35256199999999999</v>
      </c>
      <c r="H93" s="147">
        <v>0.21834000000000001</v>
      </c>
      <c r="I93" s="147">
        <v>0.22134999999999999</v>
      </c>
      <c r="J93" s="147">
        <v>0.20865500000000001</v>
      </c>
      <c r="K93" s="147">
        <v>0.189775</v>
      </c>
      <c r="L93" s="147">
        <v>0.32789299999999999</v>
      </c>
      <c r="M93" s="147">
        <v>0.34884399999999999</v>
      </c>
      <c r="N93" s="147">
        <v>0.28645399999999999</v>
      </c>
      <c r="O93" s="147">
        <v>0.27796300000000002</v>
      </c>
      <c r="P93" s="147">
        <v>0.15409</v>
      </c>
      <c r="Q93"/>
      <c r="R93"/>
      <c r="S93"/>
      <c r="T93"/>
      <c r="U93"/>
      <c r="V93"/>
      <c r="W93"/>
      <c r="X93"/>
      <c r="Y93"/>
      <c r="Z93"/>
    </row>
    <row r="94" spans="1:26" ht="15">
      <c r="A94" s="221"/>
      <c r="B94" s="144" t="s">
        <v>4</v>
      </c>
      <c r="C94" s="147">
        <v>5.9343859999999999</v>
      </c>
      <c r="D94" s="147">
        <v>8.7361280000000008</v>
      </c>
      <c r="E94" s="147">
        <v>9.2030049999999992</v>
      </c>
      <c r="F94" s="147">
        <v>10.826313000000001</v>
      </c>
      <c r="G94" s="147">
        <v>12.901484</v>
      </c>
      <c r="H94" s="147">
        <v>12.233309</v>
      </c>
      <c r="I94" s="147">
        <v>12.746891</v>
      </c>
      <c r="J94" s="147">
        <v>12.07002</v>
      </c>
      <c r="K94" s="147">
        <v>10.538423999999999</v>
      </c>
      <c r="L94" s="147">
        <v>9.6292899999999992</v>
      </c>
      <c r="M94" s="147">
        <v>6.7451980000000002</v>
      </c>
      <c r="N94" s="147">
        <v>6.6944910000000002</v>
      </c>
      <c r="O94" s="147">
        <v>8.3861550000000005</v>
      </c>
      <c r="P94" s="147">
        <v>2.5055000000000001</v>
      </c>
      <c r="Q94"/>
      <c r="R94"/>
      <c r="S94"/>
      <c r="T94"/>
      <c r="U94"/>
      <c r="V94"/>
      <c r="W94"/>
      <c r="X94"/>
      <c r="Y94"/>
      <c r="Z94"/>
    </row>
    <row r="95" spans="1:26" ht="15">
      <c r="A95" s="221"/>
      <c r="B95" s="144" t="s">
        <v>22</v>
      </c>
      <c r="C95" s="147">
        <v>0.20147399999999999</v>
      </c>
      <c r="D95" s="147">
        <v>8.1622E-2</v>
      </c>
      <c r="E95" s="147">
        <v>2.6786999999999998E-2</v>
      </c>
      <c r="F95" s="147">
        <v>1.5415999999999999E-2</v>
      </c>
      <c r="G95" s="147">
        <v>2.3830000000000001E-3</v>
      </c>
      <c r="H95" s="147">
        <v>5.9750999999999999E-2</v>
      </c>
      <c r="I95" s="147">
        <v>5.2531000000000001E-2</v>
      </c>
      <c r="J95" s="147">
        <v>5.0303E-2</v>
      </c>
      <c r="K95" s="147">
        <v>2.81E-3</v>
      </c>
      <c r="L95" s="147">
        <v>2.7317000000000001E-2</v>
      </c>
      <c r="M95" s="147">
        <v>6.9145999999999999E-2</v>
      </c>
      <c r="N95" s="147">
        <v>3.986E-2</v>
      </c>
      <c r="O95" s="147">
        <v>5.7757000000000003E-2</v>
      </c>
      <c r="P95" s="147">
        <v>8.9999999999999993E-3</v>
      </c>
      <c r="Q95"/>
      <c r="R95"/>
      <c r="S95"/>
      <c r="T95"/>
      <c r="U95"/>
      <c r="V95"/>
      <c r="W95"/>
      <c r="X95"/>
      <c r="Y95"/>
      <c r="Z95"/>
    </row>
    <row r="96" spans="1:26" ht="15">
      <c r="A96" s="221"/>
      <c r="B96" s="144" t="s">
        <v>23</v>
      </c>
      <c r="C96" s="147">
        <v>4.0380969999999996</v>
      </c>
      <c r="D96" s="147">
        <v>3.7449910000000002</v>
      </c>
      <c r="E96" s="147">
        <v>3.4759910000000001</v>
      </c>
      <c r="F96" s="147">
        <v>2.759617</v>
      </c>
      <c r="G96" s="147">
        <v>2.681413</v>
      </c>
      <c r="H96" s="147">
        <v>2.5969359999999999</v>
      </c>
      <c r="I96" s="147">
        <v>2.3319320000000001</v>
      </c>
      <c r="J96" s="147">
        <v>1.922374</v>
      </c>
      <c r="K96" s="147">
        <v>2.047806</v>
      </c>
      <c r="L96" s="147">
        <v>2.3333560000000002</v>
      </c>
      <c r="M96" s="147">
        <v>2.521382</v>
      </c>
      <c r="N96" s="147">
        <v>3.3692880000000001</v>
      </c>
      <c r="O96" s="147">
        <v>4.0659429999999999</v>
      </c>
      <c r="P96" s="147">
        <v>1.1434899999999999</v>
      </c>
      <c r="Q96"/>
      <c r="R96"/>
      <c r="S96"/>
      <c r="T96"/>
      <c r="U96"/>
      <c r="V96"/>
      <c r="W96"/>
      <c r="X96"/>
      <c r="Y96"/>
      <c r="Z96"/>
    </row>
    <row r="97" spans="1:26" ht="15">
      <c r="A97" s="221"/>
      <c r="B97" s="144" t="s">
        <v>54</v>
      </c>
      <c r="C97" s="147">
        <v>9.2619229999999995</v>
      </c>
      <c r="D97" s="147">
        <v>6.0955329999999996</v>
      </c>
      <c r="E97" s="147">
        <v>10.531687</v>
      </c>
      <c r="F97" s="147">
        <v>4.8152900000000001</v>
      </c>
      <c r="G97" s="147">
        <v>5.3655939999999998</v>
      </c>
      <c r="H97" s="147">
        <v>14.316091999999999</v>
      </c>
      <c r="I97" s="147">
        <v>10.772016499999999</v>
      </c>
      <c r="J97" s="147">
        <v>10.810641499999999</v>
      </c>
      <c r="K97" s="147">
        <v>14.376298</v>
      </c>
      <c r="L97" s="147">
        <v>6.2382179999999998</v>
      </c>
      <c r="M97" s="147">
        <v>12.812825</v>
      </c>
      <c r="N97" s="147">
        <v>8.6052265000000006</v>
      </c>
      <c r="O97" s="147">
        <v>7.1515275000000003</v>
      </c>
      <c r="P97" s="147">
        <v>3.9598</v>
      </c>
      <c r="Q97"/>
      <c r="R97"/>
      <c r="S97"/>
      <c r="T97"/>
      <c r="U97"/>
      <c r="V97"/>
      <c r="W97"/>
      <c r="X97"/>
      <c r="Y97"/>
      <c r="Z97"/>
    </row>
    <row r="98" spans="1:26" ht="15">
      <c r="A98" s="221"/>
      <c r="B98" s="144" t="s">
        <v>55</v>
      </c>
      <c r="C98" s="147">
        <v>9.2619229999999995</v>
      </c>
      <c r="D98" s="147">
        <v>6.0955329999999996</v>
      </c>
      <c r="E98" s="147">
        <v>10.531687</v>
      </c>
      <c r="F98" s="147">
        <v>4.8152900000000001</v>
      </c>
      <c r="G98" s="147">
        <v>5.3655939999999998</v>
      </c>
      <c r="H98" s="147">
        <v>14.316091999999999</v>
      </c>
      <c r="I98" s="147">
        <v>10.772016499999999</v>
      </c>
      <c r="J98" s="147">
        <v>10.810641499999999</v>
      </c>
      <c r="K98" s="147">
        <v>14.376298</v>
      </c>
      <c r="L98" s="147">
        <v>6.2382179999999998</v>
      </c>
      <c r="M98" s="147">
        <v>12.812825</v>
      </c>
      <c r="N98" s="147">
        <v>8.6052265000000006</v>
      </c>
      <c r="O98" s="147">
        <v>7.1515275000000003</v>
      </c>
      <c r="P98" s="147">
        <v>3.9598</v>
      </c>
      <c r="Q98"/>
      <c r="R98"/>
      <c r="S98"/>
      <c r="T98"/>
      <c r="U98"/>
      <c r="V98"/>
      <c r="W98"/>
      <c r="X98"/>
      <c r="Y98"/>
      <c r="Z98"/>
    </row>
    <row r="99" spans="1:26" ht="15">
      <c r="A99" s="221"/>
      <c r="B99" s="149" t="s">
        <v>2</v>
      </c>
      <c r="C99" s="150">
        <v>320.30814900000001</v>
      </c>
      <c r="D99" s="150">
        <v>287.50736000000001</v>
      </c>
      <c r="E99" s="150">
        <v>291.03421300000002</v>
      </c>
      <c r="F99" s="150">
        <v>241.13105899999999</v>
      </c>
      <c r="G99" s="150">
        <v>247.22088500000001</v>
      </c>
      <c r="H99" s="150">
        <v>267.55820399999999</v>
      </c>
      <c r="I99" s="150">
        <v>360.57918899999999</v>
      </c>
      <c r="J99" s="150">
        <v>383.59305799999998</v>
      </c>
      <c r="K99" s="150">
        <v>287.18267500000002</v>
      </c>
      <c r="L99" s="150">
        <v>262.02232800000002</v>
      </c>
      <c r="M99" s="150">
        <v>268.09819099999999</v>
      </c>
      <c r="N99" s="150">
        <v>298.67876899999999</v>
      </c>
      <c r="O99" s="150">
        <v>332.46966300000003</v>
      </c>
      <c r="P99" s="150">
        <v>77.124556999999996</v>
      </c>
      <c r="Q99"/>
      <c r="R99"/>
      <c r="S99"/>
      <c r="T99"/>
      <c r="U99"/>
      <c r="V99"/>
      <c r="W99"/>
      <c r="X99"/>
      <c r="Y99"/>
      <c r="Z99"/>
    </row>
    <row r="100" spans="1:26" ht="15">
      <c r="A100" s="221"/>
      <c r="B100" s="144" t="s">
        <v>21</v>
      </c>
      <c r="C100" s="147">
        <v>136.155901</v>
      </c>
      <c r="D100" s="147">
        <v>115.92849699999999</v>
      </c>
      <c r="E100" s="147">
        <v>112.780382</v>
      </c>
      <c r="F100" s="147">
        <v>80.581305999999998</v>
      </c>
      <c r="G100" s="147">
        <v>79.946523999999997</v>
      </c>
      <c r="H100" s="147">
        <v>93.289579000000003</v>
      </c>
      <c r="I100" s="147">
        <v>168.331695</v>
      </c>
      <c r="J100" s="147">
        <v>182.71595500000001</v>
      </c>
      <c r="K100" s="147">
        <v>116.274961</v>
      </c>
      <c r="L100" s="147">
        <v>105.943506</v>
      </c>
      <c r="M100" s="147">
        <v>96.327618999999999</v>
      </c>
      <c r="N100" s="147">
        <v>138.26159999999999</v>
      </c>
      <c r="O100" s="147">
        <v>138.25041200000001</v>
      </c>
      <c r="P100" s="147">
        <v>36.774000000000001</v>
      </c>
      <c r="Q100"/>
      <c r="R100"/>
      <c r="S100"/>
      <c r="T100"/>
      <c r="U100"/>
      <c r="V100"/>
      <c r="W100"/>
      <c r="X100"/>
      <c r="Y100"/>
      <c r="Z100"/>
    </row>
    <row r="101" spans="1:26" ht="15">
      <c r="A101" s="222"/>
      <c r="B101" s="149" t="s">
        <v>79</v>
      </c>
      <c r="C101" s="150">
        <v>456.46404999999999</v>
      </c>
      <c r="D101" s="150">
        <v>403.435857</v>
      </c>
      <c r="E101" s="150">
        <v>403.814595</v>
      </c>
      <c r="F101" s="150">
        <v>321.71236499999998</v>
      </c>
      <c r="G101" s="150">
        <v>327.16740900000002</v>
      </c>
      <c r="H101" s="150">
        <v>360.84778299999999</v>
      </c>
      <c r="I101" s="150">
        <v>528.91088400000001</v>
      </c>
      <c r="J101" s="150">
        <v>566.30901300000005</v>
      </c>
      <c r="K101" s="150">
        <v>403.45763599999998</v>
      </c>
      <c r="L101" s="150">
        <v>367.96583399999997</v>
      </c>
      <c r="M101" s="150">
        <v>364.42581000000001</v>
      </c>
      <c r="N101" s="150">
        <v>436.94036899999998</v>
      </c>
      <c r="O101" s="150">
        <v>470.72007500000001</v>
      </c>
      <c r="P101" s="150">
        <v>113.898557</v>
      </c>
      <c r="Q101"/>
      <c r="R101"/>
      <c r="S101"/>
      <c r="T101"/>
      <c r="U101"/>
      <c r="V101"/>
      <c r="W101"/>
      <c r="X101"/>
      <c r="Y101"/>
      <c r="Z101"/>
    </row>
    <row r="102" spans="1:26" ht="15">
      <c r="A102" s="220" t="s">
        <v>58</v>
      </c>
      <c r="B102" s="144" t="s">
        <v>12</v>
      </c>
      <c r="C102" s="147">
        <v>0.30431399999999997</v>
      </c>
      <c r="D102" s="147">
        <v>0.26768999999999998</v>
      </c>
      <c r="E102" s="147">
        <v>0.29931200000000002</v>
      </c>
      <c r="F102" s="147">
        <v>0.288387</v>
      </c>
      <c r="G102" s="147">
        <v>0.28846300000000002</v>
      </c>
      <c r="H102" s="147">
        <v>0.27233299999999999</v>
      </c>
      <c r="I102" s="147">
        <v>0.29030099999999998</v>
      </c>
      <c r="J102" s="147">
        <v>0.29413899999999998</v>
      </c>
      <c r="K102" s="147">
        <v>0.29165099999999999</v>
      </c>
      <c r="L102" s="147">
        <v>0.299369</v>
      </c>
      <c r="M102" s="147">
        <v>0.28527599999999997</v>
      </c>
      <c r="N102" s="147">
        <v>0.29958099999999999</v>
      </c>
      <c r="O102" s="147">
        <v>0.29762100000000002</v>
      </c>
      <c r="P102" s="147">
        <v>0</v>
      </c>
      <c r="Q102"/>
      <c r="R102"/>
      <c r="S102"/>
      <c r="T102"/>
      <c r="U102"/>
      <c r="V102"/>
      <c r="W102"/>
      <c r="X102"/>
      <c r="Y102"/>
      <c r="Z102"/>
    </row>
    <row r="103" spans="1:26" ht="15">
      <c r="A103" s="221"/>
      <c r="B103" s="144" t="s">
        <v>78</v>
      </c>
      <c r="C103" s="147">
        <v>175.82359</v>
      </c>
      <c r="D103" s="147">
        <v>160.69778299999999</v>
      </c>
      <c r="E103" s="147">
        <v>133.86502100000001</v>
      </c>
      <c r="F103" s="147">
        <v>118.219841</v>
      </c>
      <c r="G103" s="147">
        <v>127.46646200000001</v>
      </c>
      <c r="H103" s="147">
        <v>122.84934</v>
      </c>
      <c r="I103" s="147">
        <v>140.50550799999999</v>
      </c>
      <c r="J103" s="147">
        <v>152.65874500000001</v>
      </c>
      <c r="K103" s="147">
        <v>151.15563499999999</v>
      </c>
      <c r="L103" s="147">
        <v>140.27562900000001</v>
      </c>
      <c r="M103" s="147">
        <v>147.43617</v>
      </c>
      <c r="N103" s="147">
        <v>146.45553799999999</v>
      </c>
      <c r="O103" s="147">
        <v>141.05104299999999</v>
      </c>
      <c r="P103" s="147">
        <v>40.226106000000001</v>
      </c>
      <c r="Q103"/>
      <c r="R103"/>
      <c r="S103"/>
      <c r="T103"/>
      <c r="U103"/>
      <c r="V103"/>
      <c r="W103"/>
      <c r="X103"/>
      <c r="Y103"/>
      <c r="Z103"/>
    </row>
    <row r="104" spans="1:26" ht="15">
      <c r="A104" s="221"/>
      <c r="B104" s="144" t="s">
        <v>9</v>
      </c>
      <c r="C104" s="147">
        <v>17.105090000000001</v>
      </c>
      <c r="D104" s="147">
        <v>21.870190999999998</v>
      </c>
      <c r="E104" s="147">
        <v>12.226845000000001</v>
      </c>
      <c r="F104" s="147">
        <v>5.7932370000000004</v>
      </c>
      <c r="G104" s="147">
        <v>9.4236719999999998</v>
      </c>
      <c r="H104" s="147">
        <v>8.6874149999999997</v>
      </c>
      <c r="I104" s="147">
        <v>15.04932</v>
      </c>
      <c r="J104" s="147">
        <v>17.289342999999999</v>
      </c>
      <c r="K104" s="147">
        <v>21.610752000000002</v>
      </c>
      <c r="L104" s="147">
        <v>32.544134999999997</v>
      </c>
      <c r="M104" s="147">
        <v>18.073917999999999</v>
      </c>
      <c r="N104" s="147">
        <v>16.086774999999999</v>
      </c>
      <c r="O104" s="147">
        <v>10.157844000000001</v>
      </c>
      <c r="P104" s="147">
        <v>3.2218550000000001</v>
      </c>
      <c r="Q104"/>
      <c r="R104"/>
      <c r="S104"/>
      <c r="T104"/>
      <c r="U104"/>
      <c r="V104"/>
      <c r="W104"/>
      <c r="X104"/>
      <c r="Y104"/>
      <c r="Z104"/>
    </row>
    <row r="105" spans="1:26" ht="15">
      <c r="A105" s="221"/>
      <c r="B105" s="144" t="s">
        <v>8</v>
      </c>
      <c r="C105" s="147">
        <v>146.91851800000001</v>
      </c>
      <c r="D105" s="147">
        <v>128.34914699999999</v>
      </c>
      <c r="E105" s="147">
        <v>114.048723</v>
      </c>
      <c r="F105" s="147">
        <v>98.923323999999994</v>
      </c>
      <c r="G105" s="147">
        <v>116.06684199999999</v>
      </c>
      <c r="H105" s="147">
        <v>83.295309000000003</v>
      </c>
      <c r="I105" s="147">
        <v>114.33213000000001</v>
      </c>
      <c r="J105" s="147">
        <v>127.712586</v>
      </c>
      <c r="K105" s="147">
        <v>98.396693999999997</v>
      </c>
      <c r="L105" s="147">
        <v>128.21449999999999</v>
      </c>
      <c r="M105" s="147">
        <v>121.615077</v>
      </c>
      <c r="N105" s="147">
        <v>109.732229</v>
      </c>
      <c r="O105" s="147">
        <v>116.282053</v>
      </c>
      <c r="P105" s="147">
        <v>36.862008000000003</v>
      </c>
      <c r="Q105"/>
      <c r="R105"/>
      <c r="S105"/>
      <c r="T105"/>
      <c r="U105"/>
      <c r="V105"/>
      <c r="W105"/>
      <c r="X105"/>
      <c r="Y105"/>
      <c r="Z105"/>
    </row>
    <row r="106" spans="1:26" ht="15">
      <c r="A106" s="221"/>
      <c r="B106" s="144" t="s">
        <v>25</v>
      </c>
      <c r="C106" s="147">
        <v>336.41169600000001</v>
      </c>
      <c r="D106" s="147">
        <v>279.07848200000001</v>
      </c>
      <c r="E106" s="147">
        <v>300.75480199999998</v>
      </c>
      <c r="F106" s="147">
        <v>246.048203</v>
      </c>
      <c r="G106" s="147">
        <v>229.928777</v>
      </c>
      <c r="H106" s="147">
        <v>258.95318400000002</v>
      </c>
      <c r="I106" s="147">
        <v>229.38776100000001</v>
      </c>
      <c r="J106" s="147">
        <v>217.204814</v>
      </c>
      <c r="K106" s="147">
        <v>297.07835399999999</v>
      </c>
      <c r="L106" s="147">
        <v>252.83072899999999</v>
      </c>
      <c r="M106" s="147">
        <v>292.22053799999998</v>
      </c>
      <c r="N106" s="147">
        <v>314.37255499999998</v>
      </c>
      <c r="O106" s="147">
        <v>280.66014899999999</v>
      </c>
      <c r="P106" s="147">
        <v>90.706214000000003</v>
      </c>
      <c r="Q106"/>
      <c r="R106"/>
      <c r="S106"/>
      <c r="T106"/>
      <c r="U106"/>
      <c r="V106"/>
      <c r="W106"/>
      <c r="X106"/>
      <c r="Y106"/>
      <c r="Z106"/>
    </row>
    <row r="107" spans="1:26" ht="15">
      <c r="A107" s="221"/>
      <c r="B107" s="144" t="s">
        <v>6</v>
      </c>
      <c r="C107" s="147">
        <v>0.82455000000000001</v>
      </c>
      <c r="D107" s="147">
        <v>1.3385149999999999</v>
      </c>
      <c r="E107" s="147">
        <v>1.8236140000000001</v>
      </c>
      <c r="F107" s="147">
        <v>0.99112500000000003</v>
      </c>
      <c r="G107" s="147">
        <v>1.4427080000000001</v>
      </c>
      <c r="H107" s="147">
        <v>0.74262799999999995</v>
      </c>
      <c r="I107" s="147">
        <v>3.6524220000000001</v>
      </c>
      <c r="J107" s="147">
        <v>3.5757409999999998</v>
      </c>
      <c r="K107" s="147">
        <v>1.9118980000000001</v>
      </c>
      <c r="L107" s="147">
        <v>1.456723</v>
      </c>
      <c r="M107" s="147">
        <v>0.821801</v>
      </c>
      <c r="N107" s="147">
        <v>0.95850199999999997</v>
      </c>
      <c r="O107" s="147">
        <v>0.99317</v>
      </c>
      <c r="P107" s="147">
        <v>0.41644700000000001</v>
      </c>
      <c r="Q107"/>
      <c r="R107"/>
      <c r="S107"/>
      <c r="T107"/>
      <c r="U107"/>
      <c r="V107"/>
      <c r="W107"/>
      <c r="X107"/>
      <c r="Y107"/>
      <c r="Z107"/>
    </row>
    <row r="108" spans="1:26" ht="15">
      <c r="A108" s="221"/>
      <c r="B108" s="144" t="s">
        <v>5</v>
      </c>
      <c r="C108" s="147">
        <v>60.189520999999999</v>
      </c>
      <c r="D108" s="147">
        <v>93.155251000000007</v>
      </c>
      <c r="E108" s="147">
        <v>97.166026000000002</v>
      </c>
      <c r="F108" s="147">
        <v>54.728521000000001</v>
      </c>
      <c r="G108" s="147">
        <v>69.749658999999994</v>
      </c>
      <c r="H108" s="147">
        <v>103.362193</v>
      </c>
      <c r="I108" s="147">
        <v>148.25553600000001</v>
      </c>
      <c r="J108" s="147">
        <v>166.40368100000001</v>
      </c>
      <c r="K108" s="147">
        <v>92.772315000000006</v>
      </c>
      <c r="L108" s="147">
        <v>98.269994999999994</v>
      </c>
      <c r="M108" s="147">
        <v>54.804782000000003</v>
      </c>
      <c r="N108" s="147">
        <v>61.437581999999999</v>
      </c>
      <c r="O108" s="147">
        <v>81.105193</v>
      </c>
      <c r="P108" s="147">
        <v>12.847045</v>
      </c>
      <c r="Q108"/>
      <c r="R108"/>
      <c r="S108"/>
      <c r="T108"/>
      <c r="U108"/>
      <c r="V108"/>
      <c r="W108"/>
      <c r="X108"/>
      <c r="Y108"/>
      <c r="Z108"/>
    </row>
    <row r="109" spans="1:26" ht="15">
      <c r="A109" s="221"/>
      <c r="B109" s="144" t="s">
        <v>4</v>
      </c>
      <c r="C109" s="147">
        <v>18.499904999999998</v>
      </c>
      <c r="D109" s="147">
        <v>20.258367</v>
      </c>
      <c r="E109" s="147">
        <v>21.187342999999998</v>
      </c>
      <c r="F109" s="147">
        <v>22.647696</v>
      </c>
      <c r="G109" s="147">
        <v>26.043417000000002</v>
      </c>
      <c r="H109" s="147">
        <v>23.718388000000001</v>
      </c>
      <c r="I109" s="147">
        <v>26.993926999999999</v>
      </c>
      <c r="J109" s="147">
        <v>26.63702</v>
      </c>
      <c r="K109" s="147">
        <v>20.951909000000001</v>
      </c>
      <c r="L109" s="147">
        <v>19.857990999999998</v>
      </c>
      <c r="M109" s="147">
        <v>15.894228</v>
      </c>
      <c r="N109" s="147">
        <v>15.168276000000001</v>
      </c>
      <c r="O109" s="147">
        <v>16.287994999999999</v>
      </c>
      <c r="P109" s="147">
        <v>4.9516049999999998</v>
      </c>
      <c r="Q109"/>
      <c r="R109"/>
      <c r="S109"/>
      <c r="T109"/>
      <c r="U109"/>
      <c r="V109"/>
      <c r="W109"/>
      <c r="X109"/>
      <c r="Y109"/>
      <c r="Z109"/>
    </row>
    <row r="110" spans="1:26" ht="15">
      <c r="A110" s="221"/>
      <c r="B110" s="144" t="s">
        <v>22</v>
      </c>
      <c r="C110" s="147">
        <v>0.87627999999999995</v>
      </c>
      <c r="D110" s="147">
        <v>0.84570599999999996</v>
      </c>
      <c r="E110" s="147">
        <v>0.82168300000000005</v>
      </c>
      <c r="F110" s="147">
        <v>0.83979599999999999</v>
      </c>
      <c r="G110" s="147">
        <v>0.70590200000000003</v>
      </c>
      <c r="H110" s="147">
        <v>0.78505800000000003</v>
      </c>
      <c r="I110" s="147">
        <v>0.69386000000000003</v>
      </c>
      <c r="J110" s="147">
        <v>0.69097799999999998</v>
      </c>
      <c r="K110" s="147">
        <v>0.64958000000000005</v>
      </c>
      <c r="L110" s="147">
        <v>0.78250799999999998</v>
      </c>
      <c r="M110" s="147">
        <v>0.74004199999999998</v>
      </c>
      <c r="N110" s="147">
        <v>0.75252699999999995</v>
      </c>
      <c r="O110" s="147">
        <v>0.35872300000000001</v>
      </c>
      <c r="P110" s="147">
        <v>0</v>
      </c>
      <c r="Q110"/>
      <c r="R110"/>
      <c r="S110"/>
      <c r="T110"/>
      <c r="U110"/>
      <c r="V110"/>
      <c r="W110"/>
      <c r="X110"/>
      <c r="Y110"/>
      <c r="Z110"/>
    </row>
    <row r="111" spans="1:26" ht="15">
      <c r="A111" s="221"/>
      <c r="B111" s="149" t="s">
        <v>2</v>
      </c>
      <c r="C111" s="150">
        <v>756.95346400000005</v>
      </c>
      <c r="D111" s="150">
        <v>705.861132</v>
      </c>
      <c r="E111" s="150">
        <v>682.19336899999996</v>
      </c>
      <c r="F111" s="150">
        <v>548.48013000000003</v>
      </c>
      <c r="G111" s="150">
        <v>581.11590200000001</v>
      </c>
      <c r="H111" s="150">
        <v>602.66584799999998</v>
      </c>
      <c r="I111" s="150">
        <v>679.16076499999997</v>
      </c>
      <c r="J111" s="150">
        <v>712.46704699999998</v>
      </c>
      <c r="K111" s="150">
        <v>684.81878800000004</v>
      </c>
      <c r="L111" s="150">
        <v>674.53157899999997</v>
      </c>
      <c r="M111" s="150">
        <v>651.89183200000002</v>
      </c>
      <c r="N111" s="150">
        <v>665.26356499999997</v>
      </c>
      <c r="O111" s="150">
        <v>647.19379100000003</v>
      </c>
      <c r="P111" s="150">
        <v>189.23128</v>
      </c>
      <c r="Q111"/>
      <c r="R111"/>
      <c r="S111"/>
      <c r="T111"/>
      <c r="U111"/>
      <c r="V111"/>
      <c r="W111"/>
      <c r="X111"/>
      <c r="Y111"/>
      <c r="Z111"/>
    </row>
    <row r="112" spans="1:26" ht="15">
      <c r="A112" s="222"/>
      <c r="B112" s="149" t="s">
        <v>79</v>
      </c>
      <c r="C112" s="150">
        <v>756.95346400000005</v>
      </c>
      <c r="D112" s="150">
        <v>705.861132</v>
      </c>
      <c r="E112" s="150">
        <v>682.19336899999996</v>
      </c>
      <c r="F112" s="150">
        <v>548.48013000000003</v>
      </c>
      <c r="G112" s="150">
        <v>581.11590200000001</v>
      </c>
      <c r="H112" s="150">
        <v>602.66584799999998</v>
      </c>
      <c r="I112" s="150">
        <v>679.16076499999997</v>
      </c>
      <c r="J112" s="150">
        <v>712.46704699999998</v>
      </c>
      <c r="K112" s="150">
        <v>684.81878800000004</v>
      </c>
      <c r="L112" s="150">
        <v>674.53157899999997</v>
      </c>
      <c r="M112" s="150">
        <v>651.89183200000002</v>
      </c>
      <c r="N112" s="150">
        <v>665.26356499999997</v>
      </c>
      <c r="O112" s="150">
        <v>647.19379100000003</v>
      </c>
      <c r="P112" s="150">
        <v>189.23128</v>
      </c>
      <c r="Q112"/>
      <c r="R112"/>
      <c r="S112"/>
      <c r="T112"/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8" t="s">
        <v>73</v>
      </c>
      <c r="C117" s="120" t="str">
        <f>TEXT(EDATE(D117,-1),"mmmm aaaa")</f>
        <v>enero 2020</v>
      </c>
      <c r="D117" s="120" t="str">
        <f t="shared" ref="D117:M117" si="6">TEXT(EDATE(E117,-1),"mmmm aaaa")</f>
        <v>febrero 2020</v>
      </c>
      <c r="E117" s="120" t="str">
        <f t="shared" si="6"/>
        <v>marzo 2020</v>
      </c>
      <c r="F117" s="120" t="str">
        <f t="shared" si="6"/>
        <v>abril 2020</v>
      </c>
      <c r="G117" s="120" t="str">
        <f t="shared" si="6"/>
        <v>mayo 2020</v>
      </c>
      <c r="H117" s="120" t="str">
        <f t="shared" si="6"/>
        <v>junio 2020</v>
      </c>
      <c r="I117" s="120" t="str">
        <f t="shared" si="6"/>
        <v>julio 2020</v>
      </c>
      <c r="J117" s="120" t="str">
        <f t="shared" si="6"/>
        <v>agosto 2020</v>
      </c>
      <c r="K117" s="120" t="str">
        <f t="shared" si="6"/>
        <v>septiembre 2020</v>
      </c>
      <c r="L117" s="120" t="str">
        <f t="shared" si="6"/>
        <v>octubre 2020</v>
      </c>
      <c r="M117" s="120" t="str">
        <f t="shared" si="6"/>
        <v>noviembre 2020</v>
      </c>
      <c r="N117" s="120" t="str">
        <f>TEXT(EDATE(O117,-1),"mmmm aaaa")</f>
        <v>diciembre 2020</v>
      </c>
      <c r="O117" s="121" t="str">
        <f>A2</f>
        <v>Enero 2021</v>
      </c>
    </row>
    <row r="118" spans="1:19">
      <c r="B118" s="219"/>
      <c r="C118" s="131" t="str">
        <f>TEXT(EDATE($A$2,-12),"mmm")&amp;".-"&amp;TEXT(EDATE($A$2,-12),"aa")</f>
        <v>ene.-20</v>
      </c>
      <c r="D118" s="131" t="str">
        <f>TEXT(EDATE($A$2,-11),"mmm")&amp;".-"&amp;TEXT(EDATE($A$2,-11),"aa")</f>
        <v>feb.-20</v>
      </c>
      <c r="E118" s="131" t="str">
        <f>TEXT(EDATE($A$2,-10),"mmm")&amp;".-"&amp;TEXT(EDATE($A$2,-10),"aa")</f>
        <v>mar.-20</v>
      </c>
      <c r="F118" s="131" t="str">
        <f>TEXT(EDATE($A$2,-9),"mmm")&amp;".-"&amp;TEXT(EDATE($A$2,-9),"aa")</f>
        <v>abr.-20</v>
      </c>
      <c r="G118" s="131" t="str">
        <f>TEXT(EDATE($A$2,-8),"mmm")&amp;".-"&amp;TEXT(EDATE($A$2,-8),"aa")</f>
        <v>may.-20</v>
      </c>
      <c r="H118" s="131" t="str">
        <f>TEXT(EDATE($A$2,-7),"mmm")&amp;".-"&amp;TEXT(EDATE($A$2,-7),"aa")</f>
        <v>jun.-20</v>
      </c>
      <c r="I118" s="131" t="str">
        <f>TEXT(EDATE($A$2,-6),"mmm")&amp;".-"&amp;TEXT(EDATE($A$2,-6),"aa")</f>
        <v>jul.-20</v>
      </c>
      <c r="J118" s="131" t="str">
        <f>TEXT(EDATE($A$2,-5),"mmm")&amp;".-"&amp;TEXT(EDATE($A$2,-5),"aa")</f>
        <v>ago.-20</v>
      </c>
      <c r="K118" s="131" t="str">
        <f>TEXT(EDATE($A$2,-4),"mmm")&amp;".-"&amp;TEXT(EDATE($A$2,-4),"aa")</f>
        <v>sep.-20</v>
      </c>
      <c r="L118" s="131" t="str">
        <f>TEXT(EDATE($A$2,-3),"mmm")&amp;".-"&amp;TEXT(EDATE($A$2,-3),"aa")</f>
        <v>oct.-20</v>
      </c>
      <c r="M118" s="131" t="str">
        <f>TEXT(EDATE($A$2,-2),"mmm")&amp;".-"&amp;TEXT(EDATE($A$2,-2),"aa")</f>
        <v>nov.-20</v>
      </c>
      <c r="N118" s="131" t="str">
        <f>TEXT(EDATE($A$2,-1),"mmm")&amp;".-"&amp;TEXT(EDATE($A$2,-1),"aa")</f>
        <v>dic.-20</v>
      </c>
      <c r="O118" s="160" t="str">
        <f>TEXT($A$2,"mmm")&amp;".-"&amp;TEXT($A$2,"aa")</f>
        <v>ene.-21</v>
      </c>
    </row>
    <row r="119" spans="1:19">
      <c r="A119" s="215" t="s">
        <v>76</v>
      </c>
      <c r="B119" s="132" t="s">
        <v>11</v>
      </c>
      <c r="C119" s="133">
        <f>HLOOKUP(C$117,$86:$101,3,FALSE)</f>
        <v>-3.1773479999999998</v>
      </c>
      <c r="D119" s="133">
        <f t="shared" ref="D119:N119" si="7">HLOOKUP(D$117,$86:$101,3,FALSE)</f>
        <v>-1.357415</v>
      </c>
      <c r="E119" s="133">
        <f t="shared" si="7"/>
        <v>-1.701627</v>
      </c>
      <c r="F119" s="133">
        <f t="shared" si="7"/>
        <v>-1.684266</v>
      </c>
      <c r="G119" s="133">
        <f t="shared" si="7"/>
        <v>-1.8020959999999999</v>
      </c>
      <c r="H119" s="133">
        <f t="shared" si="7"/>
        <v>-1.2808299999999999</v>
      </c>
      <c r="I119" s="133">
        <f t="shared" si="7"/>
        <v>-1.119569</v>
      </c>
      <c r="J119" s="133">
        <f t="shared" si="7"/>
        <v>-1.1268309999999999</v>
      </c>
      <c r="K119" s="133">
        <f t="shared" si="7"/>
        <v>68.615076999999999</v>
      </c>
      <c r="L119" s="133">
        <f t="shared" si="7"/>
        <v>69.531803999999994</v>
      </c>
      <c r="M119" s="133">
        <f t="shared" si="7"/>
        <v>18.689830000000001</v>
      </c>
      <c r="N119" s="133">
        <f t="shared" si="7"/>
        <v>78.075038000000006</v>
      </c>
      <c r="O119" s="134">
        <f>HLOOKUP(O$117,$86:$101,3,FALSE)</f>
        <v>-0.63269200000000003</v>
      </c>
    </row>
    <row r="120" spans="1:19">
      <c r="A120" s="216"/>
      <c r="B120" s="122" t="s">
        <v>10</v>
      </c>
      <c r="C120" s="116">
        <f>HLOOKUP(C$117,$86:$101,4,FALSE)</f>
        <v>25.163323999999999</v>
      </c>
      <c r="D120" s="116">
        <f t="shared" ref="D120:O120" si="8">HLOOKUP(D$117,$86:$101,4,FALSE)</f>
        <v>20.211247</v>
      </c>
      <c r="E120" s="116">
        <f t="shared" si="8"/>
        <v>15.845757000000001</v>
      </c>
      <c r="F120" s="116">
        <f t="shared" si="8"/>
        <v>18.686546</v>
      </c>
      <c r="G120" s="116">
        <f t="shared" si="8"/>
        <v>20.180289999999999</v>
      </c>
      <c r="H120" s="116">
        <f t="shared" si="8"/>
        <v>17.902134</v>
      </c>
      <c r="I120" s="116">
        <f t="shared" si="8"/>
        <v>32.575167</v>
      </c>
      <c r="J120" s="116">
        <f t="shared" si="8"/>
        <v>48.229475999999998</v>
      </c>
      <c r="K120" s="116">
        <f t="shared" si="8"/>
        <v>25.914612999999999</v>
      </c>
      <c r="L120" s="116">
        <f t="shared" si="8"/>
        <v>16.883790999999999</v>
      </c>
      <c r="M120" s="116">
        <f t="shared" si="8"/>
        <v>18.608250999999999</v>
      </c>
      <c r="N120" s="116">
        <f t="shared" si="8"/>
        <v>22.109065000000001</v>
      </c>
      <c r="O120" s="134">
        <f t="shared" si="8"/>
        <v>27.196950000000001</v>
      </c>
    </row>
    <row r="121" spans="1:19">
      <c r="A121" s="216"/>
      <c r="B121" s="122" t="s">
        <v>9</v>
      </c>
      <c r="C121" s="116">
        <f>HLOOKUP(C$117,$86:$101,5,FALSE)</f>
        <v>21.825088000000001</v>
      </c>
      <c r="D121" s="116">
        <f t="shared" ref="D121:O121" si="9">HLOOKUP(D$117,$86:$101,5,FALSE)</f>
        <v>17.386634999999998</v>
      </c>
      <c r="E121" s="116">
        <f t="shared" si="9"/>
        <v>18.899491999999999</v>
      </c>
      <c r="F121" s="116">
        <f t="shared" si="9"/>
        <v>9.9217499999999994</v>
      </c>
      <c r="G121" s="116">
        <f t="shared" si="9"/>
        <v>9.5129249999999992</v>
      </c>
      <c r="H121" s="116">
        <f t="shared" si="9"/>
        <v>15.970385</v>
      </c>
      <c r="I121" s="116">
        <f t="shared" si="9"/>
        <v>33.700387999999997</v>
      </c>
      <c r="J121" s="116">
        <f t="shared" si="9"/>
        <v>37.145944999999998</v>
      </c>
      <c r="K121" s="116">
        <f t="shared" si="9"/>
        <v>15.232726</v>
      </c>
      <c r="L121" s="116">
        <f t="shared" si="9"/>
        <v>8.9368049999999997</v>
      </c>
      <c r="M121" s="116">
        <f t="shared" si="9"/>
        <v>10.474845</v>
      </c>
      <c r="N121" s="116">
        <f t="shared" si="9"/>
        <v>11.540551000000001</v>
      </c>
      <c r="O121" s="134">
        <f t="shared" si="9"/>
        <v>18.542487000000001</v>
      </c>
    </row>
    <row r="122" spans="1:19" ht="14.25">
      <c r="A122" s="216"/>
      <c r="B122" s="122" t="s">
        <v>74</v>
      </c>
      <c r="C122" s="116">
        <f>HLOOKUP(C$117,$86:$101,6,FALSE)</f>
        <v>247.42845600000001</v>
      </c>
      <c r="D122" s="116">
        <f t="shared" ref="D122:O122" si="10">HLOOKUP(D$117,$86:$101,6,FALSE)</f>
        <v>226.17381</v>
      </c>
      <c r="E122" s="116">
        <f t="shared" si="10"/>
        <v>223.68827999999999</v>
      </c>
      <c r="F122" s="116">
        <f t="shared" si="10"/>
        <v>190.73178300000001</v>
      </c>
      <c r="G122" s="116">
        <f t="shared" si="10"/>
        <v>192.66073600000001</v>
      </c>
      <c r="H122" s="116">
        <f t="shared" si="10"/>
        <v>191.22599500000001</v>
      </c>
      <c r="I122" s="116">
        <f t="shared" si="10"/>
        <v>258.52646600000003</v>
      </c>
      <c r="J122" s="116">
        <f t="shared" si="10"/>
        <v>260.88770599999998</v>
      </c>
      <c r="K122" s="116">
        <f t="shared" si="10"/>
        <v>135.30891800000001</v>
      </c>
      <c r="L122" s="116">
        <f t="shared" si="10"/>
        <v>141.13588200000001</v>
      </c>
      <c r="M122" s="116">
        <f t="shared" si="10"/>
        <v>185.01504499999999</v>
      </c>
      <c r="N122" s="116">
        <f t="shared" si="10"/>
        <v>159.35356899999999</v>
      </c>
      <c r="O122" s="134">
        <f t="shared" si="10"/>
        <v>260.27204499999999</v>
      </c>
    </row>
    <row r="123" spans="1:19">
      <c r="A123" s="216"/>
      <c r="B123" s="122" t="s">
        <v>24</v>
      </c>
      <c r="C123" s="116">
        <f>HLOOKUP(C$117,$86:$101,7,FALSE)</f>
        <v>0</v>
      </c>
      <c r="D123" s="116">
        <f t="shared" ref="D123:O123" si="11">HLOOKUP(D$117,$86:$101,7,FALSE)</f>
        <v>0</v>
      </c>
      <c r="E123" s="116">
        <f t="shared" si="11"/>
        <v>0</v>
      </c>
      <c r="F123" s="116">
        <f t="shared" si="11"/>
        <v>0</v>
      </c>
      <c r="G123" s="116">
        <f t="shared" si="11"/>
        <v>0</v>
      </c>
      <c r="H123" s="116">
        <f t="shared" si="11"/>
        <v>0</v>
      </c>
      <c r="I123" s="116">
        <f t="shared" si="11"/>
        <v>0</v>
      </c>
      <c r="J123" s="116">
        <f t="shared" si="11"/>
        <v>2.5841270000000001</v>
      </c>
      <c r="K123" s="116">
        <f t="shared" si="11"/>
        <v>0.57992999999999995</v>
      </c>
      <c r="L123" s="116">
        <f t="shared" si="11"/>
        <v>0.73975400000000002</v>
      </c>
      <c r="M123" s="116">
        <f t="shared" si="11"/>
        <v>0</v>
      </c>
      <c r="N123" s="116">
        <f t="shared" si="11"/>
        <v>0</v>
      </c>
      <c r="O123" s="134">
        <f t="shared" si="11"/>
        <v>0</v>
      </c>
    </row>
    <row r="124" spans="1:19">
      <c r="A124" s="216"/>
      <c r="B124" s="122" t="s">
        <v>5</v>
      </c>
      <c r="C124" s="116">
        <f>HLOOKUP(C$117,$86:$102,8,FALSE)</f>
        <v>0.37082599999999999</v>
      </c>
      <c r="D124" s="116">
        <f t="shared" ref="D124:O124" si="12">HLOOKUP(D$117,$86:$102,8,FALSE)</f>
        <v>0.33927600000000002</v>
      </c>
      <c r="E124" s="116">
        <f t="shared" si="12"/>
        <v>0.53315400000000002</v>
      </c>
      <c r="F124" s="116">
        <f t="shared" si="12"/>
        <v>0.24332000000000001</v>
      </c>
      <c r="G124" s="116">
        <f t="shared" si="12"/>
        <v>0.35256199999999999</v>
      </c>
      <c r="H124" s="116">
        <f t="shared" si="12"/>
        <v>0.21834000000000001</v>
      </c>
      <c r="I124" s="116">
        <f t="shared" si="12"/>
        <v>0.22134999999999999</v>
      </c>
      <c r="J124" s="116">
        <f t="shared" si="12"/>
        <v>0.20865500000000001</v>
      </c>
      <c r="K124" s="116">
        <f t="shared" si="12"/>
        <v>0.189775</v>
      </c>
      <c r="L124" s="116">
        <f t="shared" si="12"/>
        <v>0.32789299999999999</v>
      </c>
      <c r="M124" s="116">
        <f t="shared" si="12"/>
        <v>0.34884399999999999</v>
      </c>
      <c r="N124" s="116">
        <f t="shared" si="12"/>
        <v>0.28645399999999999</v>
      </c>
      <c r="O124" s="134">
        <f t="shared" si="12"/>
        <v>0.27796300000000002</v>
      </c>
    </row>
    <row r="125" spans="1:19">
      <c r="A125" s="216"/>
      <c r="B125" s="122" t="s">
        <v>4</v>
      </c>
      <c r="C125" s="116">
        <f>HLOOKUP(C$117,$86:$102,9,FALSE)</f>
        <v>5.9343859999999999</v>
      </c>
      <c r="D125" s="116">
        <f t="shared" ref="D125:O125" si="13">HLOOKUP(D$117,$86:$102,9,FALSE)</f>
        <v>8.7361280000000008</v>
      </c>
      <c r="E125" s="116">
        <f t="shared" si="13"/>
        <v>9.2030049999999992</v>
      </c>
      <c r="F125" s="116">
        <f t="shared" si="13"/>
        <v>10.826313000000001</v>
      </c>
      <c r="G125" s="116">
        <f t="shared" si="13"/>
        <v>12.901484</v>
      </c>
      <c r="H125" s="116">
        <f t="shared" si="13"/>
        <v>12.233309</v>
      </c>
      <c r="I125" s="116">
        <f t="shared" si="13"/>
        <v>12.746891</v>
      </c>
      <c r="J125" s="116">
        <f t="shared" si="13"/>
        <v>12.07002</v>
      </c>
      <c r="K125" s="116">
        <f t="shared" si="13"/>
        <v>10.538423999999999</v>
      </c>
      <c r="L125" s="116">
        <f t="shared" si="13"/>
        <v>9.6292899999999992</v>
      </c>
      <c r="M125" s="116">
        <f t="shared" si="13"/>
        <v>6.7451980000000002</v>
      </c>
      <c r="N125" s="116">
        <f t="shared" si="13"/>
        <v>6.6944910000000002</v>
      </c>
      <c r="O125" s="134">
        <f t="shared" si="13"/>
        <v>8.3861550000000005</v>
      </c>
    </row>
    <row r="126" spans="1:19">
      <c r="A126" s="216"/>
      <c r="B126" s="123" t="s">
        <v>22</v>
      </c>
      <c r="C126" s="116">
        <f>HLOOKUP(C$117,$86:$102,10,FALSE)</f>
        <v>0.20147399999999999</v>
      </c>
      <c r="D126" s="116">
        <f t="shared" ref="D126:O126" si="14">HLOOKUP(D$117,$86:$102,10,FALSE)</f>
        <v>8.1622E-2</v>
      </c>
      <c r="E126" s="116">
        <f t="shared" si="14"/>
        <v>2.6786999999999998E-2</v>
      </c>
      <c r="F126" s="116">
        <f t="shared" si="14"/>
        <v>1.5415999999999999E-2</v>
      </c>
      <c r="G126" s="116">
        <f t="shared" si="14"/>
        <v>2.3830000000000001E-3</v>
      </c>
      <c r="H126" s="116">
        <f t="shared" si="14"/>
        <v>5.9750999999999999E-2</v>
      </c>
      <c r="I126" s="116">
        <f t="shared" si="14"/>
        <v>5.2531000000000001E-2</v>
      </c>
      <c r="J126" s="116">
        <f t="shared" si="14"/>
        <v>5.0303E-2</v>
      </c>
      <c r="K126" s="116">
        <f t="shared" si="14"/>
        <v>2.81E-3</v>
      </c>
      <c r="L126" s="116">
        <f t="shared" si="14"/>
        <v>2.7317000000000001E-2</v>
      </c>
      <c r="M126" s="116">
        <f t="shared" si="14"/>
        <v>6.9145999999999999E-2</v>
      </c>
      <c r="N126" s="116">
        <f t="shared" si="14"/>
        <v>3.986E-2</v>
      </c>
      <c r="O126" s="134">
        <f t="shared" si="14"/>
        <v>5.7757000000000003E-2</v>
      </c>
    </row>
    <row r="127" spans="1:19">
      <c r="A127" s="216"/>
      <c r="B127" s="123" t="s">
        <v>23</v>
      </c>
      <c r="C127" s="116">
        <f>HLOOKUP(C$117,$86:$102,11,FALSE)</f>
        <v>4.0380969999999996</v>
      </c>
      <c r="D127" s="116">
        <f t="shared" ref="D127:O127" si="15">HLOOKUP(D$117,$86:$102,11,FALSE)</f>
        <v>3.7449910000000002</v>
      </c>
      <c r="E127" s="116">
        <f t="shared" si="15"/>
        <v>3.4759910000000001</v>
      </c>
      <c r="F127" s="116">
        <f t="shared" si="15"/>
        <v>2.759617</v>
      </c>
      <c r="G127" s="116">
        <f t="shared" si="15"/>
        <v>2.681413</v>
      </c>
      <c r="H127" s="116">
        <f t="shared" si="15"/>
        <v>2.5969359999999999</v>
      </c>
      <c r="I127" s="116">
        <f t="shared" si="15"/>
        <v>2.3319320000000001</v>
      </c>
      <c r="J127" s="116">
        <f t="shared" si="15"/>
        <v>1.922374</v>
      </c>
      <c r="K127" s="116">
        <f t="shared" si="15"/>
        <v>2.047806</v>
      </c>
      <c r="L127" s="116">
        <f t="shared" si="15"/>
        <v>2.3333560000000002</v>
      </c>
      <c r="M127" s="116">
        <f t="shared" si="15"/>
        <v>2.521382</v>
      </c>
      <c r="N127" s="116">
        <f t="shared" si="15"/>
        <v>3.3692880000000001</v>
      </c>
      <c r="O127" s="134">
        <f t="shared" si="15"/>
        <v>4.0659429999999999</v>
      </c>
    </row>
    <row r="128" spans="1:19">
      <c r="A128" s="216"/>
      <c r="B128" s="122" t="s">
        <v>55</v>
      </c>
      <c r="C128" s="116">
        <f t="shared" ref="C128:O128" si="16">HLOOKUP(C$117,$86:$102,13,FALSE)</f>
        <v>9.2619229999999995</v>
      </c>
      <c r="D128" s="116">
        <f t="shared" si="16"/>
        <v>6.0955329999999996</v>
      </c>
      <c r="E128" s="116">
        <f t="shared" si="16"/>
        <v>10.531687</v>
      </c>
      <c r="F128" s="116">
        <f t="shared" si="16"/>
        <v>4.8152900000000001</v>
      </c>
      <c r="G128" s="116">
        <f t="shared" si="16"/>
        <v>5.3655939999999998</v>
      </c>
      <c r="H128" s="116">
        <f t="shared" si="16"/>
        <v>14.316091999999999</v>
      </c>
      <c r="I128" s="116">
        <f t="shared" si="16"/>
        <v>10.772016499999999</v>
      </c>
      <c r="J128" s="116">
        <f t="shared" si="16"/>
        <v>10.810641499999999</v>
      </c>
      <c r="K128" s="116">
        <f t="shared" si="16"/>
        <v>14.376298</v>
      </c>
      <c r="L128" s="116">
        <f t="shared" si="16"/>
        <v>6.2382179999999998</v>
      </c>
      <c r="M128" s="116">
        <f t="shared" si="16"/>
        <v>12.812825</v>
      </c>
      <c r="N128" s="116">
        <f t="shared" si="16"/>
        <v>8.6052265000000006</v>
      </c>
      <c r="O128" s="134">
        <f t="shared" si="16"/>
        <v>7.1515275000000003</v>
      </c>
    </row>
    <row r="129" spans="1:15">
      <c r="A129" s="216"/>
      <c r="B129" s="122" t="s">
        <v>54</v>
      </c>
      <c r="C129" s="116">
        <f>HLOOKUP(C$117,$86:$102,12,FALSE)</f>
        <v>9.2619229999999995</v>
      </c>
      <c r="D129" s="116">
        <f t="shared" ref="D129:O129" si="17">HLOOKUP(D$117,$86:$102,12,FALSE)</f>
        <v>6.0955329999999996</v>
      </c>
      <c r="E129" s="116">
        <f t="shared" si="17"/>
        <v>10.531687</v>
      </c>
      <c r="F129" s="116">
        <f t="shared" si="17"/>
        <v>4.8152900000000001</v>
      </c>
      <c r="G129" s="116">
        <f t="shared" si="17"/>
        <v>5.3655939999999998</v>
      </c>
      <c r="H129" s="116">
        <f t="shared" si="17"/>
        <v>14.316091999999999</v>
      </c>
      <c r="I129" s="116">
        <f t="shared" si="17"/>
        <v>10.772016499999999</v>
      </c>
      <c r="J129" s="116">
        <f t="shared" si="17"/>
        <v>10.810641499999999</v>
      </c>
      <c r="K129" s="116">
        <f t="shared" si="17"/>
        <v>14.376298</v>
      </c>
      <c r="L129" s="116">
        <f t="shared" si="17"/>
        <v>6.2382179999999998</v>
      </c>
      <c r="M129" s="116">
        <f t="shared" si="17"/>
        <v>12.812825</v>
      </c>
      <c r="N129" s="116">
        <f t="shared" si="17"/>
        <v>8.6052265000000006</v>
      </c>
      <c r="O129" s="134">
        <f t="shared" si="17"/>
        <v>7.1515275000000003</v>
      </c>
    </row>
    <row r="130" spans="1:15">
      <c r="A130" s="216"/>
      <c r="B130" s="124" t="s">
        <v>2</v>
      </c>
      <c r="C130" s="125">
        <f>HLOOKUP(C$117,$86:$102,14,FALSE)</f>
        <v>320.30814900000001</v>
      </c>
      <c r="D130" s="125">
        <f t="shared" ref="D130:O130" si="18">HLOOKUP(D$117,$86:$102,14,FALSE)</f>
        <v>287.50736000000001</v>
      </c>
      <c r="E130" s="125">
        <f t="shared" si="18"/>
        <v>291.03421300000002</v>
      </c>
      <c r="F130" s="125">
        <f t="shared" si="18"/>
        <v>241.13105899999999</v>
      </c>
      <c r="G130" s="125">
        <f t="shared" si="18"/>
        <v>247.22088500000001</v>
      </c>
      <c r="H130" s="125">
        <f t="shared" si="18"/>
        <v>267.55820399999999</v>
      </c>
      <c r="I130" s="125">
        <f t="shared" si="18"/>
        <v>360.57918899999999</v>
      </c>
      <c r="J130" s="125">
        <f t="shared" si="18"/>
        <v>383.59305799999998</v>
      </c>
      <c r="K130" s="125">
        <f t="shared" si="18"/>
        <v>287.18267500000002</v>
      </c>
      <c r="L130" s="125">
        <f t="shared" si="18"/>
        <v>262.02232800000002</v>
      </c>
      <c r="M130" s="125">
        <f t="shared" si="18"/>
        <v>268.09819099999999</v>
      </c>
      <c r="N130" s="125">
        <f t="shared" si="18"/>
        <v>298.67876899999999</v>
      </c>
      <c r="O130" s="135">
        <f t="shared" si="18"/>
        <v>332.46966300000003</v>
      </c>
    </row>
    <row r="131" spans="1:15">
      <c r="A131" s="216"/>
      <c r="B131" s="122" t="s">
        <v>21</v>
      </c>
      <c r="C131" s="126">
        <f>HLOOKUP(C$117,$86:$102,15,FALSE)</f>
        <v>136.155901</v>
      </c>
      <c r="D131" s="126">
        <f t="shared" ref="D131:O131" si="19">HLOOKUP(D$117,$86:$102,15,FALSE)</f>
        <v>115.92849699999999</v>
      </c>
      <c r="E131" s="126">
        <f t="shared" si="19"/>
        <v>112.780382</v>
      </c>
      <c r="F131" s="126">
        <f t="shared" si="19"/>
        <v>80.581305999999998</v>
      </c>
      <c r="G131" s="126">
        <f t="shared" si="19"/>
        <v>79.946523999999997</v>
      </c>
      <c r="H131" s="126">
        <f t="shared" si="19"/>
        <v>93.289579000000003</v>
      </c>
      <c r="I131" s="126">
        <f t="shared" si="19"/>
        <v>168.331695</v>
      </c>
      <c r="J131" s="126">
        <f t="shared" si="19"/>
        <v>182.71595500000001</v>
      </c>
      <c r="K131" s="126">
        <f t="shared" si="19"/>
        <v>116.274961</v>
      </c>
      <c r="L131" s="126">
        <f t="shared" si="19"/>
        <v>105.943506</v>
      </c>
      <c r="M131" s="126">
        <f t="shared" si="19"/>
        <v>96.327618999999999</v>
      </c>
      <c r="N131" s="126">
        <f t="shared" si="19"/>
        <v>138.26159999999999</v>
      </c>
      <c r="O131" s="126">
        <f t="shared" si="19"/>
        <v>138.25041200000001</v>
      </c>
    </row>
    <row r="132" spans="1:15">
      <c r="A132" s="216"/>
      <c r="B132" s="127" t="s">
        <v>1</v>
      </c>
      <c r="C132" s="128">
        <f>HLOOKUP(C$117,$86:$102,16,FALSE)</f>
        <v>456.46404999999999</v>
      </c>
      <c r="D132" s="128">
        <f t="shared" ref="D132:O132" si="20">HLOOKUP(D$117,$86:$102,16,FALSE)</f>
        <v>403.435857</v>
      </c>
      <c r="E132" s="128">
        <f t="shared" si="20"/>
        <v>403.814595</v>
      </c>
      <c r="F132" s="128">
        <f t="shared" si="20"/>
        <v>321.71236499999998</v>
      </c>
      <c r="G132" s="128">
        <f t="shared" si="20"/>
        <v>327.16740900000002</v>
      </c>
      <c r="H132" s="128">
        <f t="shared" si="20"/>
        <v>360.84778299999999</v>
      </c>
      <c r="I132" s="128">
        <f t="shared" si="20"/>
        <v>528.91088400000001</v>
      </c>
      <c r="J132" s="128">
        <f t="shared" si="20"/>
        <v>566.30901300000005</v>
      </c>
      <c r="K132" s="128">
        <f t="shared" si="20"/>
        <v>403.45763599999998</v>
      </c>
      <c r="L132" s="128">
        <f t="shared" si="20"/>
        <v>367.96583399999997</v>
      </c>
      <c r="M132" s="128">
        <f t="shared" si="20"/>
        <v>364.42581000000001</v>
      </c>
      <c r="N132" s="128">
        <f t="shared" si="20"/>
        <v>436.94036899999998</v>
      </c>
      <c r="O132" s="128">
        <f t="shared" si="20"/>
        <v>470.72007500000001</v>
      </c>
    </row>
    <row r="133" spans="1:15" ht="14.25">
      <c r="A133" s="217"/>
      <c r="B133" s="137" t="s">
        <v>75</v>
      </c>
      <c r="C133" s="138">
        <f>C120+C121+C123</f>
        <v>46.988411999999997</v>
      </c>
      <c r="D133" s="138">
        <f>D120+D121+D123</f>
        <v>37.597881999999998</v>
      </c>
      <c r="E133" s="138">
        <f t="shared" ref="E133:O133" si="21">E120+E121+E123</f>
        <v>34.745249000000001</v>
      </c>
      <c r="F133" s="138">
        <f t="shared" si="21"/>
        <v>28.608295999999999</v>
      </c>
      <c r="G133" s="138">
        <f t="shared" si="21"/>
        <v>29.693214999999999</v>
      </c>
      <c r="H133" s="138">
        <f t="shared" si="21"/>
        <v>33.872518999999997</v>
      </c>
      <c r="I133" s="138">
        <f t="shared" si="21"/>
        <v>66.275554999999997</v>
      </c>
      <c r="J133" s="138">
        <f t="shared" si="21"/>
        <v>87.959547999999984</v>
      </c>
      <c r="K133" s="138">
        <f t="shared" si="21"/>
        <v>41.727269</v>
      </c>
      <c r="L133" s="138">
        <f t="shared" si="21"/>
        <v>26.56035</v>
      </c>
      <c r="M133" s="138">
        <f t="shared" si="21"/>
        <v>29.083095999999998</v>
      </c>
      <c r="N133" s="138">
        <f t="shared" si="21"/>
        <v>33.649616000000002</v>
      </c>
      <c r="O133" s="138">
        <f t="shared" si="21"/>
        <v>45.739437000000002</v>
      </c>
    </row>
    <row r="134" spans="1:15">
      <c r="A134" s="215" t="s">
        <v>77</v>
      </c>
      <c r="B134" s="139" t="s">
        <v>73</v>
      </c>
      <c r="C134" s="120" t="str">
        <f>TEXT(EDATE($A$2,-12),"mmm")&amp;".-"&amp;TEXT(EDATE($A$2,-12),"aa")</f>
        <v>ene.-20</v>
      </c>
      <c r="D134" s="120" t="str">
        <f>TEXT(EDATE($A$2,-11),"mmm")&amp;".-"&amp;TEXT(EDATE($A$2,-11),"aa")</f>
        <v>feb.-20</v>
      </c>
      <c r="E134" s="120" t="str">
        <f>TEXT(EDATE($A$2,-10),"mmm")&amp;".-"&amp;TEXT(EDATE($A$2,-10),"aa")</f>
        <v>mar.-20</v>
      </c>
      <c r="F134" s="120" t="str">
        <f>TEXT(EDATE($A$2,-9),"mmm")&amp;".-"&amp;TEXT(EDATE($A$2,-9),"aa")</f>
        <v>abr.-20</v>
      </c>
      <c r="G134" s="120" t="str">
        <f>TEXT(EDATE($A$2,-8),"mmm")&amp;".-"&amp;TEXT(EDATE($A$2,-8),"aa")</f>
        <v>may.-20</v>
      </c>
      <c r="H134" s="120" t="str">
        <f>TEXT(EDATE($A$2,-7),"mmm")&amp;".-"&amp;TEXT(EDATE($A$2,-7),"aa")</f>
        <v>jun.-20</v>
      </c>
      <c r="I134" s="120" t="str">
        <f>TEXT(EDATE($A$2,-6),"mmm")&amp;".-"&amp;TEXT(EDATE($A$2,-6),"aa")</f>
        <v>jul.-20</v>
      </c>
      <c r="J134" s="120" t="str">
        <f>TEXT(EDATE($A$2,-5),"mmm")&amp;".-"&amp;TEXT(EDATE($A$2,-5),"aa")</f>
        <v>ago.-20</v>
      </c>
      <c r="K134" s="120" t="str">
        <f>TEXT(EDATE($A$2,-4),"mmm")&amp;".-"&amp;TEXT(EDATE($A$2,-4),"aa")</f>
        <v>sep.-20</v>
      </c>
      <c r="L134" s="120" t="str">
        <f>TEXT(EDATE($A$2,-3),"mmm")&amp;".-"&amp;TEXT(EDATE($A$2,-3),"aa")</f>
        <v>oct.-20</v>
      </c>
      <c r="M134" s="120" t="str">
        <f>TEXT(EDATE($A$2,-2),"mmm")&amp;".-"&amp;TEXT(EDATE($A$2,-2),"aa")</f>
        <v>nov.-20</v>
      </c>
      <c r="N134" s="120" t="str">
        <f>TEXT(EDATE($A$2,-1),"mmm")&amp;".-"&amp;TEXT(EDATE($A$2,-1),"aa")</f>
        <v>dic.-20</v>
      </c>
      <c r="O134" s="121" t="str">
        <f>TEXT($A$2,"mmm")&amp;".-"&amp;TEXT($A$2,"aa")</f>
        <v>ene.-21</v>
      </c>
    </row>
    <row r="135" spans="1:15" ht="15" customHeight="1">
      <c r="A135" s="216"/>
      <c r="B135" s="122" t="s">
        <v>12</v>
      </c>
      <c r="C135" s="116">
        <f>HLOOKUP(C$117,$86:$115,17,FALSE)</f>
        <v>0.30431399999999997</v>
      </c>
      <c r="D135" s="116">
        <f t="shared" ref="D135:O135" si="22">HLOOKUP(D$117,$86:$115,17,FALSE)</f>
        <v>0.26768999999999998</v>
      </c>
      <c r="E135" s="116">
        <f t="shared" si="22"/>
        <v>0.29931200000000002</v>
      </c>
      <c r="F135" s="116">
        <f t="shared" si="22"/>
        <v>0.288387</v>
      </c>
      <c r="G135" s="116">
        <f t="shared" si="22"/>
        <v>0.28846300000000002</v>
      </c>
      <c r="H135" s="116">
        <f t="shared" si="22"/>
        <v>0.27233299999999999</v>
      </c>
      <c r="I135" s="116">
        <f t="shared" si="22"/>
        <v>0.29030099999999998</v>
      </c>
      <c r="J135" s="116">
        <f t="shared" si="22"/>
        <v>0.29413899999999998</v>
      </c>
      <c r="K135" s="116">
        <f t="shared" si="22"/>
        <v>0.29165099999999999</v>
      </c>
      <c r="L135" s="116">
        <f t="shared" si="22"/>
        <v>0.299369</v>
      </c>
      <c r="M135" s="116">
        <f t="shared" si="22"/>
        <v>0.28527599999999997</v>
      </c>
      <c r="N135" s="116">
        <f t="shared" si="22"/>
        <v>0.29958099999999999</v>
      </c>
      <c r="O135" s="161">
        <f t="shared" si="22"/>
        <v>0.29762100000000002</v>
      </c>
    </row>
    <row r="136" spans="1:15">
      <c r="A136" s="216"/>
      <c r="B136" s="122" t="s">
        <v>10</v>
      </c>
      <c r="C136" s="116">
        <f>HLOOKUP(C$117,$86:$115,18,FALSE)</f>
        <v>175.82359</v>
      </c>
      <c r="D136" s="116">
        <f t="shared" ref="D136:O136" si="23">HLOOKUP(D$117,$86:$115,18,FALSE)</f>
        <v>160.69778299999999</v>
      </c>
      <c r="E136" s="116">
        <f t="shared" si="23"/>
        <v>133.86502100000001</v>
      </c>
      <c r="F136" s="116">
        <f t="shared" si="23"/>
        <v>118.219841</v>
      </c>
      <c r="G136" s="116">
        <f t="shared" si="23"/>
        <v>127.46646200000001</v>
      </c>
      <c r="H136" s="116">
        <f t="shared" si="23"/>
        <v>122.84934</v>
      </c>
      <c r="I136" s="116">
        <f t="shared" si="23"/>
        <v>140.50550799999999</v>
      </c>
      <c r="J136" s="116">
        <f t="shared" si="23"/>
        <v>152.65874500000001</v>
      </c>
      <c r="K136" s="116">
        <f t="shared" si="23"/>
        <v>151.15563499999999</v>
      </c>
      <c r="L136" s="116">
        <f t="shared" si="23"/>
        <v>140.27562900000001</v>
      </c>
      <c r="M136" s="116">
        <f t="shared" si="23"/>
        <v>147.43617</v>
      </c>
      <c r="N136" s="116">
        <f t="shared" si="23"/>
        <v>146.45553799999999</v>
      </c>
      <c r="O136" s="134">
        <f t="shared" si="23"/>
        <v>141.05104299999999</v>
      </c>
    </row>
    <row r="137" spans="1:15">
      <c r="A137" s="216"/>
      <c r="B137" s="122" t="s">
        <v>9</v>
      </c>
      <c r="C137" s="116">
        <f>HLOOKUP(C$117,$86:$115,19,FALSE)</f>
        <v>17.105090000000001</v>
      </c>
      <c r="D137" s="116">
        <f t="shared" ref="D137:O137" si="24">HLOOKUP(D$117,$86:$115,19,FALSE)</f>
        <v>21.870190999999998</v>
      </c>
      <c r="E137" s="116">
        <f t="shared" si="24"/>
        <v>12.226845000000001</v>
      </c>
      <c r="F137" s="116">
        <f t="shared" si="24"/>
        <v>5.7932370000000004</v>
      </c>
      <c r="G137" s="116">
        <f t="shared" si="24"/>
        <v>9.4236719999999998</v>
      </c>
      <c r="H137" s="116">
        <f t="shared" si="24"/>
        <v>8.6874149999999997</v>
      </c>
      <c r="I137" s="116">
        <f t="shared" si="24"/>
        <v>15.04932</v>
      </c>
      <c r="J137" s="116">
        <f t="shared" si="24"/>
        <v>17.289342999999999</v>
      </c>
      <c r="K137" s="116">
        <f t="shared" si="24"/>
        <v>21.610752000000002</v>
      </c>
      <c r="L137" s="116">
        <f t="shared" si="24"/>
        <v>32.544134999999997</v>
      </c>
      <c r="M137" s="116">
        <f t="shared" si="24"/>
        <v>18.073917999999999</v>
      </c>
      <c r="N137" s="116">
        <f t="shared" si="24"/>
        <v>16.086774999999999</v>
      </c>
      <c r="O137" s="134">
        <f t="shared" si="24"/>
        <v>10.157844000000001</v>
      </c>
    </row>
    <row r="138" spans="1:15">
      <c r="A138" s="216"/>
      <c r="B138" s="122" t="s">
        <v>8</v>
      </c>
      <c r="C138" s="116">
        <f>HLOOKUP(C$117,$86:$115,20,FALSE)</f>
        <v>146.91851800000001</v>
      </c>
      <c r="D138" s="116">
        <f t="shared" ref="D138:O138" si="25">HLOOKUP(D$117,$86:$115,20,FALSE)</f>
        <v>128.34914699999999</v>
      </c>
      <c r="E138" s="116">
        <f t="shared" si="25"/>
        <v>114.048723</v>
      </c>
      <c r="F138" s="116">
        <f t="shared" si="25"/>
        <v>98.923323999999994</v>
      </c>
      <c r="G138" s="116">
        <f t="shared" si="25"/>
        <v>116.06684199999999</v>
      </c>
      <c r="H138" s="116">
        <f t="shared" si="25"/>
        <v>83.295309000000003</v>
      </c>
      <c r="I138" s="116">
        <f t="shared" si="25"/>
        <v>114.33213000000001</v>
      </c>
      <c r="J138" s="116">
        <f t="shared" si="25"/>
        <v>127.712586</v>
      </c>
      <c r="K138" s="116">
        <f t="shared" si="25"/>
        <v>98.396693999999997</v>
      </c>
      <c r="L138" s="116">
        <f t="shared" si="25"/>
        <v>128.21449999999999</v>
      </c>
      <c r="M138" s="116">
        <f t="shared" si="25"/>
        <v>121.615077</v>
      </c>
      <c r="N138" s="116">
        <f t="shared" si="25"/>
        <v>109.732229</v>
      </c>
      <c r="O138" s="134">
        <f t="shared" si="25"/>
        <v>116.282053</v>
      </c>
    </row>
    <row r="139" spans="1:15" ht="14.25">
      <c r="A139" s="216"/>
      <c r="B139" s="122" t="s">
        <v>74</v>
      </c>
      <c r="C139" s="116">
        <f>HLOOKUP(C$117,$86:$115,21,FALSE)</f>
        <v>336.41169600000001</v>
      </c>
      <c r="D139" s="116">
        <f t="shared" ref="D139:O139" si="26">HLOOKUP(D$117,$86:$115,21,FALSE)</f>
        <v>279.07848200000001</v>
      </c>
      <c r="E139" s="116">
        <f t="shared" si="26"/>
        <v>300.75480199999998</v>
      </c>
      <c r="F139" s="116">
        <f t="shared" si="26"/>
        <v>246.048203</v>
      </c>
      <c r="G139" s="116">
        <f t="shared" si="26"/>
        <v>229.928777</v>
      </c>
      <c r="H139" s="116">
        <f t="shared" si="26"/>
        <v>258.95318400000002</v>
      </c>
      <c r="I139" s="116">
        <f t="shared" si="26"/>
        <v>229.38776100000001</v>
      </c>
      <c r="J139" s="116">
        <f t="shared" si="26"/>
        <v>217.204814</v>
      </c>
      <c r="K139" s="116">
        <f t="shared" si="26"/>
        <v>297.07835399999999</v>
      </c>
      <c r="L139" s="116">
        <f t="shared" si="26"/>
        <v>252.83072899999999</v>
      </c>
      <c r="M139" s="116">
        <f t="shared" si="26"/>
        <v>292.22053799999998</v>
      </c>
      <c r="N139" s="116">
        <f t="shared" si="26"/>
        <v>314.37255499999998</v>
      </c>
      <c r="O139" s="134">
        <f t="shared" si="26"/>
        <v>280.66014899999999</v>
      </c>
    </row>
    <row r="140" spans="1:15">
      <c r="A140" s="216"/>
      <c r="B140" s="122" t="s">
        <v>6</v>
      </c>
      <c r="C140" s="116">
        <f>HLOOKUP(C$117,$86:$115,22,FALSE)</f>
        <v>0.82455000000000001</v>
      </c>
      <c r="D140" s="116">
        <f t="shared" ref="D140:O140" si="27">HLOOKUP(D$117,$86:$115,22,FALSE)</f>
        <v>1.3385149999999999</v>
      </c>
      <c r="E140" s="116">
        <f t="shared" si="27"/>
        <v>1.8236140000000001</v>
      </c>
      <c r="F140" s="116">
        <f t="shared" si="27"/>
        <v>0.99112500000000003</v>
      </c>
      <c r="G140" s="116">
        <f t="shared" si="27"/>
        <v>1.4427080000000001</v>
      </c>
      <c r="H140" s="116">
        <f t="shared" si="27"/>
        <v>0.74262799999999995</v>
      </c>
      <c r="I140" s="116">
        <f t="shared" si="27"/>
        <v>3.6524220000000001</v>
      </c>
      <c r="J140" s="116">
        <f t="shared" si="27"/>
        <v>3.5757409999999998</v>
      </c>
      <c r="K140" s="116">
        <f t="shared" si="27"/>
        <v>1.9118980000000001</v>
      </c>
      <c r="L140" s="116">
        <f t="shared" si="27"/>
        <v>1.456723</v>
      </c>
      <c r="M140" s="116">
        <f t="shared" si="27"/>
        <v>0.821801</v>
      </c>
      <c r="N140" s="116">
        <f t="shared" si="27"/>
        <v>0.95850199999999997</v>
      </c>
      <c r="O140" s="134">
        <f t="shared" si="27"/>
        <v>0.99317</v>
      </c>
    </row>
    <row r="141" spans="1:15">
      <c r="A141" s="216"/>
      <c r="B141" s="122" t="s">
        <v>5</v>
      </c>
      <c r="C141" s="116">
        <f>HLOOKUP(C$117,$86:$115,23,FALSE)</f>
        <v>60.189520999999999</v>
      </c>
      <c r="D141" s="116">
        <f t="shared" ref="D141:O141" si="28">HLOOKUP(D$117,$86:$115,23,FALSE)</f>
        <v>93.155251000000007</v>
      </c>
      <c r="E141" s="116">
        <f t="shared" si="28"/>
        <v>97.166026000000002</v>
      </c>
      <c r="F141" s="116">
        <f t="shared" si="28"/>
        <v>54.728521000000001</v>
      </c>
      <c r="G141" s="116">
        <f t="shared" si="28"/>
        <v>69.749658999999994</v>
      </c>
      <c r="H141" s="116">
        <f t="shared" si="28"/>
        <v>103.362193</v>
      </c>
      <c r="I141" s="116">
        <f t="shared" si="28"/>
        <v>148.25553600000001</v>
      </c>
      <c r="J141" s="116">
        <f t="shared" si="28"/>
        <v>166.40368100000001</v>
      </c>
      <c r="K141" s="116">
        <f t="shared" si="28"/>
        <v>92.772315000000006</v>
      </c>
      <c r="L141" s="116">
        <f t="shared" si="28"/>
        <v>98.269994999999994</v>
      </c>
      <c r="M141" s="116">
        <f t="shared" si="28"/>
        <v>54.804782000000003</v>
      </c>
      <c r="N141" s="116">
        <f t="shared" si="28"/>
        <v>61.437581999999999</v>
      </c>
      <c r="O141" s="134">
        <f t="shared" si="28"/>
        <v>81.105193</v>
      </c>
    </row>
    <row r="142" spans="1:15">
      <c r="A142" s="216"/>
      <c r="B142" s="122" t="s">
        <v>4</v>
      </c>
      <c r="C142" s="116">
        <f>HLOOKUP(C$117,$86:$115,24,FALSE)</f>
        <v>18.499904999999998</v>
      </c>
      <c r="D142" s="116">
        <f t="shared" ref="D142:O142" si="29">HLOOKUP(D$117,$86:$115,24,FALSE)</f>
        <v>20.258367</v>
      </c>
      <c r="E142" s="116">
        <f t="shared" si="29"/>
        <v>21.187342999999998</v>
      </c>
      <c r="F142" s="116">
        <f t="shared" si="29"/>
        <v>22.647696</v>
      </c>
      <c r="G142" s="116">
        <f t="shared" si="29"/>
        <v>26.043417000000002</v>
      </c>
      <c r="H142" s="116">
        <f t="shared" si="29"/>
        <v>23.718388000000001</v>
      </c>
      <c r="I142" s="116">
        <f t="shared" si="29"/>
        <v>26.993926999999999</v>
      </c>
      <c r="J142" s="116">
        <f t="shared" si="29"/>
        <v>26.63702</v>
      </c>
      <c r="K142" s="116">
        <f t="shared" si="29"/>
        <v>20.951909000000001</v>
      </c>
      <c r="L142" s="116">
        <f t="shared" si="29"/>
        <v>19.857990999999998</v>
      </c>
      <c r="M142" s="116">
        <f t="shared" si="29"/>
        <v>15.894228</v>
      </c>
      <c r="N142" s="116">
        <f t="shared" si="29"/>
        <v>15.168276000000001</v>
      </c>
      <c r="O142" s="134">
        <f t="shared" si="29"/>
        <v>16.287994999999999</v>
      </c>
    </row>
    <row r="143" spans="1:15">
      <c r="A143" s="216"/>
      <c r="B143" s="122" t="s">
        <v>22</v>
      </c>
      <c r="C143" s="116">
        <f>HLOOKUP(C$117,$86:$115,25,FALSE)</f>
        <v>0.87627999999999995</v>
      </c>
      <c r="D143" s="116">
        <f t="shared" ref="D143:O143" si="30">HLOOKUP(D$117,$86:$115,25,FALSE)</f>
        <v>0.84570599999999996</v>
      </c>
      <c r="E143" s="116">
        <f t="shared" si="30"/>
        <v>0.82168300000000005</v>
      </c>
      <c r="F143" s="116">
        <f t="shared" si="30"/>
        <v>0.83979599999999999</v>
      </c>
      <c r="G143" s="116">
        <f t="shared" si="30"/>
        <v>0.70590200000000003</v>
      </c>
      <c r="H143" s="116">
        <f t="shared" si="30"/>
        <v>0.78505800000000003</v>
      </c>
      <c r="I143" s="116">
        <f t="shared" si="30"/>
        <v>0.69386000000000003</v>
      </c>
      <c r="J143" s="116">
        <f t="shared" si="30"/>
        <v>0.69097799999999998</v>
      </c>
      <c r="K143" s="116">
        <f t="shared" si="30"/>
        <v>0.64958000000000005</v>
      </c>
      <c r="L143" s="116">
        <f t="shared" si="30"/>
        <v>0.78250799999999998</v>
      </c>
      <c r="M143" s="116">
        <f t="shared" si="30"/>
        <v>0.74004199999999998</v>
      </c>
      <c r="N143" s="116">
        <f t="shared" si="30"/>
        <v>0.75252699999999995</v>
      </c>
      <c r="O143" s="134">
        <f t="shared" si="30"/>
        <v>0.35872300000000001</v>
      </c>
    </row>
    <row r="144" spans="1:15">
      <c r="A144" s="216"/>
      <c r="B144" s="127" t="s">
        <v>1</v>
      </c>
      <c r="C144" s="128">
        <f>HLOOKUP(C$117,$86:$115,26,FALSE)</f>
        <v>756.95346400000005</v>
      </c>
      <c r="D144" s="128">
        <f t="shared" ref="D144:O144" si="31">HLOOKUP(D$117,$86:$115,26,FALSE)</f>
        <v>705.861132</v>
      </c>
      <c r="E144" s="128">
        <f t="shared" si="31"/>
        <v>682.19336899999996</v>
      </c>
      <c r="F144" s="128">
        <f t="shared" si="31"/>
        <v>548.48013000000003</v>
      </c>
      <c r="G144" s="128">
        <f t="shared" si="31"/>
        <v>581.11590200000001</v>
      </c>
      <c r="H144" s="128">
        <f t="shared" si="31"/>
        <v>602.66584799999998</v>
      </c>
      <c r="I144" s="128">
        <f t="shared" si="31"/>
        <v>679.16076499999997</v>
      </c>
      <c r="J144" s="128">
        <f t="shared" si="31"/>
        <v>712.46704699999998</v>
      </c>
      <c r="K144" s="128">
        <f t="shared" si="31"/>
        <v>684.81878800000004</v>
      </c>
      <c r="L144" s="128">
        <f t="shared" si="31"/>
        <v>674.53157899999997</v>
      </c>
      <c r="M144" s="128">
        <f t="shared" si="31"/>
        <v>651.89183200000002</v>
      </c>
      <c r="N144" s="128">
        <f t="shared" si="31"/>
        <v>665.26356499999997</v>
      </c>
      <c r="O144" s="136">
        <f t="shared" si="31"/>
        <v>647.19379100000003</v>
      </c>
    </row>
    <row r="145" spans="1:26">
      <c r="A145" s="216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7"/>
      <c r="B146" s="137" t="s">
        <v>75</v>
      </c>
      <c r="C146" s="141">
        <f>SUM(C136:C138)</f>
        <v>339.84719799999999</v>
      </c>
      <c r="D146" s="141">
        <f t="shared" ref="D146:O146" si="32">SUM(D136:D138)</f>
        <v>310.91712099999995</v>
      </c>
      <c r="E146" s="141">
        <f t="shared" si="32"/>
        <v>260.14058899999998</v>
      </c>
      <c r="F146" s="141">
        <f t="shared" si="32"/>
        <v>222.93640199999999</v>
      </c>
      <c r="G146" s="141">
        <f t="shared" si="32"/>
        <v>252.956976</v>
      </c>
      <c r="H146" s="141">
        <f t="shared" si="32"/>
        <v>214.832064</v>
      </c>
      <c r="I146" s="141">
        <f t="shared" si="32"/>
        <v>269.88695799999999</v>
      </c>
      <c r="J146" s="141">
        <f t="shared" si="32"/>
        <v>297.66067400000003</v>
      </c>
      <c r="K146" s="141">
        <f t="shared" si="32"/>
        <v>271.16308099999998</v>
      </c>
      <c r="L146" s="141">
        <f t="shared" si="32"/>
        <v>301.03426400000001</v>
      </c>
      <c r="M146" s="141">
        <f t="shared" si="32"/>
        <v>287.12516499999998</v>
      </c>
      <c r="N146" s="141">
        <f t="shared" si="32"/>
        <v>272.274542</v>
      </c>
      <c r="O146" s="142">
        <f t="shared" si="32"/>
        <v>267.49094000000002</v>
      </c>
    </row>
    <row r="149" spans="1:26" ht="15">
      <c r="A149" s="174"/>
      <c r="B149" s="174" t="s">
        <v>68</v>
      </c>
      <c r="C149" s="214" t="s">
        <v>57</v>
      </c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90" t="s">
        <v>90</v>
      </c>
      <c r="D150" s="190" t="s">
        <v>91</v>
      </c>
      <c r="E150" s="190" t="s">
        <v>92</v>
      </c>
      <c r="F150" s="190" t="s">
        <v>93</v>
      </c>
      <c r="G150" s="190" t="s">
        <v>94</v>
      </c>
      <c r="H150" s="190" t="s">
        <v>95</v>
      </c>
      <c r="I150" s="190" t="s">
        <v>96</v>
      </c>
      <c r="J150" s="190" t="s">
        <v>97</v>
      </c>
      <c r="K150" s="190" t="s">
        <v>98</v>
      </c>
      <c r="L150" s="190" t="s">
        <v>99</v>
      </c>
      <c r="M150" s="190" t="s">
        <v>100</v>
      </c>
      <c r="N150" s="190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118</v>
      </c>
      <c r="B152" s="176" t="s">
        <v>119</v>
      </c>
      <c r="C152" s="184">
        <v>3.1230000000000001E-2</v>
      </c>
      <c r="D152" s="184">
        <v>-7.2899999999999996E-3</v>
      </c>
      <c r="E152" s="184">
        <v>4.4019999999999997E-2</v>
      </c>
      <c r="F152" s="184">
        <v>-5.4999999999999997E-3</v>
      </c>
      <c r="G152" s="184">
        <v>3.1230000000000001E-2</v>
      </c>
      <c r="H152" s="184">
        <v>-7.2899999999999996E-3</v>
      </c>
      <c r="I152" s="184">
        <v>4.4019999999999997E-2</v>
      </c>
      <c r="J152" s="184">
        <v>-5.4999999999999997E-3</v>
      </c>
      <c r="K152" s="184">
        <v>-0.18676999999999999</v>
      </c>
      <c r="L152" s="184">
        <v>-1.06E-3</v>
      </c>
      <c r="M152" s="184">
        <v>-6.0800000000000003E-3</v>
      </c>
      <c r="N152" s="184">
        <v>-0.17963000000000001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5" spans="1:26" ht="15">
      <c r="A155" s="174"/>
      <c r="B155" s="174" t="s">
        <v>68</v>
      </c>
      <c r="C155" s="214" t="s">
        <v>58</v>
      </c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90" t="s">
        <v>90</v>
      </c>
      <c r="D156" s="190" t="s">
        <v>91</v>
      </c>
      <c r="E156" s="190" t="s">
        <v>92</v>
      </c>
      <c r="F156" s="190" t="s">
        <v>93</v>
      </c>
      <c r="G156" s="190" t="s">
        <v>94</v>
      </c>
      <c r="H156" s="190" t="s">
        <v>95</v>
      </c>
      <c r="I156" s="190" t="s">
        <v>96</v>
      </c>
      <c r="J156" s="190" t="s">
        <v>97</v>
      </c>
      <c r="K156" s="190" t="s">
        <v>98</v>
      </c>
      <c r="L156" s="190" t="s">
        <v>99</v>
      </c>
      <c r="M156" s="190" t="s">
        <v>100</v>
      </c>
      <c r="N156" s="190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118</v>
      </c>
      <c r="B158" s="176" t="s">
        <v>119</v>
      </c>
      <c r="C158" s="184">
        <v>-0.14499999999999999</v>
      </c>
      <c r="D158" s="184">
        <v>-8.8000000000000003E-4</v>
      </c>
      <c r="E158" s="184">
        <v>-1.2999999999999999E-4</v>
      </c>
      <c r="F158" s="184">
        <v>-0.14399000000000001</v>
      </c>
      <c r="G158" s="184">
        <v>-0.14499999999999999</v>
      </c>
      <c r="H158" s="184">
        <v>-8.8000000000000003E-4</v>
      </c>
      <c r="I158" s="184">
        <v>-1.2999999999999999E-4</v>
      </c>
      <c r="J158" s="184">
        <v>-0.14399000000000001</v>
      </c>
      <c r="K158" s="184">
        <v>-0.11727</v>
      </c>
      <c r="L158" s="184">
        <v>2.3000000000000001E-4</v>
      </c>
      <c r="M158" s="184">
        <v>1.2099999999999999E-3</v>
      </c>
      <c r="N158" s="184">
        <v>-0.11871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5"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P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2021-02-09T17:39:05Z</dcterms:modified>
</cp:coreProperties>
</file>